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3045" windowWidth="15480" windowHeight="8340"/>
  </bookViews>
  <sheets>
    <sheet name="6 programa" sheetId="7" r:id="rId1"/>
    <sheet name="Lyginamasis variantas " sheetId="12" state="hidden" r:id="rId2"/>
    <sheet name="Lyginamasis variantas" sheetId="8" state="hidden" r:id="rId3"/>
    <sheet name="2015 MVP" sheetId="9" state="hidden" r:id="rId4"/>
    <sheet name="Aiškinamoji lentelė Lt  " sheetId="5" state="hidden" r:id="rId5"/>
    <sheet name="2015 MVP lyginamasis varianta" sheetId="11" state="hidden" r:id="rId6"/>
    <sheet name="Asignavimų valdytojų kodai" sheetId="3" state="hidden" r:id="rId7"/>
  </sheets>
  <definedNames>
    <definedName name="_xlnm.Print_Area" localSheetId="3">'2015 MVP'!$A$1:$M$179</definedName>
    <definedName name="_xlnm.Print_Area" localSheetId="5">'2015 MVP lyginamasis varianta'!$A$1:$M$178</definedName>
    <definedName name="_xlnm.Print_Area" localSheetId="0">'6 programa'!$A$1:$N$199</definedName>
    <definedName name="_xlnm.Print_Area" localSheetId="4">'Aiškinamoji lentelė Lt  '!$A$1:$AB$211</definedName>
    <definedName name="_xlnm.Print_Area" localSheetId="2">'Lyginamasis variantas'!$A$1:$L$203</definedName>
    <definedName name="_xlnm.Print_Area" localSheetId="1">'Lyginamasis variantas '!$A$1:$O$199</definedName>
    <definedName name="_xlnm.Print_Titles" localSheetId="3">'2015 MVP'!$7:$9</definedName>
    <definedName name="_xlnm.Print_Titles" localSheetId="5">'2015 MVP lyginamasis varianta'!$6:$8</definedName>
    <definedName name="_xlnm.Print_Titles" localSheetId="0">'6 programa'!$5:$7</definedName>
    <definedName name="_xlnm.Print_Titles" localSheetId="4">'Aiškinamoji lentelė Lt  '!$5:$7</definedName>
    <definedName name="_xlnm.Print_Titles" localSheetId="2">'Lyginamasis variantas'!$5:$7</definedName>
    <definedName name="_xlnm.Print_Titles" localSheetId="1">'Lyginamasis variantas '!$6:$8</definedName>
  </definedNames>
  <calcPr calcId="145621" fullPrecision="0"/>
</workbook>
</file>

<file path=xl/calcChain.xml><?xml version="1.0" encoding="utf-8"?>
<calcChain xmlns="http://schemas.openxmlformats.org/spreadsheetml/2006/main">
  <c r="I78" i="7" l="1"/>
  <c r="J78" i="7" l="1"/>
  <c r="I188" i="7"/>
  <c r="K187" i="12"/>
  <c r="K196" i="12"/>
  <c r="K195" i="12"/>
  <c r="K194" i="12"/>
  <c r="K193" i="12"/>
  <c r="K192" i="12"/>
  <c r="K190" i="12"/>
  <c r="K189" i="12"/>
  <c r="K188" i="12"/>
  <c r="K186" i="12"/>
  <c r="K185" i="12"/>
  <c r="K184" i="12"/>
  <c r="K183" i="12"/>
  <c r="J150" i="12"/>
  <c r="J149" i="12"/>
  <c r="K149" i="12"/>
  <c r="J146" i="12"/>
  <c r="K146" i="12"/>
  <c r="K150" i="12" s="1"/>
  <c r="K176" i="12" s="1"/>
  <c r="K177" i="12" s="1"/>
  <c r="K88" i="12"/>
  <c r="K191" i="12" l="1"/>
  <c r="K182" i="12"/>
  <c r="K181" i="12" s="1"/>
  <c r="K197" i="12" l="1"/>
  <c r="K45" i="12"/>
  <c r="J66" i="12"/>
  <c r="K66" i="12"/>
  <c r="K76" i="12"/>
  <c r="I74" i="7"/>
  <c r="I58" i="7"/>
  <c r="I61" i="7"/>
  <c r="I43" i="7" l="1"/>
  <c r="H14" i="7" l="1"/>
  <c r="I62" i="12" l="1"/>
  <c r="H146" i="12" l="1"/>
  <c r="I146" i="12"/>
  <c r="H56" i="7"/>
  <c r="J61" i="12"/>
  <c r="J42" i="12"/>
  <c r="J141" i="12"/>
  <c r="I141" i="12"/>
  <c r="J62" i="12"/>
  <c r="J68" i="12"/>
  <c r="I68" i="12"/>
  <c r="J73" i="12"/>
  <c r="I73" i="12"/>
  <c r="J60" i="12" l="1"/>
  <c r="I60" i="12"/>
  <c r="J43" i="12"/>
  <c r="I43" i="12"/>
  <c r="H43" i="12" l="1"/>
  <c r="J43" i="7"/>
  <c r="J41" i="7"/>
  <c r="I41" i="7"/>
  <c r="I44" i="7"/>
  <c r="J44" i="7"/>
  <c r="J143" i="12"/>
  <c r="I142" i="12"/>
  <c r="J142" i="12" s="1"/>
  <c r="J50" i="12"/>
  <c r="I49" i="12"/>
  <c r="J48" i="12"/>
  <c r="I47" i="12"/>
  <c r="J33" i="12"/>
  <c r="I32" i="12"/>
  <c r="I195" i="12"/>
  <c r="I190" i="12"/>
  <c r="I188" i="12"/>
  <c r="I186" i="12"/>
  <c r="I184" i="12"/>
  <c r="I173" i="12"/>
  <c r="I174" i="12" s="1"/>
  <c r="I171" i="12"/>
  <c r="I170" i="12"/>
  <c r="I172" i="12" s="1"/>
  <c r="I167" i="12"/>
  <c r="I169" i="12" s="1"/>
  <c r="I165" i="12"/>
  <c r="I166" i="12" s="1"/>
  <c r="I153" i="12"/>
  <c r="I159" i="12" s="1"/>
  <c r="I149" i="12"/>
  <c r="I144" i="12"/>
  <c r="I140" i="12"/>
  <c r="I137" i="12"/>
  <c r="I136" i="12"/>
  <c r="I138" i="12" s="1"/>
  <c r="I133" i="12"/>
  <c r="I135" i="12" s="1"/>
  <c r="I128" i="12"/>
  <c r="I132" i="12" s="1"/>
  <c r="I122" i="12"/>
  <c r="I126" i="12" s="1"/>
  <c r="I116" i="12"/>
  <c r="I121" i="12" s="1"/>
  <c r="I114" i="12"/>
  <c r="I113" i="12"/>
  <c r="I115" i="12" s="1"/>
  <c r="I105" i="12"/>
  <c r="I91" i="12"/>
  <c r="I185" i="12" s="1"/>
  <c r="I90" i="12"/>
  <c r="I85" i="12"/>
  <c r="I87" i="12" s="1"/>
  <c r="I82" i="12"/>
  <c r="I194" i="12" s="1"/>
  <c r="I81" i="12"/>
  <c r="I192" i="12" s="1"/>
  <c r="I78" i="12"/>
  <c r="I75" i="12"/>
  <c r="I183" i="12" s="1"/>
  <c r="I74" i="12"/>
  <c r="I72" i="12"/>
  <c r="I196" i="12" s="1"/>
  <c r="I76" i="12"/>
  <c r="I64" i="12"/>
  <c r="I58" i="12"/>
  <c r="I41" i="12"/>
  <c r="I40" i="12"/>
  <c r="I39" i="12"/>
  <c r="I38" i="12"/>
  <c r="I36" i="12"/>
  <c r="I34" i="12"/>
  <c r="I45" i="12" s="1"/>
  <c r="I27" i="12"/>
  <c r="I26" i="12"/>
  <c r="I24" i="12"/>
  <c r="I187" i="12" s="1"/>
  <c r="I21" i="12"/>
  <c r="I19" i="12"/>
  <c r="I17" i="12"/>
  <c r="I14" i="12"/>
  <c r="I66" i="12" l="1"/>
  <c r="I88" i="12" s="1"/>
  <c r="I84" i="12"/>
  <c r="I101" i="12"/>
  <c r="I102" i="12" s="1"/>
  <c r="I193" i="12"/>
  <c r="I191" i="12" s="1"/>
  <c r="I175" i="12"/>
  <c r="I30" i="12"/>
  <c r="I189" i="12"/>
  <c r="I182" i="12"/>
  <c r="I150" i="12"/>
  <c r="I176" i="12" l="1"/>
  <c r="I177" i="12" s="1"/>
  <c r="I181" i="12"/>
  <c r="I197" i="12" s="1"/>
  <c r="J195" i="12"/>
  <c r="H195" i="12"/>
  <c r="J190" i="12"/>
  <c r="H190" i="12"/>
  <c r="J189" i="12"/>
  <c r="J188" i="12"/>
  <c r="H188" i="12"/>
  <c r="J186" i="12"/>
  <c r="H186" i="12"/>
  <c r="H173" i="12"/>
  <c r="H174" i="12" s="1"/>
  <c r="H172" i="12"/>
  <c r="H171" i="12"/>
  <c r="H170" i="12"/>
  <c r="H167" i="12"/>
  <c r="H169" i="12" s="1"/>
  <c r="H165" i="12"/>
  <c r="H166" i="12" s="1"/>
  <c r="H153" i="12"/>
  <c r="H159" i="12" s="1"/>
  <c r="H149" i="12"/>
  <c r="H144" i="12"/>
  <c r="H140" i="12"/>
  <c r="J138" i="12"/>
  <c r="H137" i="12"/>
  <c r="H136" i="12"/>
  <c r="J135" i="12"/>
  <c r="H133" i="12"/>
  <c r="H135" i="12" s="1"/>
  <c r="J132" i="12"/>
  <c r="H128" i="12"/>
  <c r="H132" i="12" s="1"/>
  <c r="J126" i="12"/>
  <c r="H122" i="12"/>
  <c r="H126" i="12" s="1"/>
  <c r="J121" i="12"/>
  <c r="H116" i="12"/>
  <c r="H121" i="12" s="1"/>
  <c r="H114" i="12"/>
  <c r="H113" i="12"/>
  <c r="J115" i="12"/>
  <c r="H105" i="12"/>
  <c r="J101" i="12"/>
  <c r="J102" i="12" s="1"/>
  <c r="J185" i="12"/>
  <c r="H91" i="12"/>
  <c r="H90" i="12"/>
  <c r="H101" i="12" s="1"/>
  <c r="H102" i="12" s="1"/>
  <c r="J87" i="12"/>
  <c r="H85" i="12"/>
  <c r="H87" i="12" s="1"/>
  <c r="J194" i="12"/>
  <c r="H82" i="12"/>
  <c r="H194" i="12" s="1"/>
  <c r="H81" i="12"/>
  <c r="H192" i="12" s="1"/>
  <c r="H78" i="12"/>
  <c r="H84" i="12" s="1"/>
  <c r="H75" i="12"/>
  <c r="H183" i="12" s="1"/>
  <c r="H74" i="12"/>
  <c r="H73" i="12"/>
  <c r="H72" i="12"/>
  <c r="H196" i="12" s="1"/>
  <c r="J76" i="12"/>
  <c r="H68" i="12"/>
  <c r="H64" i="12"/>
  <c r="H62" i="12"/>
  <c r="H60" i="12"/>
  <c r="J196" i="12"/>
  <c r="J192" i="12"/>
  <c r="H49" i="12"/>
  <c r="J49" i="12" s="1"/>
  <c r="H47" i="12"/>
  <c r="H41" i="12"/>
  <c r="H40" i="12"/>
  <c r="H39" i="12"/>
  <c r="H38" i="12"/>
  <c r="J187" i="12"/>
  <c r="H36" i="12"/>
  <c r="H34" i="12"/>
  <c r="H32" i="12"/>
  <c r="J32" i="12" s="1"/>
  <c r="H193" i="12"/>
  <c r="J45" i="12"/>
  <c r="H27" i="12"/>
  <c r="H26" i="12"/>
  <c r="H24" i="12"/>
  <c r="H187" i="12" s="1"/>
  <c r="H21" i="12"/>
  <c r="H19" i="12"/>
  <c r="H17" i="12"/>
  <c r="H30" i="12" s="1"/>
  <c r="J183" i="12"/>
  <c r="H14" i="12"/>
  <c r="H185" i="12" l="1"/>
  <c r="H115" i="12"/>
  <c r="H138" i="12"/>
  <c r="H184" i="12"/>
  <c r="H58" i="12"/>
  <c r="J47" i="12"/>
  <c r="H189" i="12"/>
  <c r="H66" i="12"/>
  <c r="H76" i="12"/>
  <c r="H150" i="12"/>
  <c r="H191" i="12"/>
  <c r="H175" i="12"/>
  <c r="J30" i="12"/>
  <c r="J184" i="12"/>
  <c r="J182" i="12" s="1"/>
  <c r="J181" i="12" s="1"/>
  <c r="H45" i="12"/>
  <c r="J84" i="12"/>
  <c r="I156" i="8"/>
  <c r="J156" i="8" s="1"/>
  <c r="H182" i="12" l="1"/>
  <c r="H181" i="12" s="1"/>
  <c r="H197" i="12" s="1"/>
  <c r="H88" i="12"/>
  <c r="J58" i="12"/>
  <c r="J88" i="12" s="1"/>
  <c r="J176" i="12" s="1"/>
  <c r="J177" i="12" s="1"/>
  <c r="J193" i="12"/>
  <c r="J191" i="12" s="1"/>
  <c r="J197" i="12" s="1"/>
  <c r="H176" i="12"/>
  <c r="H177" i="12" s="1"/>
  <c r="I41" i="8"/>
  <c r="J41" i="8" s="1"/>
  <c r="I177" i="8"/>
  <c r="J177" i="8" s="1"/>
  <c r="J147" i="8"/>
  <c r="H149" i="8"/>
  <c r="I178" i="8" l="1"/>
  <c r="I174" i="8"/>
  <c r="J174" i="8" s="1"/>
  <c r="J170" i="8"/>
  <c r="I170" i="8"/>
  <c r="I164" i="8"/>
  <c r="J164" i="8" s="1"/>
  <c r="I154" i="8"/>
  <c r="J154" i="8" s="1"/>
  <c r="J136" i="8"/>
  <c r="I136" i="8"/>
  <c r="I113" i="8"/>
  <c r="J113" i="8" s="1"/>
  <c r="J111" i="8"/>
  <c r="J108" i="8"/>
  <c r="J73" i="8"/>
  <c r="I75" i="8"/>
  <c r="J75" i="8" s="1"/>
  <c r="J25" i="8"/>
  <c r="I68" i="8"/>
  <c r="I64" i="8"/>
  <c r="J64" i="8" s="1"/>
  <c r="I62" i="8"/>
  <c r="J62" i="8" s="1"/>
  <c r="I44" i="8"/>
  <c r="J44" i="8" s="1"/>
  <c r="I39" i="8"/>
  <c r="J39" i="8" s="1"/>
  <c r="I37" i="8"/>
  <c r="J37" i="8" s="1"/>
  <c r="I24" i="8"/>
  <c r="H24" i="8"/>
  <c r="H23" i="8"/>
  <c r="H188" i="8"/>
  <c r="I160" i="8" l="1"/>
  <c r="J68" i="8"/>
  <c r="J23" i="8"/>
  <c r="I129" i="8"/>
  <c r="J110" i="8" l="1"/>
  <c r="J141" i="8" l="1"/>
  <c r="I49" i="8"/>
  <c r="L184" i="9" l="1"/>
  <c r="M85" i="11"/>
  <c r="M81" i="11"/>
  <c r="L81" i="11"/>
  <c r="I144" i="8"/>
  <c r="K130" i="9"/>
  <c r="M129" i="11"/>
  <c r="L129" i="11"/>
  <c r="M115" i="11"/>
  <c r="L115" i="11"/>
  <c r="M149" i="11"/>
  <c r="L149" i="11"/>
  <c r="M142" i="11"/>
  <c r="L142" i="11"/>
  <c r="M138" i="11"/>
  <c r="L138" i="11"/>
  <c r="I146" i="8"/>
  <c r="I149" i="8" s="1"/>
  <c r="M131" i="11"/>
  <c r="L131" i="11"/>
  <c r="J107" i="8"/>
  <c r="M96" i="11"/>
  <c r="L96" i="11"/>
  <c r="K169" i="11" l="1"/>
  <c r="L169" i="11"/>
  <c r="K170" i="9"/>
  <c r="I190" i="8" l="1"/>
  <c r="K32" i="9" l="1"/>
  <c r="L31" i="11"/>
  <c r="M31" i="11" s="1"/>
  <c r="L176" i="11"/>
  <c r="L175" i="11"/>
  <c r="L172" i="11"/>
  <c r="L170" i="11"/>
  <c r="L168" i="11"/>
  <c r="K176" i="11"/>
  <c r="K177" i="11"/>
  <c r="K172" i="11"/>
  <c r="K170" i="11"/>
  <c r="K168" i="11"/>
  <c r="K166" i="11"/>
  <c r="L154" i="11"/>
  <c r="L155" i="11" s="1"/>
  <c r="L152" i="11"/>
  <c r="L153" i="11" s="1"/>
  <c r="L151" i="11"/>
  <c r="L148" i="11"/>
  <c r="L145" i="11"/>
  <c r="L137" i="11"/>
  <c r="L140" i="11" s="1"/>
  <c r="L133" i="11"/>
  <c r="L128" i="11"/>
  <c r="L127" i="11"/>
  <c r="L126" i="11"/>
  <c r="L125" i="11"/>
  <c r="L122" i="11"/>
  <c r="L121" i="11"/>
  <c r="L123" i="11" s="1"/>
  <c r="L120" i="11"/>
  <c r="L118" i="11"/>
  <c r="L114" i="11"/>
  <c r="L117" i="11" s="1"/>
  <c r="L109" i="11"/>
  <c r="L112" i="11" s="1"/>
  <c r="L107" i="11"/>
  <c r="L106" i="11"/>
  <c r="L105" i="11"/>
  <c r="L104" i="11"/>
  <c r="L102" i="11"/>
  <c r="L100" i="11"/>
  <c r="L98" i="11"/>
  <c r="L93" i="11"/>
  <c r="L92" i="11"/>
  <c r="L86" i="11"/>
  <c r="L167" i="11" s="1"/>
  <c r="L82" i="11"/>
  <c r="L80" i="11"/>
  <c r="L78" i="11"/>
  <c r="L71" i="11"/>
  <c r="L73" i="11" s="1"/>
  <c r="L69" i="11"/>
  <c r="L68" i="11"/>
  <c r="L174" i="11" s="1"/>
  <c r="L65" i="11"/>
  <c r="L70" i="11" s="1"/>
  <c r="L62" i="11"/>
  <c r="L165" i="11" s="1"/>
  <c r="L61" i="11"/>
  <c r="L60" i="11"/>
  <c r="L58" i="11"/>
  <c r="L177" i="11" s="1"/>
  <c r="M177" i="11" s="1"/>
  <c r="L63" i="11"/>
  <c r="L51" i="11"/>
  <c r="L49" i="11"/>
  <c r="L47" i="11"/>
  <c r="L45" i="11"/>
  <c r="L41" i="11"/>
  <c r="L38" i="11"/>
  <c r="L37" i="11"/>
  <c r="L36" i="11"/>
  <c r="L35" i="11"/>
  <c r="L33" i="11"/>
  <c r="L30" i="11"/>
  <c r="L29" i="11"/>
  <c r="L39" i="11" s="1"/>
  <c r="L25" i="11"/>
  <c r="L24" i="11"/>
  <c r="L23" i="11"/>
  <c r="L20" i="11"/>
  <c r="L19" i="11"/>
  <c r="L18" i="11"/>
  <c r="L17" i="11"/>
  <c r="L171" i="11" s="1"/>
  <c r="K154" i="11"/>
  <c r="K155" i="11" s="1"/>
  <c r="K152" i="11"/>
  <c r="K151" i="11"/>
  <c r="K153" i="11" s="1"/>
  <c r="K149" i="11"/>
  <c r="K150" i="11" s="1"/>
  <c r="K148" i="11"/>
  <c r="K145" i="11"/>
  <c r="K142" i="11"/>
  <c r="K147" i="11" s="1"/>
  <c r="K138" i="11"/>
  <c r="K137" i="11"/>
  <c r="K131" i="11"/>
  <c r="K133" i="11" s="1"/>
  <c r="K129" i="11"/>
  <c r="K128" i="11"/>
  <c r="K127" i="11"/>
  <c r="K126" i="11"/>
  <c r="K125" i="11"/>
  <c r="K122" i="11"/>
  <c r="K121" i="11"/>
  <c r="K118" i="11"/>
  <c r="K120" i="11" s="1"/>
  <c r="K115" i="11"/>
  <c r="K114" i="11"/>
  <c r="K109" i="11"/>
  <c r="K112" i="11" s="1"/>
  <c r="K107" i="11"/>
  <c r="K106" i="11"/>
  <c r="K105" i="11"/>
  <c r="K104" i="11"/>
  <c r="K102" i="11"/>
  <c r="K100" i="11"/>
  <c r="K98" i="11"/>
  <c r="K96" i="11"/>
  <c r="K93" i="11"/>
  <c r="K92" i="11"/>
  <c r="K101" i="11" s="1"/>
  <c r="K86" i="11"/>
  <c r="K167" i="11" s="1"/>
  <c r="K82" i="11"/>
  <c r="K81" i="11"/>
  <c r="K80" i="11"/>
  <c r="K88" i="11" s="1"/>
  <c r="K89" i="11" s="1"/>
  <c r="K78" i="11"/>
  <c r="K71" i="11"/>
  <c r="K73" i="11" s="1"/>
  <c r="K69" i="11"/>
  <c r="K175" i="11" s="1"/>
  <c r="K68" i="11"/>
  <c r="K174" i="11" s="1"/>
  <c r="K65" i="11"/>
  <c r="K62" i="11"/>
  <c r="K165" i="11" s="1"/>
  <c r="K61" i="11"/>
  <c r="K60" i="11"/>
  <c r="K58" i="11"/>
  <c r="K55" i="11"/>
  <c r="K51" i="11"/>
  <c r="K49" i="11"/>
  <c r="K47" i="11"/>
  <c r="K42" i="11"/>
  <c r="K41" i="11"/>
  <c r="K38" i="11"/>
  <c r="K37" i="11"/>
  <c r="K36" i="11"/>
  <c r="K35" i="11"/>
  <c r="K33" i="11"/>
  <c r="K31" i="11"/>
  <c r="K30" i="11"/>
  <c r="K29" i="11"/>
  <c r="K25" i="11"/>
  <c r="K24" i="11"/>
  <c r="K23" i="11"/>
  <c r="K20" i="11"/>
  <c r="K19" i="11"/>
  <c r="K26" i="11" s="1"/>
  <c r="K18" i="11"/>
  <c r="K17" i="11"/>
  <c r="K164" i="11" l="1"/>
  <c r="M170" i="11"/>
  <c r="M167" i="11"/>
  <c r="M165" i="11"/>
  <c r="M174" i="11"/>
  <c r="K39" i="11"/>
  <c r="K53" i="11"/>
  <c r="K108" i="11"/>
  <c r="K130" i="11"/>
  <c r="K63" i="11"/>
  <c r="L88" i="11"/>
  <c r="L89" i="11" s="1"/>
  <c r="L101" i="11"/>
  <c r="L134" i="11" s="1"/>
  <c r="L150" i="11"/>
  <c r="K45" i="11"/>
  <c r="K74" i="11" s="1"/>
  <c r="K70" i="11"/>
  <c r="K117" i="11"/>
  <c r="K123" i="11"/>
  <c r="K134" i="11" s="1"/>
  <c r="K140" i="11"/>
  <c r="L26" i="11"/>
  <c r="L53" i="11"/>
  <c r="L108" i="11"/>
  <c r="L130" i="11"/>
  <c r="L147" i="11"/>
  <c r="M168" i="11"/>
  <c r="M55" i="11"/>
  <c r="K171" i="11"/>
  <c r="M171" i="11" s="1"/>
  <c r="M175" i="11"/>
  <c r="L166" i="11"/>
  <c r="M166" i="11" s="1"/>
  <c r="M164" i="11" s="1"/>
  <c r="M176" i="11"/>
  <c r="L173" i="11"/>
  <c r="K173" i="11"/>
  <c r="L74" i="11"/>
  <c r="L156" i="11"/>
  <c r="K156" i="11"/>
  <c r="L164" i="11" l="1"/>
  <c r="L163" i="11" s="1"/>
  <c r="L178" i="11" s="1"/>
  <c r="K178" i="11"/>
  <c r="K157" i="11"/>
  <c r="K158" i="11" s="1"/>
  <c r="M169" i="11"/>
  <c r="K163" i="11"/>
  <c r="L157" i="11"/>
  <c r="L158" i="11" s="1"/>
  <c r="M172" i="11" l="1"/>
  <c r="M163" i="11" s="1"/>
  <c r="M155" i="11"/>
  <c r="M153" i="11"/>
  <c r="M140" i="11"/>
  <c r="M133" i="11"/>
  <c r="M123" i="11"/>
  <c r="M120" i="11"/>
  <c r="M117" i="11"/>
  <c r="M112" i="11"/>
  <c r="M88" i="11"/>
  <c r="M89" i="11" s="1"/>
  <c r="M73" i="11"/>
  <c r="M39" i="11" l="1"/>
  <c r="M173" i="11"/>
  <c r="M70" i="11"/>
  <c r="M101" i="11"/>
  <c r="M108" i="11"/>
  <c r="M130" i="11"/>
  <c r="M150" i="11"/>
  <c r="M147" i="11"/>
  <c r="M63" i="11"/>
  <c r="M26" i="11"/>
  <c r="M156" i="11" l="1"/>
  <c r="M134" i="11"/>
  <c r="M74" i="11"/>
  <c r="M178" i="11"/>
  <c r="M157" i="11" l="1"/>
  <c r="M158" i="11" s="1"/>
  <c r="K177" i="9" l="1"/>
  <c r="K173" i="9"/>
  <c r="K171" i="9"/>
  <c r="K169" i="9"/>
  <c r="K155" i="9"/>
  <c r="K156" i="9" s="1"/>
  <c r="K153" i="9"/>
  <c r="K152" i="9"/>
  <c r="K149" i="9"/>
  <c r="K146" i="9"/>
  <c r="K138" i="9"/>
  <c r="K141" i="9" s="1"/>
  <c r="K134" i="9"/>
  <c r="K129" i="9"/>
  <c r="K128" i="9"/>
  <c r="K127" i="9"/>
  <c r="K126" i="9"/>
  <c r="K123" i="9"/>
  <c r="K124" i="9" s="1"/>
  <c r="K122" i="9"/>
  <c r="K119" i="9"/>
  <c r="K121" i="9" s="1"/>
  <c r="K115" i="9"/>
  <c r="K110" i="9"/>
  <c r="K113" i="9" s="1"/>
  <c r="K108" i="9"/>
  <c r="K107" i="9"/>
  <c r="K106" i="9"/>
  <c r="K105" i="9"/>
  <c r="K103" i="9"/>
  <c r="K109" i="9" s="1"/>
  <c r="K101" i="9"/>
  <c r="K99" i="9"/>
  <c r="K94" i="9"/>
  <c r="K102" i="9" s="1"/>
  <c r="K93" i="9"/>
  <c r="K87" i="9"/>
  <c r="K168" i="9" s="1"/>
  <c r="K83" i="9"/>
  <c r="K81" i="9"/>
  <c r="K79" i="9"/>
  <c r="K89" i="9" s="1"/>
  <c r="K90" i="9" s="1"/>
  <c r="K72" i="9"/>
  <c r="K74" i="9" s="1"/>
  <c r="K70" i="9"/>
  <c r="K176" i="9" s="1"/>
  <c r="K69" i="9"/>
  <c r="K175" i="9" s="1"/>
  <c r="K66" i="9"/>
  <c r="K167" i="9" s="1"/>
  <c r="K63" i="9"/>
  <c r="K62" i="9"/>
  <c r="K61" i="9"/>
  <c r="K59" i="9"/>
  <c r="K178" i="9" s="1"/>
  <c r="K56" i="9"/>
  <c r="K52" i="9"/>
  <c r="K50" i="9"/>
  <c r="K48" i="9"/>
  <c r="K54" i="9" s="1"/>
  <c r="K43" i="9"/>
  <c r="K42" i="9"/>
  <c r="K46" i="9" s="1"/>
  <c r="K39" i="9"/>
  <c r="K38" i="9"/>
  <c r="K37" i="9"/>
  <c r="K36" i="9"/>
  <c r="K34" i="9"/>
  <c r="K31" i="9"/>
  <c r="K30" i="9"/>
  <c r="K26" i="9"/>
  <c r="K25" i="9"/>
  <c r="K24" i="9"/>
  <c r="K21" i="9"/>
  <c r="K20" i="9"/>
  <c r="K19" i="9"/>
  <c r="K18" i="9"/>
  <c r="K154" i="9" l="1"/>
  <c r="K118" i="9"/>
  <c r="K148" i="9"/>
  <c r="K40" i="9"/>
  <c r="K172" i="9"/>
  <c r="K174" i="9"/>
  <c r="K71" i="9"/>
  <c r="K131" i="9"/>
  <c r="K151" i="9"/>
  <c r="K64" i="9"/>
  <c r="K166" i="9"/>
  <c r="K165" i="9" s="1"/>
  <c r="K27" i="9"/>
  <c r="K135" i="9" l="1"/>
  <c r="K157" i="9"/>
  <c r="K164" i="9"/>
  <c r="K179" i="9" s="1"/>
  <c r="K75" i="9"/>
  <c r="K158" i="9" l="1"/>
  <c r="K159" i="9" s="1"/>
  <c r="H33" i="7"/>
  <c r="I34" i="8"/>
  <c r="J107" i="7" l="1"/>
  <c r="I107" i="7"/>
  <c r="H107" i="7"/>
  <c r="J117" i="8"/>
  <c r="J121" i="8" s="1"/>
  <c r="H189" i="7"/>
  <c r="J109" i="8"/>
  <c r="I154" i="7" l="1"/>
  <c r="J154" i="7"/>
  <c r="J80" i="8"/>
  <c r="H83" i="7"/>
  <c r="I189" i="7" l="1"/>
  <c r="J70" i="8" l="1"/>
  <c r="H71" i="8"/>
  <c r="I71" i="8"/>
  <c r="H73" i="7"/>
  <c r="J190" i="7"/>
  <c r="I190" i="7"/>
  <c r="I18" i="7" l="1"/>
  <c r="O13" i="5"/>
  <c r="J15" i="7"/>
  <c r="I15" i="7"/>
  <c r="I20" i="7"/>
  <c r="H34" i="8"/>
  <c r="J34" i="8" s="1"/>
  <c r="I34" i="7"/>
  <c r="O26" i="5" l="1"/>
  <c r="O27" i="5"/>
  <c r="O16" i="5"/>
  <c r="O17" i="5"/>
  <c r="O19" i="5"/>
  <c r="O22" i="5"/>
  <c r="I79" i="8" l="1"/>
  <c r="R86" i="5"/>
  <c r="H80" i="7"/>
  <c r="I194" i="8" l="1"/>
  <c r="I192" i="8"/>
  <c r="J79" i="8"/>
  <c r="I188" i="8"/>
  <c r="I172" i="8"/>
  <c r="I175" i="8" s="1"/>
  <c r="I168" i="8"/>
  <c r="I171" i="8" s="1"/>
  <c r="I166" i="8"/>
  <c r="I143" i="8"/>
  <c r="I200" i="8" s="1"/>
  <c r="I140" i="8"/>
  <c r="I137" i="8"/>
  <c r="I138" i="8" s="1"/>
  <c r="I132" i="8"/>
  <c r="I134" i="8" s="1"/>
  <c r="I128" i="8"/>
  <c r="I122" i="8"/>
  <c r="I126" i="8" s="1"/>
  <c r="I116" i="8"/>
  <c r="I121" i="8" s="1"/>
  <c r="I114" i="8"/>
  <c r="I106" i="8"/>
  <c r="I92" i="8"/>
  <c r="I91" i="8"/>
  <c r="I86" i="8"/>
  <c r="I88" i="8" s="1"/>
  <c r="I83" i="8"/>
  <c r="I198" i="8" s="1"/>
  <c r="I82" i="8"/>
  <c r="I196" i="8" s="1"/>
  <c r="I76" i="8"/>
  <c r="I77" i="8" s="1"/>
  <c r="I59" i="8"/>
  <c r="I48" i="8"/>
  <c r="I42" i="8"/>
  <c r="I33" i="8"/>
  <c r="I32" i="8"/>
  <c r="I26" i="8"/>
  <c r="J26" i="8" s="1"/>
  <c r="I22" i="8"/>
  <c r="I19" i="8"/>
  <c r="I17" i="8"/>
  <c r="I16" i="8"/>
  <c r="I13" i="8"/>
  <c r="R92" i="5"/>
  <c r="O86" i="5"/>
  <c r="K88" i="5"/>
  <c r="O87" i="5"/>
  <c r="K87" i="5"/>
  <c r="I191" i="8" l="1"/>
  <c r="J22" i="8"/>
  <c r="I197" i="8"/>
  <c r="I115" i="8"/>
  <c r="I193" i="8"/>
  <c r="I187" i="8"/>
  <c r="I189" i="8"/>
  <c r="I131" i="8"/>
  <c r="I65" i="8"/>
  <c r="I102" i="8"/>
  <c r="I103" i="8" s="1"/>
  <c r="I85" i="8"/>
  <c r="I145" i="8"/>
  <c r="I167" i="8"/>
  <c r="I46" i="8"/>
  <c r="I57" i="8"/>
  <c r="I29" i="8"/>
  <c r="I186" i="8" l="1"/>
  <c r="I179" i="8"/>
  <c r="I150" i="8"/>
  <c r="I89" i="8"/>
  <c r="I185" i="8" l="1"/>
  <c r="I180" i="8"/>
  <c r="I181" i="8" s="1"/>
  <c r="J199" i="8"/>
  <c r="H199" i="8"/>
  <c r="J194" i="8"/>
  <c r="H194" i="8"/>
  <c r="J192" i="8"/>
  <c r="H192" i="8"/>
  <c r="H176" i="8"/>
  <c r="H173" i="8"/>
  <c r="J173" i="8" s="1"/>
  <c r="J175" i="8" s="1"/>
  <c r="H172" i="8"/>
  <c r="H175" i="8" s="1"/>
  <c r="H169" i="8"/>
  <c r="J169" i="8" s="1"/>
  <c r="J171" i="8" s="1"/>
  <c r="H168" i="8"/>
  <c r="H166" i="8"/>
  <c r="H163" i="8"/>
  <c r="H155" i="8"/>
  <c r="J155" i="8" s="1"/>
  <c r="H153" i="8"/>
  <c r="H144" i="8"/>
  <c r="J144" i="8" s="1"/>
  <c r="H143" i="8"/>
  <c r="H142" i="8"/>
  <c r="J142" i="8" s="1"/>
  <c r="J145" i="8" s="1"/>
  <c r="H140" i="8"/>
  <c r="H137" i="8"/>
  <c r="H135" i="8"/>
  <c r="J134" i="8"/>
  <c r="H132" i="8"/>
  <c r="H134" i="8" s="1"/>
  <c r="H129" i="8"/>
  <c r="J129" i="8" s="1"/>
  <c r="J131" i="8" s="1"/>
  <c r="H128" i="8"/>
  <c r="J126" i="8"/>
  <c r="H122" i="8"/>
  <c r="H126" i="8" s="1"/>
  <c r="H116" i="8"/>
  <c r="H121" i="8" s="1"/>
  <c r="H114" i="8"/>
  <c r="H112" i="8"/>
  <c r="J112" i="8" s="1"/>
  <c r="J115" i="8" s="1"/>
  <c r="H106" i="8"/>
  <c r="H93" i="8"/>
  <c r="J189" i="8"/>
  <c r="H92" i="8"/>
  <c r="H91" i="8"/>
  <c r="J88" i="8"/>
  <c r="H86" i="8"/>
  <c r="H88" i="8" s="1"/>
  <c r="J198" i="8"/>
  <c r="H83" i="8"/>
  <c r="H198" i="8" s="1"/>
  <c r="H82" i="8"/>
  <c r="H196" i="8" s="1"/>
  <c r="H81" i="8"/>
  <c r="H76" i="8"/>
  <c r="H74" i="8"/>
  <c r="J74" i="8" s="1"/>
  <c r="H72" i="8"/>
  <c r="J72" i="8" s="1"/>
  <c r="H200" i="8"/>
  <c r="H67" i="8"/>
  <c r="H63" i="8"/>
  <c r="J63" i="8" s="1"/>
  <c r="H61" i="8"/>
  <c r="J61" i="8" s="1"/>
  <c r="J65" i="8"/>
  <c r="H59" i="8"/>
  <c r="J196" i="8"/>
  <c r="J188" i="8"/>
  <c r="H49" i="8"/>
  <c r="J49" i="8" s="1"/>
  <c r="H48" i="8"/>
  <c r="H43" i="8"/>
  <c r="J43" i="8" s="1"/>
  <c r="H42" i="8"/>
  <c r="J42" i="8" s="1"/>
  <c r="J193" i="8" s="1"/>
  <c r="H40" i="8"/>
  <c r="J40" i="8" s="1"/>
  <c r="H38" i="8"/>
  <c r="J38" i="8" s="1"/>
  <c r="H36" i="8"/>
  <c r="J36" i="8" s="1"/>
  <c r="H33" i="8"/>
  <c r="H32" i="8"/>
  <c r="J29" i="8"/>
  <c r="H19" i="8"/>
  <c r="H17" i="8"/>
  <c r="H16" i="8"/>
  <c r="J187" i="8"/>
  <c r="H13" i="8"/>
  <c r="H57" i="8" l="1"/>
  <c r="J46" i="8"/>
  <c r="J81" i="8"/>
  <c r="H85" i="8"/>
  <c r="H138" i="8"/>
  <c r="J135" i="8"/>
  <c r="J138" i="8" s="1"/>
  <c r="J163" i="8"/>
  <c r="J167" i="8" s="1"/>
  <c r="H167" i="8"/>
  <c r="H115" i="8"/>
  <c r="H187" i="8"/>
  <c r="H46" i="8"/>
  <c r="H197" i="8"/>
  <c r="H195" i="8" s="1"/>
  <c r="H65" i="8"/>
  <c r="H77" i="8"/>
  <c r="J67" i="8"/>
  <c r="J77" i="8" s="1"/>
  <c r="H145" i="8"/>
  <c r="H160" i="8"/>
  <c r="J153" i="8"/>
  <c r="J160" i="8" s="1"/>
  <c r="H171" i="8"/>
  <c r="J176" i="8"/>
  <c r="J178" i="8" s="1"/>
  <c r="H178" i="8"/>
  <c r="J93" i="8"/>
  <c r="J190" i="8" s="1"/>
  <c r="H190" i="8"/>
  <c r="J146" i="8"/>
  <c r="J149" i="8" s="1"/>
  <c r="H193" i="8"/>
  <c r="J102" i="8"/>
  <c r="J103" i="8" s="1"/>
  <c r="H102" i="8"/>
  <c r="H103" i="8" s="1"/>
  <c r="H131" i="8"/>
  <c r="H29" i="8"/>
  <c r="H189" i="8"/>
  <c r="J179" i="8"/>
  <c r="J57" i="8"/>
  <c r="H186" i="8" l="1"/>
  <c r="J197" i="8"/>
  <c r="J85" i="8"/>
  <c r="J89" i="8" s="1"/>
  <c r="J200" i="8"/>
  <c r="H185" i="8"/>
  <c r="H201" i="8" s="1"/>
  <c r="J150" i="8"/>
  <c r="J191" i="8"/>
  <c r="J186" i="8" s="1"/>
  <c r="J185" i="8" s="1"/>
  <c r="H179" i="8"/>
  <c r="H89" i="8"/>
  <c r="H150" i="8"/>
  <c r="H76" i="7"/>
  <c r="O78" i="5"/>
  <c r="J180" i="8" l="1"/>
  <c r="J181" i="8" s="1"/>
  <c r="J195" i="8"/>
  <c r="J201" i="8" s="1"/>
  <c r="H180" i="8"/>
  <c r="H181" i="8" s="1"/>
  <c r="I199" i="8"/>
  <c r="I195" i="8" s="1"/>
  <c r="H124" i="7"/>
  <c r="I201" i="8" l="1"/>
  <c r="J93" i="7"/>
  <c r="J124" i="7"/>
  <c r="I124" i="7"/>
  <c r="J146" i="7"/>
  <c r="I146" i="7"/>
  <c r="H145" i="7"/>
  <c r="I144" i="7"/>
  <c r="I142" i="7"/>
  <c r="H142" i="7"/>
  <c r="H147" i="7" s="1"/>
  <c r="O162" i="5" l="1"/>
  <c r="P163" i="5"/>
  <c r="Q163" i="5"/>
  <c r="R163" i="5"/>
  <c r="O161" i="5"/>
  <c r="X163" i="5"/>
  <c r="O134" i="5" l="1"/>
  <c r="K134" i="5"/>
  <c r="P133" i="5"/>
  <c r="L140" i="5"/>
  <c r="M140" i="5"/>
  <c r="N140" i="5"/>
  <c r="P140" i="5"/>
  <c r="Q140" i="5"/>
  <c r="R140" i="5"/>
  <c r="T140" i="5"/>
  <c r="U140" i="5"/>
  <c r="V140" i="5"/>
  <c r="W140" i="5"/>
  <c r="X140" i="5"/>
  <c r="K139" i="5"/>
  <c r="O131" i="5" l="1"/>
  <c r="H27" i="7" l="1"/>
  <c r="H87" i="7" l="1"/>
  <c r="I135" i="7"/>
  <c r="W151" i="5"/>
  <c r="I118" i="7" l="1"/>
  <c r="I123" i="7" s="1"/>
  <c r="J174" i="7"/>
  <c r="I174" i="7"/>
  <c r="H174" i="7"/>
  <c r="I172" i="7"/>
  <c r="H171" i="7"/>
  <c r="H173" i="7" s="1"/>
  <c r="I169" i="7"/>
  <c r="J169" i="7"/>
  <c r="I168" i="7"/>
  <c r="J168" i="7"/>
  <c r="H168" i="7"/>
  <c r="J166" i="7"/>
  <c r="I166" i="7"/>
  <c r="H166" i="7"/>
  <c r="J163" i="7"/>
  <c r="I163" i="7"/>
  <c r="I155" i="7"/>
  <c r="I160" i="7" s="1"/>
  <c r="J155" i="7"/>
  <c r="J160" i="7" s="1"/>
  <c r="H154" i="7"/>
  <c r="J148" i="7"/>
  <c r="I148" i="7"/>
  <c r="H150" i="7"/>
  <c r="I139" i="7"/>
  <c r="I138" i="7"/>
  <c r="H139" i="7"/>
  <c r="H138" i="7"/>
  <c r="J135" i="7"/>
  <c r="H135" i="7"/>
  <c r="H130" i="7"/>
  <c r="H118" i="7"/>
  <c r="H123" i="7" s="1"/>
  <c r="J118" i="7"/>
  <c r="J123" i="7" s="1"/>
  <c r="J116" i="7"/>
  <c r="I116" i="7"/>
  <c r="H116" i="7"/>
  <c r="I115" i="7"/>
  <c r="H115" i="7"/>
  <c r="I93" i="7"/>
  <c r="H93" i="7"/>
  <c r="J92" i="7"/>
  <c r="I92" i="7"/>
  <c r="H92" i="7"/>
  <c r="I87" i="7"/>
  <c r="J87" i="7"/>
  <c r="J85" i="7"/>
  <c r="H84" i="7"/>
  <c r="H77" i="7"/>
  <c r="J71" i="7"/>
  <c r="J70" i="7"/>
  <c r="J65" i="7"/>
  <c r="I65" i="7"/>
  <c r="H64" i="7"/>
  <c r="H66" i="7" s="1"/>
  <c r="J63" i="7"/>
  <c r="J61" i="7"/>
  <c r="J60" i="7"/>
  <c r="I60" i="7"/>
  <c r="J58" i="7"/>
  <c r="J55" i="7"/>
  <c r="J53" i="7"/>
  <c r="J52" i="7"/>
  <c r="J51" i="7"/>
  <c r="I51" i="7"/>
  <c r="J50" i="7"/>
  <c r="I50" i="7"/>
  <c r="H40" i="7"/>
  <c r="H39" i="7"/>
  <c r="H38" i="7"/>
  <c r="H37" i="7"/>
  <c r="J36" i="7"/>
  <c r="I36" i="7"/>
  <c r="J35" i="7"/>
  <c r="J188" i="7" s="1"/>
  <c r="I35" i="7"/>
  <c r="H35" i="7"/>
  <c r="I32" i="7"/>
  <c r="I28" i="7"/>
  <c r="H26" i="7"/>
  <c r="H24" i="7"/>
  <c r="H188" i="7" s="1"/>
  <c r="J23" i="7"/>
  <c r="J22" i="7"/>
  <c r="I22" i="7"/>
  <c r="H21" i="7"/>
  <c r="H19" i="7"/>
  <c r="H17" i="7"/>
  <c r="H160" i="7" l="1"/>
  <c r="H45" i="7"/>
  <c r="H190" i="7"/>
  <c r="H117" i="7"/>
  <c r="H78" i="7"/>
  <c r="I56" i="7"/>
  <c r="I66" i="7"/>
  <c r="H30" i="7"/>
  <c r="K27" i="5" l="1"/>
  <c r="K26" i="5"/>
  <c r="K25" i="5"/>
  <c r="O79" i="5" l="1"/>
  <c r="R51" i="5" l="1"/>
  <c r="R84" i="5"/>
  <c r="K76" i="5" l="1"/>
  <c r="O77" i="5"/>
  <c r="J140" i="7" l="1"/>
  <c r="I140" i="7"/>
  <c r="H140" i="7"/>
  <c r="J137" i="7"/>
  <c r="I137" i="7"/>
  <c r="H137" i="7"/>
  <c r="J134" i="7"/>
  <c r="I134" i="7"/>
  <c r="H134" i="7"/>
  <c r="W163" i="5"/>
  <c r="L163" i="5"/>
  <c r="M163" i="5"/>
  <c r="N163" i="5"/>
  <c r="T163" i="5"/>
  <c r="U163" i="5"/>
  <c r="V163" i="5"/>
  <c r="S160" i="5"/>
  <c r="O160" i="5"/>
  <c r="K160" i="5"/>
  <c r="O159" i="5"/>
  <c r="S158" i="5"/>
  <c r="S163" i="5" s="1"/>
  <c r="O158" i="5"/>
  <c r="O163" i="5" s="1"/>
  <c r="K158" i="5"/>
  <c r="X156" i="5"/>
  <c r="W156" i="5"/>
  <c r="V156" i="5"/>
  <c r="U156" i="5"/>
  <c r="T156" i="5"/>
  <c r="R156" i="5"/>
  <c r="Q156" i="5"/>
  <c r="P156" i="5"/>
  <c r="N156" i="5"/>
  <c r="M156" i="5"/>
  <c r="L156" i="5"/>
  <c r="S155" i="5"/>
  <c r="O155" i="5"/>
  <c r="K155" i="5"/>
  <c r="S154" i="5"/>
  <c r="O154" i="5"/>
  <c r="K154" i="5"/>
  <c r="J66" i="7"/>
  <c r="K163" i="5" l="1"/>
  <c r="K156" i="5"/>
  <c r="O156" i="5"/>
  <c r="S156" i="5"/>
  <c r="X70" i="5" l="1"/>
  <c r="W70" i="5"/>
  <c r="V70" i="5"/>
  <c r="U70" i="5"/>
  <c r="T70" i="5"/>
  <c r="R70" i="5"/>
  <c r="Q70" i="5"/>
  <c r="P70" i="5"/>
  <c r="N70" i="5"/>
  <c r="M70" i="5"/>
  <c r="L70" i="5"/>
  <c r="S68" i="5"/>
  <c r="O68" i="5"/>
  <c r="K68" i="5"/>
  <c r="S66" i="5"/>
  <c r="O66" i="5"/>
  <c r="K66" i="5"/>
  <c r="S64" i="5"/>
  <c r="O64" i="5"/>
  <c r="K64" i="5"/>
  <c r="O70" i="5" l="1"/>
  <c r="S70" i="5"/>
  <c r="K70" i="5"/>
  <c r="S90" i="5" l="1"/>
  <c r="O90" i="5"/>
  <c r="K90" i="5"/>
  <c r="S89" i="5"/>
  <c r="O89" i="5"/>
  <c r="K89" i="5"/>
  <c r="O92" i="5" l="1"/>
  <c r="O46" i="5"/>
  <c r="H167" i="7"/>
  <c r="O49" i="5"/>
  <c r="J117" i="7"/>
  <c r="O126" i="5"/>
  <c r="I30" i="7"/>
  <c r="J30" i="7"/>
  <c r="S19" i="5" l="1"/>
  <c r="W37" i="5" l="1"/>
  <c r="I117" i="7"/>
  <c r="P106" i="5" l="1"/>
  <c r="O37" i="5" l="1"/>
  <c r="S14" i="5"/>
  <c r="X182" i="5" l="1"/>
  <c r="W182" i="5"/>
  <c r="W135" i="5"/>
  <c r="W128" i="5"/>
  <c r="W115" i="5"/>
  <c r="W116" i="5" s="1"/>
  <c r="W62" i="5"/>
  <c r="W51" i="5"/>
  <c r="O180" i="5"/>
  <c r="O144" i="5" l="1"/>
  <c r="O121" i="5" l="1"/>
  <c r="I173" i="7" l="1"/>
  <c r="J173" i="7"/>
  <c r="X135" i="5" l="1"/>
  <c r="P128" i="5" l="1"/>
  <c r="Q128" i="5"/>
  <c r="R128" i="5"/>
  <c r="P185" i="5"/>
  <c r="Q185" i="5"/>
  <c r="R185" i="5"/>
  <c r="T185" i="5"/>
  <c r="U185" i="5"/>
  <c r="V185" i="5"/>
  <c r="W185" i="5"/>
  <c r="X185" i="5"/>
  <c r="O184" i="5"/>
  <c r="O124" i="5"/>
  <c r="O48" i="5" l="1"/>
  <c r="O47" i="5"/>
  <c r="S44" i="5"/>
  <c r="O44" i="5"/>
  <c r="K44" i="5"/>
  <c r="H196" i="7" l="1"/>
  <c r="H195" i="7"/>
  <c r="H194" i="7"/>
  <c r="H193" i="7"/>
  <c r="H191" i="7"/>
  <c r="H186" i="7"/>
  <c r="H187" i="7"/>
  <c r="H185" i="7"/>
  <c r="H184" i="7"/>
  <c r="I196" i="7"/>
  <c r="I184" i="7"/>
  <c r="I167" i="7"/>
  <c r="J103" i="7"/>
  <c r="J104" i="7" s="1"/>
  <c r="I103" i="7"/>
  <c r="I104" i="7" s="1"/>
  <c r="H103" i="7"/>
  <c r="H104" i="7" s="1"/>
  <c r="H175" i="7"/>
  <c r="H170" i="7"/>
  <c r="H128" i="7"/>
  <c r="I147" i="7"/>
  <c r="J147" i="7"/>
  <c r="H89" i="7"/>
  <c r="I86" i="7"/>
  <c r="J86" i="7"/>
  <c r="H86" i="7"/>
  <c r="J56" i="7"/>
  <c r="J45" i="7"/>
  <c r="I45" i="7"/>
  <c r="J196" i="7"/>
  <c r="J195" i="7"/>
  <c r="I195" i="7"/>
  <c r="J194" i="7"/>
  <c r="I194" i="7"/>
  <c r="J193" i="7"/>
  <c r="I193" i="7"/>
  <c r="J191" i="7"/>
  <c r="I191" i="7"/>
  <c r="J189" i="7"/>
  <c r="J187" i="7"/>
  <c r="I187" i="7"/>
  <c r="J186" i="7"/>
  <c r="I186" i="7"/>
  <c r="J185" i="7"/>
  <c r="I185" i="7"/>
  <c r="J184" i="7"/>
  <c r="J175" i="7"/>
  <c r="I175" i="7"/>
  <c r="J170" i="7"/>
  <c r="I170" i="7"/>
  <c r="J167" i="7"/>
  <c r="J150" i="7"/>
  <c r="I150" i="7"/>
  <c r="J128" i="7"/>
  <c r="I128" i="7"/>
  <c r="J89" i="7"/>
  <c r="J90" i="7" s="1"/>
  <c r="I89" i="7"/>
  <c r="J192" i="7" l="1"/>
  <c r="J183" i="7"/>
  <c r="I192" i="7"/>
  <c r="H192" i="7"/>
  <c r="I183" i="7"/>
  <c r="I182" i="7" s="1"/>
  <c r="H183" i="7"/>
  <c r="H182" i="7" s="1"/>
  <c r="J182" i="7"/>
  <c r="I90" i="7"/>
  <c r="J151" i="7"/>
  <c r="H151" i="7"/>
  <c r="I151" i="7"/>
  <c r="H90" i="7"/>
  <c r="H176" i="7"/>
  <c r="J176" i="7"/>
  <c r="I176" i="7"/>
  <c r="K146" i="5"/>
  <c r="J197" i="7" l="1"/>
  <c r="I197" i="7"/>
  <c r="H197" i="7"/>
  <c r="H177" i="7"/>
  <c r="H178" i="7" s="1"/>
  <c r="I177" i="7"/>
  <c r="I178" i="7" s="1"/>
  <c r="J177" i="7"/>
  <c r="J178" i="7" s="1"/>
  <c r="X201" i="5" l="1"/>
  <c r="W201" i="5"/>
  <c r="L135" i="5" l="1"/>
  <c r="P135" i="5"/>
  <c r="O132" i="5"/>
  <c r="O199" i="5"/>
  <c r="P115" i="5"/>
  <c r="O203" i="5"/>
  <c r="L84" i="5"/>
  <c r="M84" i="5"/>
  <c r="P84" i="5"/>
  <c r="Q84" i="5"/>
  <c r="T84" i="5"/>
  <c r="U84" i="5"/>
  <c r="V84" i="5"/>
  <c r="W84" i="5"/>
  <c r="X84" i="5"/>
  <c r="O208" i="5"/>
  <c r="R150" i="5"/>
  <c r="L128" i="5"/>
  <c r="M128" i="5"/>
  <c r="N128" i="5"/>
  <c r="T128" i="5"/>
  <c r="U128" i="5"/>
  <c r="V128" i="5"/>
  <c r="X128" i="5"/>
  <c r="L51" i="5"/>
  <c r="M51" i="5"/>
  <c r="N51" i="5"/>
  <c r="P51" i="5"/>
  <c r="Q51" i="5"/>
  <c r="T51" i="5"/>
  <c r="U51" i="5"/>
  <c r="V51" i="5"/>
  <c r="X51" i="5"/>
  <c r="L37" i="5"/>
  <c r="M37" i="5"/>
  <c r="N37" i="5"/>
  <c r="P37" i="5"/>
  <c r="Q37" i="5"/>
  <c r="R37" i="5"/>
  <c r="T37" i="5"/>
  <c r="U37" i="5"/>
  <c r="V37" i="5"/>
  <c r="X37" i="5"/>
  <c r="K83" i="5"/>
  <c r="K82" i="5"/>
  <c r="K81" i="5"/>
  <c r="N80" i="5"/>
  <c r="N84" i="5" s="1"/>
  <c r="S75" i="5"/>
  <c r="O75" i="5"/>
  <c r="K75" i="5"/>
  <c r="S72" i="5"/>
  <c r="O72" i="5"/>
  <c r="O84" i="5" s="1"/>
  <c r="L62" i="5"/>
  <c r="M62" i="5"/>
  <c r="N62" i="5"/>
  <c r="P62" i="5"/>
  <c r="Q62" i="5"/>
  <c r="R62" i="5"/>
  <c r="T62" i="5"/>
  <c r="U62" i="5"/>
  <c r="V62" i="5"/>
  <c r="X62" i="5"/>
  <c r="K80" i="5" l="1"/>
  <c r="K84" i="5" s="1"/>
  <c r="S84" i="5"/>
  <c r="L92" i="5"/>
  <c r="M92" i="5"/>
  <c r="N92" i="5"/>
  <c r="P92" i="5"/>
  <c r="Q92" i="5"/>
  <c r="T92" i="5"/>
  <c r="U92" i="5"/>
  <c r="V92" i="5"/>
  <c r="W92" i="5"/>
  <c r="X92" i="5"/>
  <c r="K36" i="5"/>
  <c r="K35" i="5"/>
  <c r="K34" i="5"/>
  <c r="K33" i="5"/>
  <c r="S54" i="5" l="1"/>
  <c r="O54" i="5"/>
  <c r="K54" i="5"/>
  <c r="K32" i="5" l="1"/>
  <c r="K31" i="5"/>
  <c r="K30" i="5"/>
  <c r="X96" i="5" l="1"/>
  <c r="X97" i="5" s="1"/>
  <c r="W96" i="5"/>
  <c r="W97" i="5" s="1"/>
  <c r="V96" i="5"/>
  <c r="V97" i="5" s="1"/>
  <c r="U96" i="5"/>
  <c r="U97" i="5" s="1"/>
  <c r="T96" i="5"/>
  <c r="T97" i="5" s="1"/>
  <c r="R96" i="5"/>
  <c r="R97" i="5" s="1"/>
  <c r="Q96" i="5"/>
  <c r="Q97" i="5" s="1"/>
  <c r="P96" i="5"/>
  <c r="P97" i="5" s="1"/>
  <c r="N96" i="5"/>
  <c r="N97" i="5" s="1"/>
  <c r="M96" i="5"/>
  <c r="M97" i="5" s="1"/>
  <c r="L96" i="5"/>
  <c r="L97" i="5" s="1"/>
  <c r="S93" i="5"/>
  <c r="S96" i="5" s="1"/>
  <c r="O93" i="5"/>
  <c r="O96" i="5" s="1"/>
  <c r="K93" i="5"/>
  <c r="K96" i="5" s="1"/>
  <c r="W178" i="5" l="1"/>
  <c r="L178" i="5"/>
  <c r="M178" i="5"/>
  <c r="N178" i="5"/>
  <c r="P178" i="5"/>
  <c r="Q178" i="5"/>
  <c r="R178" i="5"/>
  <c r="T178" i="5"/>
  <c r="U178" i="5"/>
  <c r="V178" i="5"/>
  <c r="X178" i="5"/>
  <c r="L171" i="5" l="1"/>
  <c r="M171" i="5"/>
  <c r="N171" i="5"/>
  <c r="P171" i="5"/>
  <c r="Q171" i="5"/>
  <c r="R171" i="5"/>
  <c r="T171" i="5"/>
  <c r="U171" i="5"/>
  <c r="V171" i="5"/>
  <c r="W171" i="5"/>
  <c r="X171" i="5"/>
  <c r="O137" i="5" l="1"/>
  <c r="O138" i="5"/>
  <c r="M115" i="5"/>
  <c r="N115" i="5"/>
  <c r="Q115" i="5"/>
  <c r="R115" i="5"/>
  <c r="T115" i="5"/>
  <c r="U115" i="5"/>
  <c r="V115" i="5"/>
  <c r="X115" i="5"/>
  <c r="O151" i="5" l="1"/>
  <c r="O153" i="5" s="1"/>
  <c r="M135" i="5" l="1"/>
  <c r="N135" i="5"/>
  <c r="Q135" i="5"/>
  <c r="R135" i="5"/>
  <c r="T135" i="5"/>
  <c r="U135" i="5"/>
  <c r="V135" i="5"/>
  <c r="O143" i="5"/>
  <c r="K145" i="5" l="1"/>
  <c r="M150" i="5"/>
  <c r="N150" i="5"/>
  <c r="Q150" i="5"/>
  <c r="T150" i="5"/>
  <c r="U150" i="5"/>
  <c r="V150" i="5"/>
  <c r="W150" i="5"/>
  <c r="X150" i="5"/>
  <c r="O142" i="5"/>
  <c r="O150" i="5" s="1"/>
  <c r="O133" i="5"/>
  <c r="K133" i="5"/>
  <c r="K132" i="5"/>
  <c r="K130" i="5"/>
  <c r="S129" i="5"/>
  <c r="S135" i="5" s="1"/>
  <c r="O129" i="5"/>
  <c r="O135" i="5" s="1"/>
  <c r="K129" i="5"/>
  <c r="K135" i="5" l="1"/>
  <c r="K109" i="5"/>
  <c r="X203" i="5" l="1"/>
  <c r="W203" i="5" l="1"/>
  <c r="W202" i="5"/>
  <c r="K186" i="5"/>
  <c r="K181" i="5"/>
  <c r="K179" i="5"/>
  <c r="K176" i="5"/>
  <c r="K173" i="5"/>
  <c r="K170" i="5"/>
  <c r="K169" i="5"/>
  <c r="N165" i="5"/>
  <c r="M165" i="5"/>
  <c r="L165" i="5"/>
  <c r="K164" i="5"/>
  <c r="K165" i="5" s="1"/>
  <c r="K152" i="5"/>
  <c r="K151" i="5"/>
  <c r="K149" i="5"/>
  <c r="K148" i="5"/>
  <c r="K147" i="5"/>
  <c r="K143" i="5"/>
  <c r="K136" i="5"/>
  <c r="K140" i="5" s="1"/>
  <c r="K150" i="5" l="1"/>
  <c r="K178" i="5"/>
  <c r="K171" i="5"/>
  <c r="L150" i="5"/>
  <c r="K127" i="5" l="1"/>
  <c r="K123" i="5"/>
  <c r="K122" i="5"/>
  <c r="K119" i="5"/>
  <c r="K112" i="5"/>
  <c r="K202" i="5" s="1"/>
  <c r="K111" i="5"/>
  <c r="K110" i="5"/>
  <c r="K108" i="5"/>
  <c r="K107" i="5"/>
  <c r="K106" i="5"/>
  <c r="K105" i="5"/>
  <c r="K104" i="5"/>
  <c r="L103" i="5"/>
  <c r="K201" i="5"/>
  <c r="K61" i="5"/>
  <c r="K50" i="5"/>
  <c r="K43" i="5"/>
  <c r="K42" i="5"/>
  <c r="K41" i="5"/>
  <c r="K40" i="5"/>
  <c r="K29" i="5"/>
  <c r="K28" i="5"/>
  <c r="K37" i="5" s="1"/>
  <c r="K53" i="5"/>
  <c r="K62" i="5" s="1"/>
  <c r="K51" i="5" l="1"/>
  <c r="K128" i="5"/>
  <c r="K92" i="5"/>
  <c r="K103" i="5"/>
  <c r="K115" i="5" s="1"/>
  <c r="L115" i="5"/>
  <c r="K203" i="5"/>
  <c r="K97" i="5" l="1"/>
  <c r="K116" i="5"/>
  <c r="S123" i="5"/>
  <c r="S110" i="5" l="1"/>
  <c r="S122" i="5" l="1"/>
  <c r="S43" i="5" l="1"/>
  <c r="S181" i="5" l="1"/>
  <c r="S170" i="5"/>
  <c r="S127" i="5" l="1"/>
  <c r="S136" i="5" l="1"/>
  <c r="S140" i="5" s="1"/>
  <c r="S119" i="5"/>
  <c r="S112" i="5"/>
  <c r="S111" i="5"/>
  <c r="S109" i="5"/>
  <c r="S108" i="5"/>
  <c r="S107" i="5"/>
  <c r="S106" i="5"/>
  <c r="S105" i="5"/>
  <c r="S104" i="5"/>
  <c r="S103" i="5"/>
  <c r="S115" i="5" l="1"/>
  <c r="S116" i="5" s="1"/>
  <c r="O123" i="5" l="1"/>
  <c r="X202" i="5" l="1"/>
  <c r="S202" i="5"/>
  <c r="S42" i="5" l="1"/>
  <c r="O42" i="5"/>
  <c r="S41" i="5"/>
  <c r="O41" i="5"/>
  <c r="O170" i="5"/>
  <c r="W207" i="5" l="1"/>
  <c r="W209" i="5"/>
  <c r="W208" i="5"/>
  <c r="L188" i="5"/>
  <c r="M188" i="5"/>
  <c r="N188" i="5"/>
  <c r="P188" i="5"/>
  <c r="Q188" i="5"/>
  <c r="R188" i="5"/>
  <c r="T188" i="5"/>
  <c r="U188" i="5"/>
  <c r="V188" i="5"/>
  <c r="W188" i="5"/>
  <c r="W189" i="5" s="1"/>
  <c r="X188" i="5"/>
  <c r="X189" i="5" s="1"/>
  <c r="X200" i="5"/>
  <c r="W200" i="5"/>
  <c r="P165" i="5"/>
  <c r="Q165" i="5"/>
  <c r="R165" i="5"/>
  <c r="R166" i="5" s="1"/>
  <c r="T165" i="5"/>
  <c r="U165" i="5"/>
  <c r="V165" i="5"/>
  <c r="W165" i="5"/>
  <c r="W166" i="5" s="1"/>
  <c r="X165" i="5"/>
  <c r="O164" i="5"/>
  <c r="O165" i="5" s="1"/>
  <c r="S164" i="5"/>
  <c r="S165" i="5" s="1"/>
  <c r="O136" i="5"/>
  <c r="O140" i="5" s="1"/>
  <c r="S150" i="5"/>
  <c r="O127" i="5"/>
  <c r="O119" i="5"/>
  <c r="O104" i="5"/>
  <c r="O106" i="5"/>
  <c r="O105" i="5"/>
  <c r="O103" i="5"/>
  <c r="S200" i="5"/>
  <c r="P153" i="5"/>
  <c r="P182" i="5"/>
  <c r="N185" i="5"/>
  <c r="M185" i="5"/>
  <c r="L185" i="5"/>
  <c r="S183" i="5"/>
  <c r="S185" i="5" s="1"/>
  <c r="O183" i="5"/>
  <c r="O185" i="5" s="1"/>
  <c r="K185" i="5"/>
  <c r="S50" i="5"/>
  <c r="S88" i="5"/>
  <c r="S53" i="5"/>
  <c r="S62" i="5" s="1"/>
  <c r="O53" i="5"/>
  <c r="O62" i="5" s="1"/>
  <c r="S40" i="5"/>
  <c r="O40" i="5"/>
  <c r="S39" i="5"/>
  <c r="O205" i="5"/>
  <c r="S37" i="5"/>
  <c r="O112" i="5"/>
  <c r="O202" i="5" s="1"/>
  <c r="O111" i="5"/>
  <c r="O108" i="5"/>
  <c r="O107" i="5"/>
  <c r="S176" i="5"/>
  <c r="O176" i="5"/>
  <c r="V182" i="5"/>
  <c r="U182" i="5"/>
  <c r="T182" i="5"/>
  <c r="R182" i="5"/>
  <c r="Q182" i="5"/>
  <c r="N182" i="5"/>
  <c r="M182" i="5"/>
  <c r="L182" i="5"/>
  <c r="O181" i="5"/>
  <c r="S179" i="5"/>
  <c r="S182" i="5" s="1"/>
  <c r="S173" i="5"/>
  <c r="O173" i="5"/>
  <c r="X153" i="5"/>
  <c r="W153" i="5"/>
  <c r="V153" i="5"/>
  <c r="U153" i="5"/>
  <c r="T153" i="5"/>
  <c r="R153" i="5"/>
  <c r="Q153" i="5"/>
  <c r="N153" i="5"/>
  <c r="N166" i="5" s="1"/>
  <c r="M153" i="5"/>
  <c r="M166" i="5" s="1"/>
  <c r="L153" i="5"/>
  <c r="L166" i="5" s="1"/>
  <c r="S152" i="5"/>
  <c r="S201" i="5" s="1"/>
  <c r="S186" i="5"/>
  <c r="O186" i="5"/>
  <c r="O188" i="5" s="1"/>
  <c r="S169" i="5"/>
  <c r="S171" i="5" s="1"/>
  <c r="O169" i="5"/>
  <c r="O171" i="5" s="1"/>
  <c r="S203" i="5"/>
  <c r="X209" i="5"/>
  <c r="X208" i="5"/>
  <c r="X207" i="5"/>
  <c r="X206" i="5"/>
  <c r="W206" i="5"/>
  <c r="X205" i="5"/>
  <c r="W205" i="5"/>
  <c r="X199" i="5"/>
  <c r="W199" i="5"/>
  <c r="X198" i="5"/>
  <c r="W198" i="5"/>
  <c r="O110" i="5"/>
  <c r="O109" i="5"/>
  <c r="X166" i="5" l="1"/>
  <c r="T166" i="5"/>
  <c r="V166" i="5"/>
  <c r="Q166" i="5"/>
  <c r="U166" i="5"/>
  <c r="O128" i="5"/>
  <c r="O166" i="5" s="1"/>
  <c r="V189" i="5"/>
  <c r="Q189" i="5"/>
  <c r="U189" i="5"/>
  <c r="P189" i="5"/>
  <c r="T189" i="5"/>
  <c r="R189" i="5"/>
  <c r="S128" i="5"/>
  <c r="O182" i="5"/>
  <c r="O200" i="5"/>
  <c r="X197" i="5"/>
  <c r="X196" i="5" s="1"/>
  <c r="W197" i="5"/>
  <c r="W196" i="5" s="1"/>
  <c r="O206" i="5"/>
  <c r="O209" i="5"/>
  <c r="O201" i="5"/>
  <c r="O178" i="5"/>
  <c r="O189" i="5" s="1"/>
  <c r="O198" i="5"/>
  <c r="O115" i="5"/>
  <c r="O51" i="5"/>
  <c r="S51" i="5"/>
  <c r="S92" i="5"/>
  <c r="S178" i="5"/>
  <c r="M189" i="5"/>
  <c r="L189" i="5"/>
  <c r="N189" i="5"/>
  <c r="P150" i="5"/>
  <c r="P166" i="5" s="1"/>
  <c r="S153" i="5"/>
  <c r="S166" i="5" s="1"/>
  <c r="S198" i="5"/>
  <c r="S188" i="5"/>
  <c r="S199" i="5"/>
  <c r="K198" i="5"/>
  <c r="K205" i="5"/>
  <c r="K153" i="5"/>
  <c r="K166" i="5" s="1"/>
  <c r="S205" i="5"/>
  <c r="K206" i="5"/>
  <c r="S207" i="5"/>
  <c r="X116" i="5"/>
  <c r="M116" i="5"/>
  <c r="Q116" i="5"/>
  <c r="L116" i="5"/>
  <c r="R116" i="5"/>
  <c r="N116" i="5"/>
  <c r="U116" i="5"/>
  <c r="P116" i="5"/>
  <c r="S206" i="5"/>
  <c r="K209" i="5"/>
  <c r="K182" i="5"/>
  <c r="S208" i="5"/>
  <c r="K199" i="5"/>
  <c r="K207" i="5"/>
  <c r="V116" i="5"/>
  <c r="K200" i="5"/>
  <c r="O207" i="5"/>
  <c r="S209" i="5"/>
  <c r="W204" i="5"/>
  <c r="X204" i="5"/>
  <c r="T116" i="5"/>
  <c r="K188" i="5"/>
  <c r="K197" i="5" l="1"/>
  <c r="O197" i="5"/>
  <c r="S97" i="5"/>
  <c r="O97" i="5"/>
  <c r="S189" i="5"/>
  <c r="S197" i="5"/>
  <c r="O196" i="5"/>
  <c r="K196" i="5"/>
  <c r="O204" i="5"/>
  <c r="X190" i="5"/>
  <c r="X191" i="5" s="1"/>
  <c r="L190" i="5"/>
  <c r="L191" i="5" s="1"/>
  <c r="R190" i="5"/>
  <c r="R191" i="5" s="1"/>
  <c r="P190" i="5"/>
  <c r="P191" i="5" s="1"/>
  <c r="Q190" i="5"/>
  <c r="Q191" i="5" s="1"/>
  <c r="W190" i="5"/>
  <c r="W191" i="5" s="1"/>
  <c r="N190" i="5"/>
  <c r="N191" i="5" s="1"/>
  <c r="U190" i="5"/>
  <c r="U191" i="5" s="1"/>
  <c r="V190" i="5"/>
  <c r="V191" i="5" s="1"/>
  <c r="T190" i="5"/>
  <c r="T191" i="5" s="1"/>
  <c r="M190" i="5"/>
  <c r="M191" i="5" s="1"/>
  <c r="K189" i="5"/>
  <c r="K190" i="5" s="1"/>
  <c r="O116" i="5"/>
  <c r="S196" i="5"/>
  <c r="S204" i="5"/>
  <c r="X210" i="5"/>
  <c r="X211" i="5" s="1"/>
  <c r="W210" i="5"/>
  <c r="W211" i="5" s="1"/>
  <c r="O210" i="5" l="1"/>
  <c r="P211" i="5" s="1"/>
  <c r="S190" i="5"/>
  <c r="S191" i="5" s="1"/>
  <c r="O190" i="5"/>
  <c r="O191" i="5" s="1"/>
  <c r="S210" i="5"/>
  <c r="K208" i="5"/>
  <c r="K204" i="5" s="1"/>
  <c r="K210" i="5" l="1"/>
  <c r="K191" i="5" l="1"/>
</calcChain>
</file>

<file path=xl/comments1.xml><?xml version="1.0" encoding="utf-8"?>
<comments xmlns="http://schemas.openxmlformats.org/spreadsheetml/2006/main">
  <authors>
    <author>Audra Cepiene</author>
    <author>Indre Buteniene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centrinės miesto dalies gatvių tinklą:
</t>
        </r>
        <r>
          <rPr>
            <sz val="9"/>
            <color indexed="81"/>
            <rFont val="Tahoma"/>
            <family val="2"/>
            <charset val="186"/>
          </rPr>
          <t> kapitališkai  suremontuoti Pilies tiltą per Danės upę;
 rekonstruoti Daržų g. ir kitas senamiesčio gatves;
 rekonstruoti Kūlių Vartų g., Galinio Pylimo g. ir Taikos pr. sankryžą;
 nutiesti Bastionų g. ir pastatyti naują tiltą per Danės upę;
 įrengti įvažiuojamąjį kelią į  Klaipėdos piliavietės teritoriją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31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2.1.2.13 Modernizuoti šiaurinės miesto dalies gatvių tinklą:
</t>
        </r>
        <r>
          <rPr>
            <sz val="9"/>
            <color indexed="81"/>
            <rFont val="Tahoma"/>
            <family val="2"/>
            <charset val="186"/>
          </rPr>
          <t xml:space="preserve"> rekonstruoti įvažiuojamąjį kelią į miestą per Tauralaukį (Pajūrio g.);
 rekonstruoti Utenos, Pakruojo, Radviliškio, Rokiškio g. įrengiant pratęsimą iki Šiaurės pr.; 
 rekonstruoti prioritetines Tauralaukio gyvenamųjų kvartalų gatves
</t>
        </r>
      </text>
    </comment>
    <comment ref="E4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šiaurės–pietų transporto koridorių gatvių tinklą:
</t>
        </r>
        <r>
          <rPr>
            <sz val="9"/>
            <color indexed="81"/>
            <rFont val="Tahoma"/>
            <family val="2"/>
            <charset val="186"/>
          </rPr>
          <t> rekonstruoti Minijos g. nuo Baltijos pr. iki Jūrininkų pr.;
 rekonstruoti Tilžės g. nuo Šilutės pl. iki geležinkelio pervažos, pertvarkant žiedinę Mokyklos g. ir Šilutės pl. sankryžą; 
 rekonstruoti Taikos pr. nuo Sausio 15 osios g. iki Kauno g.;
 nutiesti Taikos pr. 2-ą juostą nuo Smiltelės g. iki Kairių g.;
 nutiesti Šilutės pl. tęsinį iki pietinio aplinkkelio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57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2.1.2.15 Pagerinti susisiekimą su  rekreacinėmis  pajūrio teritorijomis:
 </t>
        </r>
        <r>
          <rPr>
            <sz val="9"/>
            <color indexed="81"/>
            <rFont val="Tahoma"/>
            <family val="2"/>
            <charset val="186"/>
          </rPr>
          <t>rekonstruoti Pamario g. ir jos priklausinius, pritaikant turizmui;
 nutiesti kelią nuo Medelyno g. ties Labrenciškėmis iki Girulių (Pamario g.)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67" authorId="0">
      <text>
        <r>
          <rPr>
            <b/>
            <sz val="9"/>
            <color indexed="81"/>
            <rFont val="Tahoma"/>
            <family val="2"/>
            <charset val="186"/>
          </rPr>
          <t>KSP 2.1.2.14 Modernizuoti rytų–vakarų krypties gatvių tinklą:</t>
        </r>
        <r>
          <rPr>
            <sz val="9"/>
            <color indexed="81"/>
            <rFont val="Tahoma"/>
            <family val="2"/>
            <charset val="186"/>
          </rPr>
          <t xml:space="preserve">
 rekonstruoti Joniškės g.;
 nutiesti Statybininkų pr. tęsinį nuo Šilutės pl. per LEZ teritoriją iki 141 kelio;
 rekonstruoti Klemiškės g.;
 įrengti Kauno gatvės tęsinį iki Palangos plento
</t>
        </r>
      </text>
    </comment>
    <comment ref="D77" authorId="1">
      <text>
        <r>
          <rPr>
            <b/>
            <sz val="9"/>
            <color indexed="81"/>
            <rFont val="Tahoma"/>
            <family val="2"/>
            <charset val="186"/>
          </rPr>
          <t>Indre Buteniene:</t>
        </r>
        <r>
          <rPr>
            <sz val="9"/>
            <color indexed="81"/>
            <rFont val="Tahoma"/>
            <family val="2"/>
            <charset val="186"/>
          </rPr>
          <t xml:space="preserve">
Ūkio komiteto protokolas</t>
        </r>
      </text>
    </comment>
    <comment ref="E79" authorId="0">
      <text>
        <r>
          <rPr>
            <b/>
            <sz val="10"/>
            <color indexed="81"/>
            <rFont val="Tahoma"/>
            <family val="2"/>
            <charset val="186"/>
          </rPr>
          <t xml:space="preserve">KSP 2.2.1.2. Plėtoti bendrus poreikius atitinkančią susisiekimo infrastruktūrą:
</t>
        </r>
        <r>
          <rPr>
            <sz val="10"/>
            <color indexed="81"/>
            <rFont val="Tahoma"/>
            <family val="2"/>
            <charset val="186"/>
          </rPr>
          <t xml:space="preserve"> parengti galimybių studiją ir projektinius pasiūlymus dėl Švyturio g. rekonstrukcijos;
 modernizuoti Klaipėdos valstybinio jūrų uosto centrinio įvado jungtį rekonstruojant Baltijos pr. su žiedinėmis sankryžomis;
 įrengti dviejų lygių sankryžą tarp Vilniaus g. ir Pramonės g.;
 nutiesti pietinę jungtį tarp Klaipėdos valstybinio jūrų uosto ir IXB transporto koridoriaus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92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2.1.2.3 </t>
        </r>
        <r>
          <rPr>
            <sz val="9"/>
            <color indexed="81"/>
            <rFont val="Tahoma"/>
            <family val="2"/>
            <charset val="186"/>
          </rPr>
          <t xml:space="preserve">
Formuoti patogų gyventojams viešojo transporto tinklą, jį optimizuojant atsižvelgus į reguliarių keleivių srautų tyrimus</t>
        </r>
      </text>
    </comment>
    <comment ref="E102" authorId="0">
      <text>
        <r>
          <rPr>
            <b/>
            <sz val="9"/>
            <color indexed="81"/>
            <rFont val="Tahoma"/>
            <family val="2"/>
            <charset val="186"/>
          </rPr>
          <t>KSP 2.1.2.4 priemonė</t>
        </r>
        <r>
          <rPr>
            <sz val="9"/>
            <color indexed="81"/>
            <rFont val="Tahoma"/>
            <family val="2"/>
            <charset val="186"/>
          </rPr>
          <t xml:space="preserve">
Integruoti reguliaraus viešojo transporto (autobusų, maršrutinių taksi ir kitų rūšių) maršrutų ir tvarkaraščių tinklus bei bilietų sistemas mieste ir priemiesčiuose</t>
        </r>
      </text>
    </comment>
    <comment ref="K112" authorId="0">
      <text>
        <r>
          <rPr>
            <sz val="9"/>
            <color indexed="81"/>
            <rFont val="Tahoma"/>
            <family val="2"/>
            <charset val="186"/>
          </rPr>
          <t>Šviesoforų įregimas Liepų g. ir Jaunystės g. sankryžoje su projektavimo darbais;
Šviesoforų įrengimas Šilutės pl. 26 ties AB "Klaipėdos energija" su projektavimo darbais</t>
        </r>
      </text>
    </comment>
    <comment ref="H119" authorId="0">
      <text>
        <r>
          <rPr>
            <sz val="9"/>
            <color indexed="81"/>
            <rFont val="Tahoma"/>
            <family val="2"/>
            <charset val="186"/>
          </rPr>
          <t>Rinkliavos administravimo įsisikolinimui dengti</t>
        </r>
      </text>
    </comment>
    <comment ref="E131" authorId="0">
      <text>
        <r>
          <rPr>
            <b/>
            <sz val="9"/>
            <color indexed="81"/>
            <rFont val="Tahoma"/>
            <family val="2"/>
            <charset val="186"/>
          </rPr>
          <t>KSP 2.1.2.10</t>
        </r>
        <r>
          <rPr>
            <sz val="9"/>
            <color indexed="81"/>
            <rFont val="Tahoma"/>
            <family val="2"/>
            <charset val="186"/>
          </rPr>
          <t xml:space="preserve"> Parengti ir įdiegti koordinuotą šviesoforų reguliavimo ir valdymo sistemą 
</t>
        </r>
      </text>
    </comment>
    <comment ref="K136" authorId="0">
      <text>
        <r>
          <rPr>
            <sz val="9"/>
            <color indexed="81"/>
            <rFont val="Tahoma"/>
            <family val="2"/>
            <charset val="186"/>
          </rPr>
          <t>Iki 2014 m. buvo eksplotuojami 3 greičio matuokliai, 2015 m. bus papildomai įsigyti naujos kartos greičio matuokliai su galimybe skaityti transporto priemones</t>
        </r>
      </text>
    </comment>
    <comment ref="E141" authorId="0">
      <text>
        <r>
          <rPr>
            <b/>
            <sz val="9"/>
            <color indexed="81"/>
            <rFont val="Tahoma"/>
            <family val="2"/>
            <charset val="186"/>
          </rPr>
          <t>KSP 2.1.2.2..</t>
        </r>
        <r>
          <rPr>
            <sz val="9"/>
            <color indexed="81"/>
            <rFont val="Tahoma"/>
            <family val="2"/>
            <charset val="186"/>
          </rPr>
          <t xml:space="preserve">
Plėtoti viešojo ir privataus transporto sąveikos sistemą įrengiant transporto priemonių laikymo aikšteles</t>
        </r>
      </text>
    </comment>
    <comment ref="K155" authorId="0">
      <text>
        <r>
          <rPr>
            <sz val="8"/>
            <color indexed="81"/>
            <rFont val="Tahoma"/>
            <family val="2"/>
            <charset val="186"/>
          </rPr>
          <t xml:space="preserve">Informacija pateikta telefonu iš N. Vedeikienės. Jei liks lėšų, planuojama remontuoti Mokyklos g. atkarpą.
</t>
        </r>
      </text>
    </comment>
  </commentList>
</comments>
</file>

<file path=xl/comments2.xml><?xml version="1.0" encoding="utf-8"?>
<comments xmlns="http://schemas.openxmlformats.org/spreadsheetml/2006/main">
  <authors>
    <author>Audra Cepiene</author>
    <author>Indre Buteniene</author>
  </authors>
  <commentList>
    <comment ref="E13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centrinės miesto dalies gatvių tinklą:
</t>
        </r>
        <r>
          <rPr>
            <sz val="9"/>
            <color indexed="81"/>
            <rFont val="Tahoma"/>
            <family val="2"/>
            <charset val="186"/>
          </rPr>
          <t> kapitališkai  suremontuoti Pilies tiltą per Danės upę;
 rekonstruoti Daržų g. ir kitas senamiesčio gatves;
 rekonstruoti Kūlių Vartų g., Galinio Pylimo g. ir Taikos pr. sankryžą;
 nutiesti Bastionų g. ir pastatyti naują tiltą per Danės upę;
 įrengti įvažiuojamąjį kelią į  Klaipėdos piliavietės teritoriją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31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2.1.2.13 Modernizuoti šiaurinės miesto dalies gatvių tinklą:
</t>
        </r>
        <r>
          <rPr>
            <sz val="9"/>
            <color indexed="81"/>
            <rFont val="Tahoma"/>
            <family val="2"/>
            <charset val="186"/>
          </rPr>
          <t xml:space="preserve"> rekonstruoti įvažiuojamąjį kelią į miestą per Tauralaukį (Pajūrio g.);
 rekonstruoti Utenos, Pakruojo, Radviliškio, Rokiškio g. įrengiant pratęsimą iki Šiaurės pr.; 
 rekonstruoti prioritetines Tauralaukio gyvenamųjų kvartalų gatves
</t>
        </r>
      </text>
    </comment>
    <comment ref="K42" authorId="0">
      <text>
        <r>
          <rPr>
            <sz val="9"/>
            <color indexed="81"/>
            <rFont val="Tahoma"/>
            <family val="2"/>
            <charset val="186"/>
          </rPr>
          <t xml:space="preserve">-5786 Eur, kurie buvo planuojami 2015 m. yra perkelti į 2016 m. 
</t>
        </r>
      </text>
    </comment>
    <comment ref="E4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šiaurės–pietų transporto koridorių gatvių tinklą:
</t>
        </r>
        <r>
          <rPr>
            <sz val="9"/>
            <color indexed="81"/>
            <rFont val="Tahoma"/>
            <family val="2"/>
            <charset val="186"/>
          </rPr>
          <t> rekonstruoti Minijos g. nuo Baltijos pr. iki Jūrininkų pr.;
 rekonstruoti Tilžės g. nuo Šilutės pl. iki geležinkelio pervažos, pertvarkant žiedinę Mokyklos g. ir Šilutės pl. sankryžą; 
 rekonstruoti Taikos pr. nuo Sausio 15 osios g. iki Kauno g.;
 nutiesti Taikos pr. 2-ą juostą nuo Smiltelės g. iki Kairių g.;
 nutiesti Šilutės pl. tęsinį iki pietinio aplinkkelio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59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2.1.2.15 Pagerinti susisiekimą su  rekreacinėmis  pajūrio teritorijomis:
 </t>
        </r>
        <r>
          <rPr>
            <sz val="9"/>
            <color indexed="81"/>
            <rFont val="Tahoma"/>
            <family val="2"/>
            <charset val="186"/>
          </rPr>
          <t>rekonstruoti Pamario g. ir jos priklausinius, pritaikant turizmui;
 nutiesti kelią nuo Medelyno g. ties Labrenciškėmis iki Girulių (Pamario g.)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61" authorId="0">
      <text>
        <r>
          <rPr>
            <sz val="9"/>
            <color indexed="81"/>
            <rFont val="Tahoma"/>
            <family val="2"/>
            <charset val="186"/>
          </rPr>
          <t xml:space="preserve">-23 622 Eur, kurie buvo planuojami 2015 m. yra perkeliami į 2016 m. 
</t>
        </r>
      </text>
    </comment>
    <comment ref="K62" authorId="0">
      <text>
        <r>
          <rPr>
            <sz val="9"/>
            <color indexed="81"/>
            <rFont val="Tahoma"/>
            <family val="2"/>
            <charset val="186"/>
          </rPr>
          <t xml:space="preserve">-22 620 Eur, kurie buvo planuojami 2015 m. yra perkeliami į 2016 m. </t>
        </r>
      </text>
    </comment>
    <comment ref="E67" authorId="0">
      <text>
        <r>
          <rPr>
            <b/>
            <sz val="9"/>
            <color indexed="81"/>
            <rFont val="Tahoma"/>
            <family val="2"/>
            <charset val="186"/>
          </rPr>
          <t>KSP 2.1.2.14 Modernizuoti rytų–vakarų krypties gatvių tinklą:</t>
        </r>
        <r>
          <rPr>
            <sz val="9"/>
            <color indexed="81"/>
            <rFont val="Tahoma"/>
            <family val="2"/>
            <charset val="186"/>
          </rPr>
          <t xml:space="preserve">
 rekonstruoti Joniškės g.;
 nutiesti Statybininkų pr. tęsinį nuo Šilutės pl. per LEZ teritoriją iki 141 kelio;
 rekonstruoti Klemiškės g.;
 įrengti Kauno gatvės tęsinį iki Palangos plento
</t>
        </r>
      </text>
    </comment>
    <comment ref="K68" authorId="0">
      <text>
        <r>
          <rPr>
            <sz val="9"/>
            <color indexed="81"/>
            <rFont val="Tahoma"/>
            <family val="2"/>
            <charset val="186"/>
          </rPr>
          <t>10 000 Eur, kurie buvo planuojami 2015 m. yra perkeliami į 2016 m.</t>
        </r>
      </text>
    </comment>
    <comment ref="K73" authorId="0">
      <text>
        <r>
          <rPr>
            <sz val="9"/>
            <color indexed="81"/>
            <rFont val="Tahoma"/>
            <family val="2"/>
            <charset val="186"/>
          </rPr>
          <t>10 000 Eur, kurie buvo planuojami 2015 m. yra perkeliami į 2016 m.</t>
        </r>
      </text>
    </comment>
    <comment ref="D75" authorId="1">
      <text>
        <r>
          <rPr>
            <b/>
            <sz val="9"/>
            <color indexed="81"/>
            <rFont val="Tahoma"/>
            <family val="2"/>
            <charset val="186"/>
          </rPr>
          <t>Indre Buteniene:</t>
        </r>
        <r>
          <rPr>
            <sz val="9"/>
            <color indexed="81"/>
            <rFont val="Tahoma"/>
            <family val="2"/>
            <charset val="186"/>
          </rPr>
          <t xml:space="preserve">
Ūkio komiteto protokolas</t>
        </r>
      </text>
    </comment>
    <comment ref="E77" authorId="0">
      <text>
        <r>
          <rPr>
            <b/>
            <sz val="10"/>
            <color indexed="81"/>
            <rFont val="Tahoma"/>
            <family val="2"/>
            <charset val="186"/>
          </rPr>
          <t xml:space="preserve">KSP 2.2.1.2. Plėtoti bendrus poreikius atitinkančią susisiekimo infrastruktūrą:
</t>
        </r>
        <r>
          <rPr>
            <sz val="10"/>
            <color indexed="81"/>
            <rFont val="Tahoma"/>
            <family val="2"/>
            <charset val="186"/>
          </rPr>
          <t xml:space="preserve"> parengti galimybių studiją ir projektinius pasiūlymus dėl Švyturio g. rekonstrukcijos;
 modernizuoti Klaipėdos valstybinio jūrų uosto centrinio įvado jungtį rekonstruojant Baltijos pr. su žiedinėmis sankryžomis;
 įrengti dviejų lygių sankryžą tarp Vilniaus g. ir Pramonės g.;
 nutiesti pietinę jungtį tarp Klaipėdos valstybinio jūrų uosto ir IXB transporto koridoriaus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90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2.1.2.3 </t>
        </r>
        <r>
          <rPr>
            <sz val="9"/>
            <color indexed="81"/>
            <rFont val="Tahoma"/>
            <family val="2"/>
            <charset val="186"/>
          </rPr>
          <t xml:space="preserve">
Formuoti patogų gyventojams viešojo transporto tinklą, jį optimizuojant atsižvelgus į reguliarių keleivių srautų tyrimus</t>
        </r>
      </text>
    </comment>
    <comment ref="E100" authorId="0">
      <text>
        <r>
          <rPr>
            <b/>
            <sz val="9"/>
            <color indexed="81"/>
            <rFont val="Tahoma"/>
            <family val="2"/>
            <charset val="186"/>
          </rPr>
          <t>KSP 2.1.2.4 priemonė</t>
        </r>
        <r>
          <rPr>
            <sz val="9"/>
            <color indexed="81"/>
            <rFont val="Tahoma"/>
            <family val="2"/>
            <charset val="186"/>
          </rPr>
          <t xml:space="preserve">
Integruoti reguliaraus viešojo transporto (autobusų, maršrutinių taksi ir kitų rūšių) maršrutų ir tvarkaraščių tinklus bei bilietų sistemas mieste ir priemiesčiuose</t>
        </r>
      </text>
    </comment>
    <comment ref="H117" authorId="0">
      <text>
        <r>
          <rPr>
            <sz val="9"/>
            <color indexed="81"/>
            <rFont val="Tahoma"/>
            <family val="2"/>
            <charset val="186"/>
          </rPr>
          <t>Rinkliavos administravimo įsisikolinimui dengti</t>
        </r>
      </text>
    </comment>
    <comment ref="I117" authorId="0">
      <text>
        <r>
          <rPr>
            <sz val="9"/>
            <color indexed="81"/>
            <rFont val="Tahoma"/>
            <family val="2"/>
            <charset val="186"/>
          </rPr>
          <t>Rinkliavos administravimo įsisikolinimui dengti</t>
        </r>
      </text>
    </comment>
    <comment ref="E129" authorId="0">
      <text>
        <r>
          <rPr>
            <b/>
            <sz val="9"/>
            <color indexed="81"/>
            <rFont val="Tahoma"/>
            <family val="2"/>
            <charset val="186"/>
          </rPr>
          <t>KSP 2.1.2.10</t>
        </r>
        <r>
          <rPr>
            <sz val="9"/>
            <color indexed="81"/>
            <rFont val="Tahoma"/>
            <family val="2"/>
            <charset val="186"/>
          </rPr>
          <t xml:space="preserve"> Parengti ir įdiegti koordinuotą šviesoforų reguliavimo ir valdymo sistemą 
</t>
        </r>
      </text>
    </comment>
    <comment ref="E139" authorId="0">
      <text>
        <r>
          <rPr>
            <b/>
            <sz val="9"/>
            <color indexed="81"/>
            <rFont val="Tahoma"/>
            <family val="2"/>
            <charset val="186"/>
          </rPr>
          <t>KSP 2.1.2.2..</t>
        </r>
        <r>
          <rPr>
            <sz val="9"/>
            <color indexed="81"/>
            <rFont val="Tahoma"/>
            <family val="2"/>
            <charset val="186"/>
          </rPr>
          <t xml:space="preserve">
Plėtoti viešojo ir privataus transporto sąveikos sistemą įrengiant transporto priemonių laikymo aikšteles</t>
        </r>
      </text>
    </comment>
  </commentList>
</comments>
</file>

<file path=xl/comments3.xml><?xml version="1.0" encoding="utf-8"?>
<comments xmlns="http://schemas.openxmlformats.org/spreadsheetml/2006/main">
  <authors>
    <author>Audra Cepiene</author>
    <author>Indre Buteniene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centrinės miesto dalies gatvių tinklą:
</t>
        </r>
        <r>
          <rPr>
            <sz val="9"/>
            <color indexed="81"/>
            <rFont val="Tahoma"/>
            <family val="2"/>
            <charset val="186"/>
          </rPr>
          <t> kapitališkai  suremontuoti Pilies tiltą per Danės upę;
 rekonstruoti Daržų g. ir kitas senamiesčio gatves;
 rekonstruoti Kūlių Vartų g., Galinio Pylimo g. ir Taikos pr. sankryžą;
 nutiesti Bastionų g. ir pastatyti naują tiltą per Danės upę;
 įrengti įvažiuojamąjį kelią į  Klaipėdos piliavietės teritoriją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30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2.1.2.13 Modernizuoti šiaurinės miesto dalies gatvių tinklą:
</t>
        </r>
        <r>
          <rPr>
            <sz val="9"/>
            <color indexed="81"/>
            <rFont val="Tahoma"/>
            <family val="2"/>
            <charset val="186"/>
          </rPr>
          <t xml:space="preserve"> rekonstruoti įvažiuojamąjį kelią į miestą per Tauralaukį (Pajūrio g.);
 rekonstruoti Utenos, Pakruojo, Radviliškio, Rokiškio g. įrengiant pratęsimą iki Šiaurės pr.; 
 rekonstruoti prioritetines Tauralaukio gyvenamųjų kvartalų gatves
</t>
        </r>
      </text>
    </comment>
    <comment ref="J34" authorId="0">
      <text>
        <r>
          <rPr>
            <sz val="9"/>
            <color indexed="81"/>
            <rFont val="Tahoma"/>
            <family val="2"/>
            <charset val="186"/>
          </rPr>
          <t>Nutarta skirti finansavimą. Protokolas  2015-02-26 SPG3-2</t>
        </r>
      </text>
    </comment>
    <comment ref="E47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šiaurės–pietų transporto koridorių gatvių tinklą:
</t>
        </r>
        <r>
          <rPr>
            <sz val="9"/>
            <color indexed="81"/>
            <rFont val="Tahoma"/>
            <family val="2"/>
            <charset val="186"/>
          </rPr>
          <t> rekonstruoti Minijos g. nuo Baltijos pr. iki Jūrininkų pr.;
 rekonstruoti Tilžės g. nuo Šilutės pl. iki geležinkelio pervažos, pertvarkant žiedinę Mokyklos g. ir Šilutės pl. sankryžą; 
 rekonstruoti Taikos pr. nuo Sausio 15 osios g. iki Kauno g.;
 nutiesti Taikos pr. 2-ą juostą nuo Smiltelės g. iki Kairių g.;
 nutiesti Šilutės pl. tęsinį iki pietinio aplinkkelio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50" authorId="0">
      <text>
        <r>
          <rPr>
            <sz val="9"/>
            <color indexed="81"/>
            <rFont val="Tahoma"/>
            <family val="2"/>
            <charset val="186"/>
          </rPr>
          <t>Nutarta skirti finansavimą. Protokolas  2015-02-26 SPG3-2</t>
        </r>
      </text>
    </comment>
    <comment ref="E58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2.1.2.15 Pagerinti susisiekimą su  rekreacinėmis  pajūrio teritorijomis:
 </t>
        </r>
        <r>
          <rPr>
            <sz val="9"/>
            <color indexed="81"/>
            <rFont val="Tahoma"/>
            <family val="2"/>
            <charset val="186"/>
          </rPr>
          <t>rekonstruoti Pamario g. ir jos priklausinius, pritaikant turizmui;
 nutiesti kelią nuo Medelyno g. ties Labrenciškėmis iki Girulių (Pamario g.)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66" authorId="0">
      <text>
        <r>
          <rPr>
            <b/>
            <sz val="9"/>
            <color indexed="81"/>
            <rFont val="Tahoma"/>
            <family val="2"/>
            <charset val="186"/>
          </rPr>
          <t>KSP 2.1.2.14 Modernizuoti rytų–vakarų krypties gatvių tinklą:</t>
        </r>
        <r>
          <rPr>
            <sz val="9"/>
            <color indexed="81"/>
            <rFont val="Tahoma"/>
            <family val="2"/>
            <charset val="186"/>
          </rPr>
          <t xml:space="preserve">
 rekonstruoti Joniškės g.;
 nutiesti Statybininkų pr. tęsinį nuo Šilutės pl. per LEZ teritoriją iki 141 kelio;
 rekonstruoti Klemiškės g.;
 įrengti Kauno gatvės tęsinį iki Palangos plento
</t>
        </r>
      </text>
    </comment>
    <comment ref="D76" authorId="1">
      <text>
        <r>
          <rPr>
            <b/>
            <sz val="9"/>
            <color indexed="81"/>
            <rFont val="Tahoma"/>
            <family val="2"/>
            <charset val="186"/>
          </rPr>
          <t>Indre Buteniene:</t>
        </r>
        <r>
          <rPr>
            <sz val="9"/>
            <color indexed="81"/>
            <rFont val="Tahoma"/>
            <family val="2"/>
            <charset val="186"/>
          </rPr>
          <t xml:space="preserve">
Ūkio komiteto protokolas</t>
        </r>
      </text>
    </comment>
    <comment ref="E78" authorId="0">
      <text>
        <r>
          <rPr>
            <b/>
            <sz val="10"/>
            <color indexed="81"/>
            <rFont val="Tahoma"/>
            <family val="2"/>
            <charset val="186"/>
          </rPr>
          <t xml:space="preserve">KSP 2.2.1.2. Plėtoti bendrus poreikius atitinkančią susisiekimo infrastruktūrą:
</t>
        </r>
        <r>
          <rPr>
            <sz val="10"/>
            <color indexed="81"/>
            <rFont val="Tahoma"/>
            <family val="2"/>
            <charset val="186"/>
          </rPr>
          <t xml:space="preserve"> parengti galimybių studiją ir projektinius pasiūlymus dėl Švyturio g. rekonstrukcijos;
 modernizuoti Klaipėdos valstybinio jūrų uosto centrinio įvado jungtį rekonstruojant Baltijos pr. su žiedinėmis sankryžomis;
 įrengti dviejų lygių sankryžą tarp Vilniaus g. ir Pramonės g.;
 nutiesti pietinę jungtį tarp Klaipėdos valstybinio jūrų uosto ir IXB transporto koridoriaus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91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2.1.2.3 </t>
        </r>
        <r>
          <rPr>
            <sz val="9"/>
            <color indexed="81"/>
            <rFont val="Tahoma"/>
            <family val="2"/>
            <charset val="186"/>
          </rPr>
          <t xml:space="preserve">
Formuoti patogų gyventojams viešojo transporto tinklą, jį optimizuojant atsižvelgus į reguliarių keleivių srautų tyrimus</t>
        </r>
      </text>
    </comment>
    <comment ref="E101" authorId="0">
      <text>
        <r>
          <rPr>
            <b/>
            <sz val="9"/>
            <color indexed="81"/>
            <rFont val="Tahoma"/>
            <family val="2"/>
            <charset val="186"/>
          </rPr>
          <t>KSP 2.1.2.4 priemonė</t>
        </r>
        <r>
          <rPr>
            <sz val="9"/>
            <color indexed="81"/>
            <rFont val="Tahoma"/>
            <family val="2"/>
            <charset val="186"/>
          </rPr>
          <t xml:space="preserve">
Integruoti reguliaraus viešojo transporto (autobusų, maršrutinių taksi ir kitų rūšių) maršrutų ir tvarkaraščių tinklus bei bilietų sistemas mieste ir priemiesčiuose</t>
        </r>
      </text>
    </comment>
    <comment ref="J109" authorId="0">
      <text>
        <r>
          <rPr>
            <sz val="9"/>
            <color indexed="81"/>
            <rFont val="Tahoma"/>
            <family val="2"/>
            <charset val="186"/>
          </rPr>
          <t>Raštas iš MŪD siųsta internetu. Šviesoforų įregimas Liepų g. ir Jaunystės g. sankryžoje su projektavimo darbais;
Šviesoforų įrengimas Šilutės pl. 26 ties AB "Klaipėdos energija" su projektavimo darbais</t>
        </r>
      </text>
    </comment>
    <comment ref="J117" authorId="0">
      <text>
        <r>
          <rPr>
            <sz val="9"/>
            <color indexed="81"/>
            <rFont val="Tahoma"/>
            <family val="2"/>
            <charset val="186"/>
          </rPr>
          <t xml:space="preserve">Raštas iš MŪD internetu. Rinkliavos administravimo įsisikolinimui dengti
</t>
        </r>
      </text>
    </comment>
    <comment ref="E129" authorId="0">
      <text>
        <r>
          <rPr>
            <b/>
            <sz val="9"/>
            <color indexed="81"/>
            <rFont val="Tahoma"/>
            <family val="2"/>
            <charset val="186"/>
          </rPr>
          <t>KSP 2.1.2.10</t>
        </r>
        <r>
          <rPr>
            <sz val="9"/>
            <color indexed="81"/>
            <rFont val="Tahoma"/>
            <family val="2"/>
            <charset val="186"/>
          </rPr>
          <t xml:space="preserve"> Parengti ir įdiegti koordinuotą šviesoforų reguliavimo ir valdymo sistemą 
</t>
        </r>
      </text>
    </comment>
    <comment ref="J129" authorId="0">
      <text>
        <r>
          <rPr>
            <sz val="9"/>
            <color indexed="81"/>
            <rFont val="Tahoma"/>
            <family val="2"/>
            <charset val="186"/>
          </rPr>
          <t>Raštas iš MŪD 2015-03-01 VS-1371. Lėšos perkeliamos/perskirstomos į priemonę 010307.</t>
        </r>
      </text>
    </comment>
    <comment ref="E139" authorId="0">
      <text>
        <r>
          <rPr>
            <b/>
            <sz val="9"/>
            <color indexed="81"/>
            <rFont val="Tahoma"/>
            <family val="2"/>
            <charset val="186"/>
          </rPr>
          <t>KSP 2.1.2.2..</t>
        </r>
        <r>
          <rPr>
            <sz val="9"/>
            <color indexed="81"/>
            <rFont val="Tahoma"/>
            <family val="2"/>
            <charset val="186"/>
          </rPr>
          <t xml:space="preserve">
Plėtoti viešojo ir privataus transporto sąveikos sistemą įrengiant transporto priemonių laikymo aikšteles</t>
        </r>
      </text>
    </comment>
    <comment ref="J144" authorId="0">
      <text>
        <r>
          <rPr>
            <sz val="9"/>
            <color indexed="81"/>
            <rFont val="Tahoma"/>
            <family val="2"/>
            <charset val="186"/>
          </rPr>
          <t xml:space="preserve">Raštas iš MŪD 2015-03-01 VS-1371. Lėšos perkeliamos į priemonę 010304. 
</t>
        </r>
      </text>
    </comment>
    <comment ref="K155" authorId="0">
      <text>
        <r>
          <rPr>
            <sz val="8"/>
            <color indexed="81"/>
            <rFont val="Tahoma"/>
            <family val="2"/>
            <charset val="186"/>
          </rPr>
          <t xml:space="preserve">Informacija pateikta telefonu iš N. Vedeikienės. Jei liks lėšų planuojama remontuoti Mokyklos g. atkarpą.
</t>
        </r>
      </text>
    </comment>
  </commentList>
</comments>
</file>

<file path=xl/comments4.xml><?xml version="1.0" encoding="utf-8"?>
<comments xmlns="http://schemas.openxmlformats.org/spreadsheetml/2006/main">
  <authors>
    <author>Audra Cepiene</author>
    <author>Indre Buteniene</author>
  </authors>
  <commentList>
    <comment ref="F1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centrinės miesto dalies gatvių tinklą:
</t>
        </r>
        <r>
          <rPr>
            <sz val="9"/>
            <color indexed="81"/>
            <rFont val="Tahoma"/>
            <family val="2"/>
            <charset val="186"/>
          </rPr>
          <t> kapitališkai  suremontuoti Pilies tiltą per Danės upę;
 rekonstruoti Daržų g. ir kitas senamiesčio gatves;
 rekonstruoti Kūlių Vartų g., Galinio Pylimo g. ir Taikos pr. sankryžą;
 nutiesti Bastionų g. ir pastatyti naują tiltą per Danės upę;
 įrengti įvažiuojamąjį kelią į  Klaipėdos piliavietės teritoriją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8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2.1.2.13 Modernizuoti šiaurinės miesto dalies gatvių tinklą:
</t>
        </r>
        <r>
          <rPr>
            <sz val="9"/>
            <color indexed="81"/>
            <rFont val="Tahoma"/>
            <family val="2"/>
            <charset val="186"/>
          </rPr>
          <t xml:space="preserve"> rekonstruoti įvažiuojamąjį kelią į miestą per Tauralaukį (Pajūrio g.);
 rekonstruoti Utenos, Pakruojo, Radviliškio, Rokiškio g. įrengiant pratęsimą iki Šiaurės pr.; 
 rekonstruoti prioritetines Tauralaukio gyvenamųjų kvartalų gatves
</t>
        </r>
      </text>
    </comment>
    <comment ref="E36" authorId="0">
      <text>
        <r>
          <rPr>
            <sz val="9"/>
            <color indexed="81"/>
            <rFont val="Tahoma"/>
            <family val="2"/>
            <charset val="186"/>
          </rPr>
          <t>Tauralaukio gyvenvietė</t>
        </r>
      </text>
    </comment>
    <comment ref="F41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šiaurės–pietų transporto koridorių gatvių tinklą:
</t>
        </r>
        <r>
          <rPr>
            <sz val="9"/>
            <color indexed="81"/>
            <rFont val="Tahoma"/>
            <family val="2"/>
            <charset val="186"/>
          </rPr>
          <t> rekonstruoti Minijos g. nuo Baltijos pr. iki Jūrininkų pr.;
 rekonstruoti Tilžės g. nuo Šilutės pl. iki geležinkelio pervažos, pertvarkant žiedinę Mokyklos g. ir Šilutės pl. sankryžą; 
 rekonstruoti Taikos pr. nuo Sausio 15 osios g. iki Kauno g.;
 nutiesti Taikos pr. 2-ą juostą nuo Smiltelės g. iki Kairių g.;
 nutiesti Šilutės pl. tęsinį iki pietinio aplinkkelio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47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2.1.2.15 Pagerinti susisiekimą su  rekreacinėmis  pajūrio teritorijomis:
 </t>
        </r>
        <r>
          <rPr>
            <sz val="9"/>
            <color indexed="81"/>
            <rFont val="Tahoma"/>
            <family val="2"/>
            <charset val="186"/>
          </rPr>
          <t>rekonstruoti Pamario g. ir jos priklausinius, pritaikant turizmui;
 nutiesti kelią nuo Medelyno g. ties Labrenciškėmis iki Girulių (Pamario g.)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55" authorId="0">
      <text>
        <r>
          <rPr>
            <b/>
            <sz val="9"/>
            <color indexed="81"/>
            <rFont val="Tahoma"/>
            <family val="2"/>
            <charset val="186"/>
          </rPr>
          <t>KSP 2.1.2.14 Modernizuoti rytų–vakarų krypties gatvių tinklą:</t>
        </r>
        <r>
          <rPr>
            <sz val="9"/>
            <color indexed="81"/>
            <rFont val="Tahoma"/>
            <family val="2"/>
            <charset val="186"/>
          </rPr>
          <t xml:space="preserve">
 rekonstruoti Joniškės g.;
 nutiesti Statybininkų pr. tęsinį nuo Šilutės pl. per LEZ teritoriją iki 141 kelio;
 rekonstruoti Klemiškės g.;
 įrengti Kauno gatvės tęsinį iki Palangos plento
</t>
        </r>
      </text>
    </comment>
    <comment ref="E63" authorId="1">
      <text>
        <r>
          <rPr>
            <b/>
            <sz val="9"/>
            <color indexed="81"/>
            <rFont val="Tahoma"/>
            <family val="2"/>
            <charset val="186"/>
          </rPr>
          <t>Indre Buteniene:</t>
        </r>
        <r>
          <rPr>
            <sz val="9"/>
            <color indexed="81"/>
            <rFont val="Tahoma"/>
            <family val="2"/>
            <charset val="186"/>
          </rPr>
          <t xml:space="preserve">
Ūkio komiteto protokolas</t>
        </r>
      </text>
    </comment>
    <comment ref="F65" authorId="0">
      <text>
        <r>
          <rPr>
            <b/>
            <sz val="10"/>
            <color indexed="81"/>
            <rFont val="Tahoma"/>
            <family val="2"/>
            <charset val="186"/>
          </rPr>
          <t xml:space="preserve">KSP 2.2.1.2. Plėtoti bendrus poreikius atitinkančią susisiekimo infrastruktūrą:
</t>
        </r>
        <r>
          <rPr>
            <sz val="10"/>
            <color indexed="81"/>
            <rFont val="Tahoma"/>
            <family val="2"/>
            <charset val="186"/>
          </rPr>
          <t xml:space="preserve"> parengti galimybių studiją ir projektinius pasiūlymus dėl Švyturio g. rekonstrukcijos;
 modernizuoti Klaipėdos valstybinio jūrų uosto centrinio įvado jungtį rekonstruojant Baltijos pr. su žiedinėmis sankryžomis;
 įrengti dviejų lygių sankryžą tarp Vilniaus g. ir Pramonės g.;
 nutiesti pietinę jungtį tarp Klaipėdos valstybinio jūrų uosto ir IXB transporto koridoriaus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6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 ES projekto "Techninė pagalba IX transporto koridoriaus trūkstamų grandžių Lietuvoje tiesimui" įgyvendinimas apima dvi sutartis: </t>
        </r>
        <r>
          <rPr>
            <sz val="9"/>
            <color indexed="81"/>
            <rFont val="Tahoma"/>
            <family val="2"/>
            <charset val="186"/>
          </rPr>
          <t xml:space="preserve">1. Tarptautinio IXB transporto koridoriaus jungtis su TEN-T tinklu I etapas - Vilniaus pietinis aplinkkelis. Tarptautinio IXB transporto koridoriaus jungtis su TEN-T tinklu II etapas - Vilniaus vakarinis aplinkkelis. Konsultanto užduotys: paraiškos EK rengimas, parengtų poveikio aplinkai ataskaitų vertinimas, konkurso sąlygų rangovams rengimas, vakarinio aplinkkelio detalaus projekto įgyvendinimo grafiko sudarymas. </t>
        </r>
        <r>
          <rPr>
            <b/>
            <sz val="9"/>
            <color indexed="81"/>
            <rFont val="Tahoma"/>
            <family val="2"/>
            <charset val="186"/>
          </rPr>
          <t>2. Pietinės jungties tiesimo tarp Klaipėdos valstybinio jūrų uosto ir IXB transporto koridoriaus techninės dokumentacijos rengimas. Sutartis apima galimybių studijos, detaliojo plano, darbų konkurso dokumentų, paraiškos ES, techninio projekto rengimą.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77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2.1.2.3 </t>
        </r>
        <r>
          <rPr>
            <sz val="9"/>
            <color indexed="81"/>
            <rFont val="Tahoma"/>
            <family val="2"/>
            <charset val="186"/>
          </rPr>
          <t xml:space="preserve">
Formuoti patogų gyventojams viešojo transporto tinklą, jį optimizuojant atsižvelgus į reguliarių keleivių srautų tyrimus</t>
        </r>
      </text>
    </comment>
    <comment ref="L96" authorId="0">
      <text>
        <r>
          <rPr>
            <sz val="9"/>
            <color indexed="81"/>
            <rFont val="Tahoma"/>
            <family val="2"/>
            <charset val="186"/>
          </rPr>
          <t>Šviesoforų įregimas Liepų g. ir Jaunystės g. sankryžoje su projektavimo darbais;
Šviesoforų įrengimas Šilutės pl. 26 ties AB "Klaipėdos energija" su projektavimo darbais</t>
        </r>
      </text>
    </comment>
    <comment ref="K104" authorId="0">
      <text>
        <r>
          <rPr>
            <sz val="9"/>
            <color indexed="81"/>
            <rFont val="Tahoma"/>
            <family val="2"/>
            <charset val="186"/>
          </rPr>
          <t>Rinkliavos administravimo įsisikolinimui dengti</t>
        </r>
      </text>
    </comment>
    <comment ref="L105" authorId="0">
      <text>
        <r>
          <rPr>
            <b/>
            <sz val="9"/>
            <color indexed="81"/>
            <rFont val="Tahoma"/>
            <family val="2"/>
            <charset val="186"/>
          </rPr>
          <t>Audra Cepiene: 10-24 posėdis. Protokolo nėra. Svarstyta su direktore.</t>
        </r>
        <r>
          <rPr>
            <sz val="9"/>
            <color indexed="81"/>
            <rFont val="Tahoma"/>
            <family val="2"/>
            <charset val="186"/>
          </rPr>
          <t xml:space="preserve">
Siekiant atlikti aukščiau minėtas užduotis, būtina vykti į konkrečią vietą, fiksuoti esamą padėtį, lyginti su GIS sistema arba pasinaudoti Google žemėlapiais, bet šie žemėlapiai ir fiksuotas vaizdas daryti 2012 m ir toliau sensta, todėl dažnai nebeatitinka tikrovės.
Padėtį ištaisyti galėtų Street - U žemėlapiai, kurie būtų atnaujinami kas 1 metai.
Trūkstant informacijos Transporto specialistai priversti vykti į vieta tarnybinių automobiliu (kuro sąnaudos, dėvisi technika, užduočiai atlikti būtinas ne vienas darbuotojas) , tam gaištamas laikas, mažėja darbo našumas.
Vidutiniškai per 1 -ą mėnesį darbuotojui tenka nuvažiuoti apie 570 km, bei papildomai sugaišti apie 32 val. laiko. Važiavimas transportu vienam darbuotojui preliminariai kas mėnesį sudaro apie 180 Lt (570 km x 7 l / 100 x 4,5 Lt). 
Per metus visa tai leistų sutaupyti kelis tūkstančius litų.
</t>
        </r>
        <r>
          <rPr>
            <b/>
            <sz val="9"/>
            <color indexed="81"/>
            <rFont val="Tahoma"/>
            <family val="2"/>
            <charset val="186"/>
          </rPr>
          <t>Šios priemonės atnaujinimas 2016m., 2017m. metams kainuotų tik apie 20 % vertės.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20" authorId="0">
      <text>
        <r>
          <rPr>
            <sz val="9"/>
            <color indexed="81"/>
            <rFont val="Tahoma"/>
            <family val="2"/>
            <charset val="186"/>
          </rPr>
          <t>Iki 2014 m. buvo eksploatuojami 3 greičio matuokliai, 2015 m. bus papildomai įsigyti 2 naujos kartos greičio matuokliai su galimybe skaityti transporto priemones, 2016 m. dar 3.</t>
        </r>
      </text>
    </comment>
    <comment ref="F125" authorId="0">
      <text>
        <r>
          <rPr>
            <sz val="9"/>
            <color indexed="81"/>
            <rFont val="Tahoma"/>
            <family val="2"/>
            <charset val="186"/>
          </rPr>
          <t xml:space="preserve">2.1.2.2 Plėtoti viešojo ir privataus transporto sąveikos sistemą įrengiant transporto priemonių laikymo aikšteles
</t>
        </r>
      </text>
    </comment>
    <comment ref="E152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pagal 2014-10-09 VS-5529 raštą</t>
        </r>
      </text>
    </comment>
    <comment ref="E15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10-31 SPG3-25 svarstyta.  Raštas 2014-10-30 VS-6054 dėl įtraukimo</t>
        </r>
      </text>
    </comment>
  </commentList>
</comments>
</file>

<file path=xl/comments5.xml><?xml version="1.0" encoding="utf-8"?>
<comments xmlns="http://schemas.openxmlformats.org/spreadsheetml/2006/main">
  <authors>
    <author>Audra Cepiene</author>
    <author>Indre Buteniene</author>
  </authors>
  <commentList>
    <comment ref="F12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centrinės miesto dalies gatvių tinklą:
</t>
        </r>
        <r>
          <rPr>
            <sz val="9"/>
            <color indexed="81"/>
            <rFont val="Tahoma"/>
            <family val="2"/>
            <charset val="186"/>
          </rPr>
          <t> kapitališkai  suremontuoti Pilies tiltą per Danės upę;
 rekonstruoti Daržų g. ir kitas senamiesčio gatves;
 rekonstruoti Kūlių Vartų g., Galinio Pylimo g. ir Taikos pr. sankryžą;
 nutiesti Bastionų g. ir pastatyti naują tiltą per Danės upę;
 įrengti įvažiuojamąjį kelią į  Klaipėdos piliavietės teritoriją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38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2.1.2.13 Modernizuoti šiaurinės miesto dalies gatvių tinklą:
</t>
        </r>
        <r>
          <rPr>
            <sz val="9"/>
            <color indexed="81"/>
            <rFont val="Tahoma"/>
            <family val="2"/>
            <charset val="186"/>
          </rPr>
          <t xml:space="preserve"> rekonstruoti įvažiuojamąjį kelią į miestą per Tauralaukį (Pajūrio g.);
 rekonstruoti Utenos, Pakruojo, Radviliškio, Rokiškio g. įrengiant pratęsimą iki Šiaurės pr.; 
 rekonstruoti prioritetines Tauralaukio gyvenamųjų kvartalų gatves
</t>
        </r>
      </text>
    </comment>
    <comment ref="K4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nepanaudoti
</t>
        </r>
      </text>
    </comment>
    <comment ref="E4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Tauralaukio gyvenvietė</t>
        </r>
      </text>
    </comment>
    <comment ref="F52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šiaurės–pietų transporto koridorių gatvių tinklą:
</t>
        </r>
        <r>
          <rPr>
            <sz val="9"/>
            <color indexed="81"/>
            <rFont val="Tahoma"/>
            <family val="2"/>
            <charset val="186"/>
          </rPr>
          <t> rekonstruoti Minijos g. nuo Baltijos pr. iki Jūrininkų pr.;
 rekonstruoti Tilžės g. nuo Šilutės pl. iki geležinkelio pervažos, pertvarkant žiedinę Mokyklos g. ir Šilutės pl. sankryžą; 
 rekonstruoti Taikos pr. nuo Sausio 15 osios g. iki Kauno g.;
 nutiesti Taikos pr. 2-ą juostą nuo Smiltelės g. iki Kairių g.;
 nutiesti Šilutės pl. tęsinį iki pietinio aplinkkelio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63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2.1.2.15 Pagerinti susisiekimą su  rekreacinėmis  pajūrio teritorijomis:
 </t>
        </r>
        <r>
          <rPr>
            <sz val="9"/>
            <color indexed="81"/>
            <rFont val="Tahoma"/>
            <family val="2"/>
            <charset val="186"/>
          </rPr>
          <t>rekonstruoti Pamario g. ir jos priklausinius, pritaikant turizmui;
 nutiesti kelią nuo Medelyno g. ties Labrenciškėmis iki Girulių (Pamario g.)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71" authorId="0">
      <text>
        <r>
          <rPr>
            <b/>
            <sz val="9"/>
            <color indexed="81"/>
            <rFont val="Tahoma"/>
            <family val="2"/>
            <charset val="186"/>
          </rPr>
          <t>KSP 2.1.2.14 Modernizuoti rytų–vakarų krypties gatvių tinklą:</t>
        </r>
        <r>
          <rPr>
            <sz val="9"/>
            <color indexed="81"/>
            <rFont val="Tahoma"/>
            <family val="2"/>
            <charset val="186"/>
          </rPr>
          <t xml:space="preserve">
 rekonstruoti Joniškės g.;
 nutiesti Statybininkų pr. tęsinį nuo Šilutės pl. per LEZ teritoriją iki 141 kelio;
 rekonstruoti Klemiškės g.;
 įrengti Kauno gatvės tęsinį iki Palangos plento
</t>
        </r>
      </text>
    </comment>
    <comment ref="E79" authorId="1">
      <text>
        <r>
          <rPr>
            <b/>
            <sz val="9"/>
            <color indexed="81"/>
            <rFont val="Tahoma"/>
            <family val="2"/>
            <charset val="186"/>
          </rPr>
          <t>Indre Buteniene:</t>
        </r>
        <r>
          <rPr>
            <sz val="9"/>
            <color indexed="81"/>
            <rFont val="Tahoma"/>
            <family val="2"/>
            <charset val="186"/>
          </rPr>
          <t xml:space="preserve">
Ūkio komiteto protokolas</t>
        </r>
      </text>
    </comment>
    <comment ref="F85" authorId="0">
      <text>
        <r>
          <rPr>
            <b/>
            <sz val="10"/>
            <color indexed="81"/>
            <rFont val="Tahoma"/>
            <family val="2"/>
            <charset val="186"/>
          </rPr>
          <t xml:space="preserve">KSP 2.2.1.2. Plėtoti bendrus poreikius atitinkančią susisiekimo infrastruktūrą:
</t>
        </r>
        <r>
          <rPr>
            <sz val="10"/>
            <color indexed="81"/>
            <rFont val="Tahoma"/>
            <family val="2"/>
            <charset val="186"/>
          </rPr>
          <t xml:space="preserve"> parengti galimybių studiją ir projektinius pasiūlymus dėl Švyturio g. rekonstrukcijos;
 modernizuoti Klaipėdos valstybinio jūrų uosto centrinio įvado jungtį rekonstruojant Baltijos pr. su žiedinėmis sankryžomis;
 įrengti dviejų lygių sankryžą tarp Vilniaus g. ir Pramonės g.;
 nutiesti pietinę jungtį tarp Klaipėdos valstybinio jūrų uosto ir IXB transporto koridoriaus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8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 ES projekto "Techninė pagalba IX transporto koridoriaus trūkstamų grandžių Lietuvoje tiesimui" įgyvendinimas apima dvi sutartis: </t>
        </r>
        <r>
          <rPr>
            <sz val="9"/>
            <color indexed="81"/>
            <rFont val="Tahoma"/>
            <family val="2"/>
            <charset val="186"/>
          </rPr>
          <t xml:space="preserve">1. Tarptautinio IXB transporto koridoriaus jungtis su TEN-T tinklu I etapas - Vilniaus pietinis aplinkkelis. Tarptautinio IXB transporto koridoriaus jungtis su TEN-T tinklu II etapas - Vilniaus vakarinis aplinkkelis. Konsultanto užduotys: paraiškos EK rengimas, parengtų poveikio aplinkai ataskaitų vertinimas, konkurso sąlygų rangovams rengimas, vakarinio aplinkkelio detalaus projekto įgyvendinimo grafiko sudarymas. </t>
        </r>
        <r>
          <rPr>
            <b/>
            <sz val="9"/>
            <color indexed="81"/>
            <rFont val="Tahoma"/>
            <family val="2"/>
            <charset val="186"/>
          </rPr>
          <t>2. Pietinės jungties tiesimo tarp Klaipėdos valstybinio jūrų uosto ir IXB transporto koridoriaus techninės dokumentacijos rengimas. Sutartis apima galimybių studijos, detaliojo plano, darbų konkurso dokumentų, paraiškos ES, techninio projekto rengimą.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O86" authorId="0">
      <text>
        <r>
          <rPr>
            <sz val="9"/>
            <color indexed="81"/>
            <rFont val="Tahoma"/>
            <family val="2"/>
            <charset val="186"/>
          </rPr>
          <t xml:space="preserve">Tikslinta pagal maksimal. Planą ir pagal Transporto investicijų direktoriaus įsakymą (199,4 tūkst. Lt finansuojama iš paskolų)
</t>
        </r>
      </text>
    </comment>
    <comment ref="F99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2.1.2.3 </t>
        </r>
        <r>
          <rPr>
            <sz val="9"/>
            <color indexed="81"/>
            <rFont val="Tahoma"/>
            <family val="2"/>
            <charset val="186"/>
          </rPr>
          <t xml:space="preserve">
Formuoti patogų gyventojams viešojo transporto tinklą, jį optimizuojant atsižvelgus į reguliarių keleivių srautų tyrimus</t>
        </r>
      </text>
    </comment>
    <comment ref="P111" authorId="0">
      <text>
        <r>
          <rPr>
            <sz val="9"/>
            <color indexed="81"/>
            <rFont val="Tahoma"/>
            <family val="2"/>
            <charset val="186"/>
          </rPr>
          <t xml:space="preserve">iš jų </t>
        </r>
        <r>
          <rPr>
            <b/>
            <sz val="9"/>
            <color indexed="81"/>
            <rFont val="Tahoma"/>
            <family val="2"/>
            <charset val="186"/>
          </rPr>
          <t>400 tūkst. Lt</t>
        </r>
        <r>
          <rPr>
            <sz val="9"/>
            <color indexed="81"/>
            <rFont val="Tahoma"/>
            <family val="2"/>
            <charset val="186"/>
          </rPr>
          <t xml:space="preserve"> dalinis finansavimas dėl dalyvavimo iš </t>
        </r>
        <r>
          <rPr>
            <b/>
            <sz val="9"/>
            <color indexed="81"/>
            <rFont val="Tahoma"/>
            <family val="2"/>
            <charset val="186"/>
          </rPr>
          <t>ES finansuojamo</t>
        </r>
        <r>
          <rPr>
            <sz val="9"/>
            <color indexed="81"/>
            <rFont val="Tahoma"/>
            <family val="2"/>
            <charset val="186"/>
          </rPr>
          <t xml:space="preserve"> projekto naujų ekologiškesnių gamtinėmis dujomis varomų autobusų koof-ui;  </t>
        </r>
        <r>
          <rPr>
            <b/>
            <sz val="9"/>
            <color indexed="81"/>
            <rFont val="Tahoma"/>
            <family val="2"/>
            <charset val="186"/>
          </rPr>
          <t xml:space="preserve">100 tūkst. Lt </t>
        </r>
        <r>
          <rPr>
            <sz val="9"/>
            <color indexed="81"/>
            <rFont val="Tahoma"/>
            <family val="2"/>
            <charset val="186"/>
          </rPr>
          <t xml:space="preserve">Klaipėdos viešojo transporto sistemos nuostoliams dengti. </t>
        </r>
      </text>
    </comment>
    <comment ref="E124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2014-10-22 Nr.TAR-109 M.ūkioir apl. Komiteto nutarimas ir 10-17 SPG3-22  įtraukta priemonė. Paskaičiavimai 10-30 VS-6054</t>
        </r>
      </text>
    </comment>
    <comment ref="E126" authorId="0">
      <text>
        <r>
          <rPr>
            <b/>
            <sz val="9"/>
            <color indexed="81"/>
            <rFont val="Tahoma"/>
            <family val="2"/>
            <charset val="186"/>
          </rPr>
          <t>16 straipsnis. Neįgaliųjų socialinės integracijos valdymas</t>
        </r>
        <r>
          <rPr>
            <sz val="9"/>
            <color indexed="81"/>
            <rFont val="Tahoma"/>
            <family val="2"/>
            <charset val="186"/>
          </rPr>
          <t xml:space="preserve">
Minijos gatvėje esamų trinkelių prie pėsčiųjų perėjų, sankryžų, autobusų sustojimo paviljonų pritaikymas silpnaregiams. 
</t>
        </r>
      </text>
    </comment>
    <comment ref="Y131" authorId="0">
      <text>
        <r>
          <rPr>
            <b/>
            <sz val="9"/>
            <color indexed="81"/>
            <rFont val="Tahoma"/>
            <family val="2"/>
            <charset val="186"/>
          </rPr>
          <t>Audra Cepiene: 10-24 posėdis. Protokolo nėra. Svarstyta su direktore.</t>
        </r>
        <r>
          <rPr>
            <sz val="9"/>
            <color indexed="81"/>
            <rFont val="Tahoma"/>
            <family val="2"/>
            <charset val="186"/>
          </rPr>
          <t xml:space="preserve">
Siekiant atlikti aukščiau minėtas užduotis, būtina vykti į konkrečią vietą, fiksuoti esamą padėtį, lyginti su GIS sistema arba pasinaudoti Google žemėlapiais, bet šie žemėlapiai ir fiksuotas vaizdas daryti 2012 m ir toliau sensta, todėl dažnai nebeatitinka tikrovės.
Padėtį ištaisyti galėtų Street - U žemėlapiai, kurie būtų atnaujinami kas 1 metai.
Trūkstant informacijos Transporto specialistai priversti vykti į vieta tarnybinių automobiliu (kuro sąnaudos, dėvisi technika, užduočiai atlikti būtinas ne vienas darbuotojas) , tam gaištamas laikas, mažėja darbo našumas.
Vidutiniškai per 1 -ą mėnesį darbuotojui tenka nuvažiuoti apie 570 km, bei papildomai sugaišti apie 32 val. laiko. Važiavimas transportu vienam darbuotojui preliminariai kas mėnesį sudaro apie 180 Lt (570 km x 7 l / 100 x 4,5 Lt). 
Per metus visa tai leistų sutaupyti kelis tūkstančius litų.
</t>
        </r>
        <r>
          <rPr>
            <b/>
            <sz val="9"/>
            <color indexed="81"/>
            <rFont val="Tahoma"/>
            <family val="2"/>
            <charset val="186"/>
          </rPr>
          <t>Šios priemonės atnaujinimas 2016m., 2017m. metams kainuotų tik apie 20 % vertės.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P151" authorId="0">
      <text>
        <r>
          <rPr>
            <sz val="9"/>
            <color indexed="81"/>
            <rFont val="Tahoma"/>
            <family val="2"/>
            <charset val="186"/>
          </rPr>
          <t xml:space="preserve">iki 2016-07-09 J9-807 UAB "Technologinių paslaugų sprendimai" - </t>
        </r>
        <r>
          <rPr>
            <b/>
            <sz val="9"/>
            <color indexed="81"/>
            <rFont val="Tahoma"/>
            <family val="2"/>
            <charset val="186"/>
          </rPr>
          <t>200 tūkst. Lt;</t>
        </r>
        <r>
          <rPr>
            <sz val="9"/>
            <color indexed="81"/>
            <rFont val="Tahoma"/>
            <family val="2"/>
            <charset val="186"/>
          </rPr>
          <t xml:space="preserve"> komercinis pasiūlymas - </t>
        </r>
        <r>
          <rPr>
            <b/>
            <sz val="9"/>
            <color indexed="81"/>
            <rFont val="Tahoma"/>
            <family val="2"/>
            <charset val="186"/>
          </rPr>
          <t xml:space="preserve">140 tūkst. </t>
        </r>
        <r>
          <rPr>
            <sz val="9"/>
            <color indexed="81"/>
            <rFont val="Tahoma"/>
            <family val="2"/>
            <charset val="186"/>
          </rPr>
          <t xml:space="preserve">Lt 2 vnt. greičių matuokliam (iki 2017 metų 417 tūkst. lt)
</t>
        </r>
      </text>
    </comment>
    <comment ref="Y152" authorId="0">
      <text>
        <r>
          <rPr>
            <sz val="9"/>
            <color indexed="81"/>
            <rFont val="Tahoma"/>
            <family val="2"/>
            <charset val="186"/>
          </rPr>
          <t>Iki 2014 m. buvo eksplotuojami 3 greičio matuokliai, 2015 m. bus papildomai įsigyti naujos kartos greičio matuokliai su galimybe skaityti transporto priemones</t>
        </r>
      </text>
    </comment>
    <comment ref="F157" authorId="0">
      <text>
        <r>
          <rPr>
            <sz val="9"/>
            <color indexed="81"/>
            <rFont val="Tahoma"/>
            <family val="2"/>
            <charset val="186"/>
          </rPr>
          <t xml:space="preserve">2.1.2.2 Plėtoti viešojo ir privataus transporto sąveikos sistemą įrengiant transporto priemonių laikymo aikšteles
</t>
        </r>
      </text>
    </comment>
    <comment ref="R158" authorId="1">
      <text>
        <r>
          <rPr>
            <b/>
            <sz val="9"/>
            <color indexed="81"/>
            <rFont val="Tahoma"/>
            <family val="2"/>
            <charset val="186"/>
          </rPr>
          <t>Indre Buteniene:</t>
        </r>
        <r>
          <rPr>
            <sz val="9"/>
            <color indexed="81"/>
            <rFont val="Tahoma"/>
            <family val="2"/>
            <charset val="186"/>
          </rPr>
          <t xml:space="preserve">
Sumažėjo poreikis</t>
        </r>
      </text>
    </comment>
    <comment ref="E18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pagal 2014-10-09 VS-5529 raštą</t>
        </r>
      </text>
    </comment>
    <comment ref="E184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10-31 SPG3-25 svarstyta.  Raštas 2014-10-30 VS-6054 dėl įtraukimo</t>
        </r>
      </text>
    </comment>
    <comment ref="K191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pirminis strateg.  įsakymas 55548 tūkst.Lt (pagal pirminį biudžetą);
pirminis strateg. 54559,8 tūkst. Lt</t>
        </r>
      </text>
    </comment>
    <comment ref="K197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biudžetas 24766,6
</t>
        </r>
      </text>
    </comment>
  </commentList>
</comments>
</file>

<file path=xl/comments6.xml><?xml version="1.0" encoding="utf-8"?>
<comments xmlns="http://schemas.openxmlformats.org/spreadsheetml/2006/main">
  <authors>
    <author>Audra Cepiene</author>
    <author>Indre Buteniene</author>
  </authors>
  <commentList>
    <comment ref="F15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centrinės miesto dalies gatvių tinklą:
</t>
        </r>
        <r>
          <rPr>
            <sz val="9"/>
            <color indexed="81"/>
            <rFont val="Tahoma"/>
            <family val="2"/>
            <charset val="186"/>
          </rPr>
          <t> kapitališkai  suremontuoti Pilies tiltą per Danės upę;
 rekonstruoti Daržų g. ir kitas senamiesčio gatves;
 rekonstruoti Kūlių Vartų g., Galinio Pylimo g. ir Taikos pr. sankryžą;
 nutiesti Bastionų g. ir pastatyti naują tiltą per Danės upę;
 įrengti įvažiuojamąjį kelią į  Klaipėdos piliavietės teritoriją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7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2.1.2.13 Modernizuoti šiaurinės miesto dalies gatvių tinklą:
</t>
        </r>
        <r>
          <rPr>
            <sz val="9"/>
            <color indexed="81"/>
            <rFont val="Tahoma"/>
            <family val="2"/>
            <charset val="186"/>
          </rPr>
          <t xml:space="preserve"> rekonstruoti įvažiuojamąjį kelią į miestą per Tauralaukį (Pajūrio g.);
 rekonstruoti Utenos, Pakruojo, Radviliškio, Rokiškio g. įrengiant pratęsimą iki Šiaurės pr.; 
 rekonstruoti prioritetines Tauralaukio gyvenamųjų kvartalų gatves
</t>
        </r>
      </text>
    </comment>
    <comment ref="M31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SPG 02-26 STR3-2</t>
        </r>
      </text>
    </comment>
    <comment ref="E35" authorId="0">
      <text>
        <r>
          <rPr>
            <sz val="9"/>
            <color indexed="81"/>
            <rFont val="Tahoma"/>
            <family val="2"/>
            <charset val="186"/>
          </rPr>
          <t>Tauralaukio gyvenvietė</t>
        </r>
      </text>
    </comment>
    <comment ref="F40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šiaurės–pietų transporto koridorių gatvių tinklą:
</t>
        </r>
        <r>
          <rPr>
            <sz val="9"/>
            <color indexed="81"/>
            <rFont val="Tahoma"/>
            <family val="2"/>
            <charset val="186"/>
          </rPr>
          <t> rekonstruoti Minijos g. nuo Baltijos pr. iki Jūrininkų pr.;
 rekonstruoti Tilžės g. nuo Šilutės pl. iki geležinkelio pervažos, pertvarkant žiedinę Mokyklos g. ir Šilutės pl. sankryžą; 
 rekonstruoti Taikos pr. nuo Sausio 15 osios g. iki Kauno g.;
 nutiesti Taikos pr. 2-ą juostą nuo Smiltelės g. iki Kairių g.;
 nutiesti Šilutės pl. tęsinį iki pietinio aplinkkelio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4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2.1.2.15 Pagerinti susisiekimą su  rekreacinėmis  pajūrio teritorijomis:
 </t>
        </r>
        <r>
          <rPr>
            <sz val="9"/>
            <color indexed="81"/>
            <rFont val="Tahoma"/>
            <family val="2"/>
            <charset val="186"/>
          </rPr>
          <t>rekonstruoti Pamario g. ir jos priklausinius, pritaikant turizmui;
 nutiesti kelią nuo Medelyno g. ties Labrenciškėmis iki Girulių (Pamario g.)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54" authorId="0">
      <text>
        <r>
          <rPr>
            <b/>
            <sz val="9"/>
            <color indexed="81"/>
            <rFont val="Tahoma"/>
            <family val="2"/>
            <charset val="186"/>
          </rPr>
          <t>KSP 2.1.2.14 Modernizuoti rytų–vakarų krypties gatvių tinklą:</t>
        </r>
        <r>
          <rPr>
            <sz val="9"/>
            <color indexed="81"/>
            <rFont val="Tahoma"/>
            <family val="2"/>
            <charset val="186"/>
          </rPr>
          <t xml:space="preserve">
 rekonstruoti Joniškės g.;
 nutiesti Statybininkų pr. tęsinį nuo Šilutės pl. per LEZ teritoriją iki 141 kelio;
 rekonstruoti Klemiškės g.;
 įrengti Kauno gatvės tęsinį iki Palangos plento
</t>
        </r>
      </text>
    </comment>
    <comment ref="E62" authorId="1">
      <text>
        <r>
          <rPr>
            <b/>
            <sz val="9"/>
            <color indexed="81"/>
            <rFont val="Tahoma"/>
            <family val="2"/>
            <charset val="186"/>
          </rPr>
          <t>Indre Buteniene:</t>
        </r>
        <r>
          <rPr>
            <sz val="9"/>
            <color indexed="81"/>
            <rFont val="Tahoma"/>
            <family val="2"/>
            <charset val="186"/>
          </rPr>
          <t xml:space="preserve">
Ūkio komiteto protokolas</t>
        </r>
      </text>
    </comment>
    <comment ref="F64" authorId="0">
      <text>
        <r>
          <rPr>
            <b/>
            <sz val="10"/>
            <color indexed="81"/>
            <rFont val="Tahoma"/>
            <family val="2"/>
            <charset val="186"/>
          </rPr>
          <t xml:space="preserve">KSP 2.2.1.2. Plėtoti bendrus poreikius atitinkančią susisiekimo infrastruktūrą:
</t>
        </r>
        <r>
          <rPr>
            <sz val="10"/>
            <color indexed="81"/>
            <rFont val="Tahoma"/>
            <family val="2"/>
            <charset val="186"/>
          </rPr>
          <t xml:space="preserve"> parengti galimybių studiją ir projektinius pasiūlymus dėl Švyturio g. rekonstrukcijos;
 modernizuoti Klaipėdos valstybinio jūrų uosto centrinio įvado jungtį rekonstruojant Baltijos pr. su žiedinėmis sankryžomis;
 įrengti dviejų lygių sankryžą tarp Vilniaus g. ir Pramonės g.;
 nutiesti pietinę jungtį tarp Klaipėdos valstybinio jūrų uosto ir IXB transporto koridoriaus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65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 ES projekto "Techninė pagalba IX transporto koridoriaus trūkstamų grandžių Lietuvoje tiesimui" įgyvendinimas apima dvi sutartis: </t>
        </r>
        <r>
          <rPr>
            <sz val="9"/>
            <color indexed="81"/>
            <rFont val="Tahoma"/>
            <family val="2"/>
            <charset val="186"/>
          </rPr>
          <t xml:space="preserve">1. Tarptautinio IXB transporto koridoriaus jungtis su TEN-T tinklu I etapas - Vilniaus pietinis aplinkkelis. Tarptautinio IXB transporto koridoriaus jungtis su TEN-T tinklu II etapas - Vilniaus vakarinis aplinkkelis. Konsultanto užduotys: paraiškos EK rengimas, parengtų poveikio aplinkai ataskaitų vertinimas, konkurso sąlygų rangovams rengimas, vakarinio aplinkkelio detalaus projekto įgyvendinimo grafiko sudarymas. </t>
        </r>
        <r>
          <rPr>
            <b/>
            <sz val="9"/>
            <color indexed="81"/>
            <rFont val="Tahoma"/>
            <family val="2"/>
            <charset val="186"/>
          </rPr>
          <t>2. Pietinės jungties tiesimo tarp Klaipėdos valstybinio jūrų uosto ir IXB transporto koridoriaus techninės dokumentacijos rengimas. Sutartis apima galimybių studijos, detaliojo plano, darbų konkurso dokumentų, paraiškos ES, techninio projekto rengimą.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7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2.1.2.3 </t>
        </r>
        <r>
          <rPr>
            <sz val="9"/>
            <color indexed="81"/>
            <rFont val="Tahoma"/>
            <family val="2"/>
            <charset val="186"/>
          </rPr>
          <t xml:space="preserve">
Formuoti patogų gyventojams viešojo transporto tinklą, jį optimizuojant atsižvelgus į reguliarių keleivių srautų tyrimus</t>
        </r>
      </text>
    </comment>
    <comment ref="K103" authorId="0">
      <text>
        <r>
          <rPr>
            <sz val="9"/>
            <color indexed="81"/>
            <rFont val="Tahoma"/>
            <family val="2"/>
            <charset val="186"/>
          </rPr>
          <t>Rinkliavos administravimo įsisikolinimui dengti</t>
        </r>
      </text>
    </comment>
    <comment ref="L103" authorId="0">
      <text>
        <r>
          <rPr>
            <sz val="9"/>
            <color indexed="81"/>
            <rFont val="Tahoma"/>
            <family val="2"/>
            <charset val="186"/>
          </rPr>
          <t>Rinkliavos administravimo įsisikolinimui dengti</t>
        </r>
      </text>
    </comment>
    <comment ref="M103" authorId="0">
      <text>
        <r>
          <rPr>
            <sz val="9"/>
            <color indexed="81"/>
            <rFont val="Tahoma"/>
            <family val="2"/>
            <charset val="186"/>
          </rPr>
          <t>Rinkliavos administravimo įsisikolinimui dengti</t>
        </r>
      </text>
    </comment>
    <comment ref="F124" authorId="0">
      <text>
        <r>
          <rPr>
            <sz val="9"/>
            <color indexed="81"/>
            <rFont val="Tahoma"/>
            <family val="2"/>
            <charset val="186"/>
          </rPr>
          <t xml:space="preserve">2.1.2.2 Plėtoti viešojo ir privataus transporto sąveikos sistemą įrengiant transporto priemonių laikymo aikšteles
</t>
        </r>
      </text>
    </comment>
    <comment ref="E151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pagal 2014-10-09 VS-5529 raštą</t>
        </r>
      </text>
    </comment>
    <comment ref="E152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10-31 SPG3-25 svarstyta.  Raštas 2014-10-30 VS-6054 dėl įtraukimo</t>
        </r>
      </text>
    </comment>
  </commentList>
</comments>
</file>

<file path=xl/sharedStrings.xml><?xml version="1.0" encoding="utf-8"?>
<sst xmlns="http://schemas.openxmlformats.org/spreadsheetml/2006/main" count="3248" uniqueCount="421">
  <si>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</si>
  <si>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</si>
  <si>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</si>
  <si>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</si>
  <si>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</si>
  <si>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</si>
  <si>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</si>
  <si>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</si>
  <si>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</si>
  <si>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</si>
  <si>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</si>
  <si>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</si>
  <si>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</si>
  <si>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</si>
  <si>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</si>
  <si>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</si>
  <si>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</si>
  <si>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</si>
  <si>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</si>
  <si>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</si>
  <si>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</si>
  <si>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</si>
  <si>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Turtui įsigyti ir finansiniams įsipareigojimams vykdyti</t>
  </si>
  <si>
    <t>Asignavimų valdytojų kodų klasifikatorius*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</si>
  <si>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</si>
  <si>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</si>
  <si>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</si>
  <si>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</si>
  <si>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</si>
  <si>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</si>
  <si>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 xml:space="preserve"> TIKSLŲ, UŽDAVINIŲ, PRIEMONIŲ, PRIEMONIŲ IŠLAIDŲ IR PRODUKTO KRITERIJŲ SUVESTINĖ</t>
  </si>
  <si>
    <t>Veiklos plano tikslo kodas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</si>
  <si>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</si>
  <si>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</si>
  <si>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</si>
  <si>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</si>
  <si>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  <charset val="186"/>
      </rPr>
      <t>KPP</t>
    </r>
  </si>
  <si>
    <r>
      <t xml:space="preserve">Klaipėdos valstybinio jūrų uosto direkcijos lėšos </t>
    </r>
    <r>
      <rPr>
        <b/>
        <sz val="10"/>
        <rFont val="Times New Roman"/>
        <family val="1"/>
        <charset val="186"/>
      </rPr>
      <t>KVJUD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</si>
  <si>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</si>
  <si>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</si>
  <si>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*</t>
    </r>
  </si>
  <si>
    <t>2015-ieji metai</t>
  </si>
  <si>
    <t>SB</t>
  </si>
  <si>
    <t>06 Susisiekimo sistemos priežiūros ir plėtros programa</t>
  </si>
  <si>
    <t>Papriemonės kodas</t>
  </si>
  <si>
    <t>03</t>
  </si>
  <si>
    <t>SUSISIEKIMO SISTEMOS PRIEŽIŪROS IR PLĖTROS PROGRAMOS (NR. 06)</t>
  </si>
  <si>
    <t>Didinti gatvių tinklo pralaidumą ir užtikrinti jų tankumą</t>
  </si>
  <si>
    <t>Rekonstruoti ir tiesti gatves</t>
  </si>
  <si>
    <t xml:space="preserve"> Užtikrinti patogios viešojo transporto sistemos funkcionavimą</t>
  </si>
  <si>
    <t>04</t>
  </si>
  <si>
    <t>Diegti eismo srautų reguliavimo ir saugumo priemones</t>
  </si>
  <si>
    <t>05</t>
  </si>
  <si>
    <t>Atlikti kasmetinius miesto susisiekimo infrastruktūros objektų priežiūros ir įrengimo darbus</t>
  </si>
  <si>
    <t>06</t>
  </si>
  <si>
    <t>07</t>
  </si>
  <si>
    <t>09</t>
  </si>
  <si>
    <t>6</t>
  </si>
  <si>
    <t>KPP</t>
  </si>
  <si>
    <t>Eksploatuojama šviesoforų, vnt.</t>
  </si>
  <si>
    <t>Mokamo automobilių stovėjimo sistemos mieste sukūrimas ir išlaikymas</t>
  </si>
  <si>
    <t>Tiltų ir kelio statinių priežiūra</t>
  </si>
  <si>
    <t>Suremontuota šaligatvių, ha</t>
  </si>
  <si>
    <t>Suremontuota asfaltbetonio dangos duobių kiemuose, ha</t>
  </si>
  <si>
    <t>Suremontuota asfaltbetonio dangos duobių gatvėse, ha</t>
  </si>
  <si>
    <t>Suremontuota gatvių akmens grindinio dangos, ha</t>
  </si>
  <si>
    <t>10</t>
  </si>
  <si>
    <t>Parduota lengvatinių bilietų, mln. vnt.</t>
  </si>
  <si>
    <t>Viešojo transporto priežiūros ir paslaugų kokybės kontroliavimas</t>
  </si>
  <si>
    <t>Viešojo transporto (autobusų ir maršrutinių taksi) integravimas</t>
  </si>
  <si>
    <t>Subsidijuojami maršrutai, vnt.</t>
  </si>
  <si>
    <t>Projektas „Regioninė galimybių studija „Vakarų krantas“</t>
  </si>
  <si>
    <t>5</t>
  </si>
  <si>
    <t>Parengta galimybių studija, vnt.</t>
  </si>
  <si>
    <t>ES</t>
  </si>
  <si>
    <t>Kt</t>
  </si>
  <si>
    <t>Parengtas techninis projektas, vnt.</t>
  </si>
  <si>
    <t>SB(P)</t>
  </si>
  <si>
    <t>LRVB</t>
  </si>
  <si>
    <t>I</t>
  </si>
  <si>
    <t>KVJUD</t>
  </si>
  <si>
    <t>Automatinės eismo priežiūros prietaisų nuoma</t>
  </si>
  <si>
    <t>Centrinės miesto dalies gatvių tinklo modernizavimas:</t>
  </si>
  <si>
    <t>Šiaurinės miesto dalies gatvių tinklo modernizavimas:</t>
  </si>
  <si>
    <t>Šiaurės ir Pietų transporto koridorių gatvių tinklo modernizavimas:</t>
  </si>
  <si>
    <t>Pajūrio rekreacinių teritorijų gatvių tinklo modernizavimas:</t>
  </si>
  <si>
    <t>Eksploatuojamų bilietų automatų sk.</t>
  </si>
  <si>
    <t>Transporto kompensacijų mokėjimas:</t>
  </si>
  <si>
    <t>Asfaltuotų daugiabučių kiemų dangų remontas</t>
  </si>
  <si>
    <t>Asfaltbetonio dangos, žvyruotos dangos ir akmenimis grįstų gatvių  dangos remontas</t>
  </si>
  <si>
    <t>Miesto gatvių ir daugiabučių namų kiemų dangos remontas:</t>
  </si>
  <si>
    <t>Keleivinio transporto stotelių su įvažomis Klaipėdos miesto gatvėse projektavimas ir įrengimas</t>
  </si>
  <si>
    <t>Patikrinta viešojo transporto priemonių, tūkst. vnt.</t>
  </si>
  <si>
    <t>Įsigyta integruotų maršrutų transporto priemonių įrangos, vnt.</t>
  </si>
  <si>
    <t>Prižiūrima tiltų ir viadukų, vnt.</t>
  </si>
  <si>
    <t>Sankryžos iš Butkų Juzės gatvės į S. Daukanto gatvę kapitalinis remontas</t>
  </si>
  <si>
    <t>Parengta techninių projektų, vnt.</t>
  </si>
  <si>
    <t>Įrengta stotelių, vnt.</t>
  </si>
  <si>
    <t>1</t>
  </si>
  <si>
    <t>Viešojo transporto paslaugų organizavimas:</t>
  </si>
  <si>
    <t>Smeltės gyvenvietės gatvių kapitalinis remontas</t>
  </si>
  <si>
    <t xml:space="preserve">Iš viso  programai:  </t>
  </si>
  <si>
    <t>Klaipėdos miesto gatvių pėsčiųjų perėjų kryptingas apšvietimas</t>
  </si>
  <si>
    <t>Apšviesta pėsčiųjų perėjų, sk</t>
  </si>
  <si>
    <t>Užbaigtumas, proc.</t>
  </si>
  <si>
    <t>Pajūrio g. rekonstravimas</t>
  </si>
  <si>
    <t>Taikos pr. nuo Sausios 15-osios g. iki Kauno g. rekonstravimas</t>
  </si>
  <si>
    <t>Pamario gatvės rekonstravimas</t>
  </si>
  <si>
    <t>SB(L)</t>
  </si>
  <si>
    <t>Strateginis tikslas 02. Kurti mieste patrauklią, švarią ir saugią gyvenamąją aplinką</t>
  </si>
  <si>
    <t>Vykdytojas (skyrius / asmuo)</t>
  </si>
  <si>
    <t>2016-ųjų metų lėšų projektas</t>
  </si>
  <si>
    <t>Iš viso priemonei:</t>
  </si>
  <si>
    <t>Viešosios tvarkos skyrius</t>
  </si>
  <si>
    <t>2016-ųjų m. lėšų poreikis</t>
  </si>
  <si>
    <t>2016-ieji metai</t>
  </si>
  <si>
    <t>Miesto gatvių saugaus eismo priemonių eksploatacija ir įrengimas</t>
  </si>
  <si>
    <t>Miesto gatvių ženklinimas</t>
  </si>
  <si>
    <t>Prižiūrima žvyruotos dangos, ha</t>
  </si>
  <si>
    <t>Maršrutų skaičius, vnt.</t>
  </si>
  <si>
    <t>Paklota ištisinio asfaltbetonio dangos, ha</t>
  </si>
  <si>
    <t>Eksploatuojama prietaisų, vnt.</t>
  </si>
  <si>
    <t>SB(VR)</t>
  </si>
  <si>
    <r>
      <t xml:space="preserve">Vietinių rinkliavų lėšos </t>
    </r>
    <r>
      <rPr>
        <b/>
        <sz val="10"/>
        <rFont val="Times New Roman"/>
        <family val="1"/>
        <charset val="186"/>
      </rPr>
      <t>SB(VR)</t>
    </r>
  </si>
  <si>
    <t>IED Projektų skyrius</t>
  </si>
  <si>
    <t>IED Statybos ir infrastruktūros plėtros skyrius</t>
  </si>
  <si>
    <t xml:space="preserve">IED Projektų skyrius </t>
  </si>
  <si>
    <t>Bendri KVJUD ir miesto projektai:</t>
  </si>
  <si>
    <t>MŪD Transporto skyrius</t>
  </si>
  <si>
    <t xml:space="preserve">MŪD Miesto tvarkymo skyrius </t>
  </si>
  <si>
    <t xml:space="preserve">MŪD Miesto tvarkymo skyriaus </t>
  </si>
  <si>
    <t xml:space="preserve">IED Statybos ir infrastruktūros plėtros skyrius </t>
  </si>
  <si>
    <t>MŪD Miesto tvarkymo skyrius</t>
  </si>
  <si>
    <t>SB(VRL)</t>
  </si>
  <si>
    <r>
      <t xml:space="preserve">Vietinių rinkliavų likučio lėšos </t>
    </r>
    <r>
      <rPr>
        <b/>
        <sz val="10"/>
        <rFont val="Times New Roman"/>
        <family val="1"/>
        <charset val="186"/>
      </rPr>
      <t>SB(VRL)</t>
    </r>
  </si>
  <si>
    <t>P7</t>
  </si>
  <si>
    <t>P2.1.2.4</t>
  </si>
  <si>
    <t>P2.1.2.9</t>
  </si>
  <si>
    <t>P2.1.2.7</t>
  </si>
  <si>
    <t>P2.1.2.2</t>
  </si>
  <si>
    <r>
      <t>Savivaldybės privatizavimo fondo lėšos</t>
    </r>
    <r>
      <rPr>
        <b/>
        <sz val="10"/>
        <rFont val="Times New Roman"/>
        <family val="1"/>
        <charset val="186"/>
      </rPr>
      <t xml:space="preserve"> PF</t>
    </r>
  </si>
  <si>
    <t>P9</t>
  </si>
  <si>
    <t>Minijos g. ruožo nuo Baltijos pr. iki Jūrininkų pr. rekonstrukcija</t>
  </si>
  <si>
    <t>Tilto per Danės upę Pilies gatvėje, Klaipėdoje, kapitalinis remontas</t>
  </si>
  <si>
    <t>Topografinių nuotraukų, išpildomųjų geodezinių nuotraukų įsigijimas, statinių projektų ekspertizių bei kitos inžinerinės paslaugos</t>
  </si>
  <si>
    <t>Nuostolių dėl keleivių vežimo vietinio ir priemiestinio reguliaraus susisiekimo autobusų maršrutais kompensavimas</t>
  </si>
  <si>
    <r>
      <t xml:space="preserve">Programų lėšų likučių lėšos </t>
    </r>
    <r>
      <rPr>
        <b/>
        <sz val="10"/>
        <rFont val="Times New Roman"/>
        <family val="1"/>
        <charset val="186"/>
      </rPr>
      <t xml:space="preserve">SB(L) </t>
    </r>
  </si>
  <si>
    <t>J. Janonio g. dangų ir šaligatvių restauravimas</t>
  </si>
  <si>
    <t xml:space="preserve"> - vežėjams už lengvatas turinčių keleivių vežimą</t>
  </si>
  <si>
    <t xml:space="preserve"> - moksleiviams</t>
  </si>
  <si>
    <t xml:space="preserve"> - profesinių mokyklų moksleiviams</t>
  </si>
  <si>
    <t>Ištisinio asfaltbetonio dangos remontas Taikos pr. ruože nuo Jūrininkų pr. iki Kairių g.</t>
  </si>
  <si>
    <t>Eksploatuojama eismo reguliavimo priemonių, tūkst. vnt. (sudaro 65 % visų priemonių)</t>
  </si>
  <si>
    <t>Įrengta ir pakeista informacinių ženklų, tūkst. vnt.</t>
  </si>
  <si>
    <t>Švyturio gatvės rekonstravimo projekto parengimas ir įgyvendinimas (I etapas – nuo Naujosios Uosto g. iki Malūnininkų g.)</t>
  </si>
  <si>
    <t>Parengtas techninis projektas, vnt.
Atlikti gatvės (600 m) ir žiedinės sankryžos rekonstravimo darbai. 
Užbaigtumas, proc.</t>
  </si>
  <si>
    <t xml:space="preserve">Daržų gatvės nuo Aukštosios iki Tiltų gatvės rekonstrukcija </t>
  </si>
  <si>
    <t>Asignavimai 2014-iesiems metams**</t>
  </si>
  <si>
    <t>Lėšų poreikis biudžetiniams 
2015-iesiems metams</t>
  </si>
  <si>
    <t>2015-ųjų metų asignavimų planas</t>
  </si>
  <si>
    <t>2017-ųjų metų lėšų projektas</t>
  </si>
  <si>
    <t>2017-ieji metai</t>
  </si>
  <si>
    <t xml:space="preserve"> 2014–2017 M. KLAIPĖDOS MIESTO SAVIVALDYBĖS</t>
  </si>
  <si>
    <t>2017-ųjų m. lėšų poreikis</t>
  </si>
  <si>
    <t>Suženklinta gatvių, ha</t>
  </si>
  <si>
    <t xml:space="preserve">Esamų dviračių takų ženklinimo bei jungčių (rišlumo), dviračių parkavimo vietų įrengimas bei bemotorio transporto skatinimas </t>
  </si>
  <si>
    <t xml:space="preserve">MŪD Transporto skyrius </t>
  </si>
  <si>
    <t>MŪD  Transporto skyrius</t>
  </si>
  <si>
    <t>Automobilių aikštelių (rinkliavai) įrengimas, sk.</t>
  </si>
  <si>
    <t>Įrengta kelio ženklų (rinkliavai), autobusų stotelėms, sk.</t>
  </si>
  <si>
    <t>Elektromobilių infrastruktūros įrengimo galimybių studijos parengimas</t>
  </si>
  <si>
    <t>Eksploatuojama greičio matuoklių, vnt.</t>
  </si>
  <si>
    <r>
      <t xml:space="preserve">Kombinuotų kelionių jungčių (PARK&amp;RIDE) įrengimas </t>
    </r>
    <r>
      <rPr>
        <sz val="10"/>
        <rFont val="Times New Roman"/>
        <family val="1"/>
        <charset val="186"/>
      </rPr>
      <t>(šiaurinėje miesto dalyje)</t>
    </r>
  </si>
  <si>
    <t>Kompensuota bilietų mokykloms, vnt.</t>
  </si>
  <si>
    <t>Kompensuota bilietų profesinėms mokykloms, vnt.</t>
  </si>
  <si>
    <t>Parengtas paviljono su aikštele techninis projektas, vnt.</t>
  </si>
  <si>
    <t>Atliktas paviljono statybos I etapas, proc.</t>
  </si>
  <si>
    <t>Įrengti elektromobilių greito įkrovimo įrenginiai, vnt.</t>
  </si>
  <si>
    <t>Įrengta viešojo transporto švieslentė, vnt.</t>
  </si>
  <si>
    <t>15,8</t>
  </si>
  <si>
    <t>6,7</t>
  </si>
  <si>
    <t>1,8</t>
  </si>
  <si>
    <t>Ištisinio asfaltbetonio dangos įrengimas miesto gatvėse:</t>
  </si>
  <si>
    <t>Įsigyta kelio vaizdo (esamų eismo saugumo priemonių įkėlimas į sistemą) internetinė programa, vnt.</t>
  </si>
  <si>
    <t>Medžiagų tyrimas ir kontroliniai bandymai</t>
  </si>
  <si>
    <t>Įrengta aikštelė, vnt.</t>
  </si>
  <si>
    <t>Įrengta neregių vedimo sistemos priemonių, vnt.</t>
  </si>
  <si>
    <t>3</t>
  </si>
  <si>
    <t>1/1</t>
  </si>
  <si>
    <t>Atlikta gatvės (280 m) rekonstrukcija (I etapas).</t>
  </si>
  <si>
    <t>Atlikta gatvės (366 m)  rekonstrukcija (II etapas). Užbaigtumas, proc.</t>
  </si>
  <si>
    <t>Joniškės g. rekonstrukcija (I etapas)</t>
  </si>
  <si>
    <t>2.1.2.14</t>
  </si>
  <si>
    <t>Laikino tilto per Danės upę įrengimas ir priežiūra</t>
  </si>
  <si>
    <t>Įrengtas laikinas tiltas per Danės upę, vnt.</t>
  </si>
  <si>
    <t>Rekonstruotos gatvės: Akmenų (350 m ), Smėlio (1000 m). Užbaigtumas, proc.</t>
  </si>
  <si>
    <t xml:space="preserve">Tauralaukio gyvenvietės gatvių (Akmenų g., Smėlio g., Vėjo g., Debesų g., Žvaigždžių g.) rekonstravimas </t>
  </si>
  <si>
    <t>Rekonstruotos Labrenciškių ir M. Jankaus gatvės. Užbaigtumas, proc.</t>
  </si>
  <si>
    <t>Parengtas technins projektas, vnt.</t>
  </si>
  <si>
    <t>Parengtas techn. projektas, vnt.</t>
  </si>
  <si>
    <t>Atliekami gatvių dangų, konstruktyvo ir betoninių gaminių kontroliniai bandymai, proc.</t>
  </si>
  <si>
    <t>Parengtas techninis projektas, vnt.
Rekonstruota gatvė (4600 m). Užbaigtumas proc.</t>
  </si>
  <si>
    <t>2.1.2.11</t>
  </si>
  <si>
    <t xml:space="preserve">IED Statybos ir infrastruktūros plėtros </t>
  </si>
  <si>
    <t>2.1.2.15</t>
  </si>
  <si>
    <t>2.1.2.13</t>
  </si>
  <si>
    <t>2.1.2.2</t>
  </si>
  <si>
    <t>Parengtas techn. projektas, vnt.
Atlikta gatvės  (1280 m) rekonstrukcija.  Užbaigtumas, proc.</t>
  </si>
  <si>
    <t>Parengtas techn. projektas, vnt.
Tiesiamos gatvės ilgis (500 m).
Užbaigtumas, proc.</t>
  </si>
  <si>
    <t>2.1.2.12</t>
  </si>
  <si>
    <t>Veterinarijos gatvės rekonstravimas</t>
  </si>
  <si>
    <t>Techninio projekto 
parengimas, vnt.
Rekonstruota gatvė (300 m ).
Užbaigtumas, proc.</t>
  </si>
  <si>
    <t>Savanorių g. rekonstravimas</t>
  </si>
  <si>
    <t>Parengtas technins projektas, vnt. Rekonstruota gatvė (800 m).
Užbaigtumas proc.</t>
  </si>
  <si>
    <t>P2.1.2.10</t>
  </si>
  <si>
    <t>P2.1.2.6</t>
  </si>
  <si>
    <t xml:space="preserve">Parengtas techninis projektas, vnt. 
</t>
  </si>
  <si>
    <t xml:space="preserve">Savivaldybės biudžetas, iš jo: </t>
  </si>
  <si>
    <t>08</t>
  </si>
  <si>
    <t>Akmenos-Danės upės vidaus vandens kelio valdytojo parinkimo techninių sąlygų parengimas</t>
  </si>
  <si>
    <t>Parengtos tecninės sąlygos, vnt.</t>
  </si>
  <si>
    <t>Automobilių laikymo aikštelių įrengimas:</t>
  </si>
  <si>
    <t xml:space="preserve"> 2015–2017 M. KLAIPĖDOS MIESTO SAVIVALDYBĖS</t>
  </si>
  <si>
    <t>Atlikti rekonstrukcijos darbai, proc.</t>
  </si>
  <si>
    <t>1
100</t>
  </si>
  <si>
    <t>Parengtas projektas, vnt.
Išasfaltuota 75 m gatvės, proc.</t>
  </si>
  <si>
    <t>Parengtas projektas, vnt.
Išasfaltuota 300 m gatvės su pėsčiųjų ir dviračių takais, proc.</t>
  </si>
  <si>
    <t>Suremontuotų kiemų ir privažiavimo kelių, skaičius</t>
  </si>
  <si>
    <t>Eismo srautų reguliavimo techninės  dokumentacijos parengimas:</t>
  </si>
  <si>
    <t>2015 m. asignavimų planas</t>
  </si>
  <si>
    <t>Atlikti žvalgomieji archeologiniai tyrimai, proc.</t>
  </si>
  <si>
    <t xml:space="preserve">Parengtas techninis projektas, vnt. </t>
  </si>
  <si>
    <t>Bastionų g. ir naujo tilto su pakeliamu mechanizmu per Danę statyba ir prieigų sutvarkymas šiaurinėje Danės pakrantėje:</t>
  </si>
  <si>
    <t>Techninio projekto parengimas (iki 2017 m.)</t>
  </si>
  <si>
    <t>Kompensuota bilietų profesinėms mokykloms, tūkst. vnt.</t>
  </si>
  <si>
    <t>Kompensuota bilietų mokykloms, tūkst. vnt.</t>
  </si>
  <si>
    <t>Parengtos techninės sąlygos, vnt.</t>
  </si>
  <si>
    <t>Statybos darbų atlikimas (darbų pradžia 2018 m.)</t>
  </si>
  <si>
    <t>Danės g. rekonstravimo (siekiant racionaliai suplanuoti jungtis su Bastionų g. ir nauju tiltu per Danės upę) priešprojektinių sprendinių parengimas</t>
  </si>
  <si>
    <t>Tomo gatvės rekonstravimas</t>
  </si>
  <si>
    <t>Stadiono g. ruožo tarp Malūnininkų g. 13 ir Stadiono g. 5 remontas</t>
  </si>
  <si>
    <t>Rokiškio g. rekonstravimas</t>
  </si>
  <si>
    <t>Klaipėdos g. ruožo tarp Uosių ir Virkučių g. kapitalinis remontas</t>
  </si>
  <si>
    <t>Dailidžių g. akligatvio kapitalinis remontas</t>
  </si>
  <si>
    <t>Rekonstruota sankryža  (atlikti I etapo darbai)
Užbaigtumas, proc.</t>
  </si>
  <si>
    <t>1                                     50</t>
  </si>
  <si>
    <t>Atlikti privažiavimo kelio tiesimo darbai, proc.</t>
  </si>
  <si>
    <t xml:space="preserve">Parengtas II etapo projektas, vnt. </t>
  </si>
  <si>
    <t>Parengti priešprojektiniai sprendiniai, vnt.</t>
  </si>
  <si>
    <t>Parengtas techninis projektas, vnt.
Išasfaltuota 300 m gatvės su pėsčiųjų ir dviračių takais, proc.</t>
  </si>
  <si>
    <t>Parengtas techninis projektas, vnt.
Išasfaltuota 200 m gatvės, proc.</t>
  </si>
  <si>
    <t>Parengtas techninis projektas, vnt.
Rekonstruota gatvė (300 m ).
Užbaigtumas, proc.</t>
  </si>
  <si>
    <t>Parengtas techninis projektas, vnt.
Išasfaltuota 75 m gatvės, proc.</t>
  </si>
  <si>
    <t>Parengtas techninis projektas, vnt. Rekonstruota gatvė (800 m).
Užbaigtumas proc.</t>
  </si>
  <si>
    <t>Parengtas techninis projektas, vnt. 
Atlikta gatvės  (1280 m) rekonstrukcija.  Užbaigtumas, proc.</t>
  </si>
  <si>
    <t>Parengtas II etapo techninis projektas, vnt.</t>
  </si>
  <si>
    <t>I etape nutiestos gatvės ilgis (571 m). Užbaigtumas, proc.</t>
  </si>
  <si>
    <t>Tiesiosios g. (Rimkuose) rekonstravimas</t>
  </si>
  <si>
    <t>Parengtas techninis projektas</t>
  </si>
  <si>
    <t>Parengtas techninis projektas, vnt.  Atlikta gatvės (130 m) rekonstrukcija.  Užbaigtumas, proc.</t>
  </si>
  <si>
    <t xml:space="preserve">Remontuojama tilto ilgis – 37,4 m.  
Užbaigtumas, proc. </t>
  </si>
  <si>
    <t>techninio projekto parengimas (iki 2017 m.)</t>
  </si>
  <si>
    <t>Atlikta gatvės  (130 m) rekonstrukcija.  Užbaigtumas, proc.</t>
  </si>
  <si>
    <t>P2 .1.2.3</t>
  </si>
  <si>
    <t>Planas</t>
  </si>
  <si>
    <t>Eur</t>
  </si>
  <si>
    <t>Rekonstruotos kvartalo gatvės – 653 m: Upelio g. (212,0 m), Skirvytės g. (288,9 m), Dusetų g. (152,1 m). Užbaigtumas, proc.</t>
  </si>
  <si>
    <t>Patikslintas detalusis planas, vnt. / patikslintas tech. projektas, vnt.</t>
  </si>
  <si>
    <r>
      <t>Automobilių aikštelių (rinkliavai) horizontalus ženklinimas, m</t>
    </r>
    <r>
      <rPr>
        <sz val="10"/>
        <rFont val="Calibri"/>
        <family val="2"/>
        <charset val="186"/>
      </rPr>
      <t>²</t>
    </r>
  </si>
  <si>
    <t>statybos darbai (planuojama pradžia – 2018 m.)</t>
  </si>
  <si>
    <t xml:space="preserve">Naujo įvažiuojamojo kelio (Priešpilio g.) į Piliavietę ir kruizinių laivų terminalą tiesimas  </t>
  </si>
  <si>
    <t>Dubliuojančios gatvės nuo Šiltnamių g. iki Klaipėdos g. su pėsčiųjų ir dviračių taku ir įvažiuojamaisiais keliais į Liepojos g. techninio projekto parengimas</t>
  </si>
  <si>
    <t>Šilutės plento rekonstravimas: (I etapas – nuo Tilžės g. iki Kauno g.; II etapas – nuo Kauno g. iki Dubysos g.)</t>
  </si>
  <si>
    <t>Labrenciškių g., M. Jankaus g. rekonstravimas bei naujo kelio nuo M. Jankaus g.  iki Pamario g. tiesimas</t>
  </si>
  <si>
    <t>Rytų ir vakarų krypties gatvių tinklo modernizavimas:</t>
  </si>
  <si>
    <t>Joniškės g. rekonstravimas (II etapas – nuo Klemiškės g. iki Liepų g., Šienpjovių g.)</t>
  </si>
  <si>
    <t>Statybininkų prospekto tęsinio tiesimas nuo Šilutės pl. per LEZ teritoriją iki 141 kelio: I etapas – Lypkių gatvės tiesimas</t>
  </si>
  <si>
    <t>Statybininkų prospekto tęsinio tiesimas nuo Šilutės pl. per LEZ teritoriją iki 141 kelio: II etapas – Lypkių gatvės ruožo nuo Šilutės plento tiesmas</t>
  </si>
  <si>
    <t>Pietinės jungties tarp Klaipėdos valstybinio jūrų uosto ir IXB transporto koridoriaus techninės dokumentacijos parengimas</t>
  </si>
  <si>
    <t>Nuostolingų maršrutų subsidijavimas priemiesčio maršrutus aptarnaujantiems vežėjams (s. b. „Dituva“, s. b. „Tolupis“, s. b. „Vaiteliai“–„Rasa“)</t>
  </si>
  <si>
    <r>
      <rPr>
        <b/>
        <sz val="10"/>
        <rFont val="Times New Roman"/>
        <family val="1"/>
        <charset val="186"/>
      </rPr>
      <t xml:space="preserve">Neįgaliųjų socialinės integracijos priemonė. </t>
    </r>
    <r>
      <rPr>
        <sz val="10"/>
        <rFont val="Times New Roman"/>
        <family val="1"/>
        <charset val="186"/>
      </rPr>
      <t xml:space="preserve"> Neregių vedimo sistemų įrengimas Minijos g. ruože nuo Jūrininkų pr. iki Sulupės g.</t>
    </r>
  </si>
  <si>
    <t>Pėsčiųjų, šaligatvių bei privažiuojamųjų kelių remonto bei įrengimo darbai, automobilių stovėjimo vietų įrengimas</t>
  </si>
  <si>
    <t>Kiemų ir privažiuojamųjų kelių prie švietimo įstaigų sutvarkymas</t>
  </si>
  <si>
    <t>Privažiuojamojo kelio prie pastato Debreceno 48 g. tiesimas</t>
  </si>
  <si>
    <t>Parengtas kelio tiesimo techn. projektas, vnt.</t>
  </si>
  <si>
    <t>Rekonstruota gatvė (1374 m ).
Užbaigtumas, proc.</t>
  </si>
  <si>
    <t>Bendras tiesiamos gatvės ilgis –   571 m (I etapas). Užbaigtumas, proc.</t>
  </si>
  <si>
    <t>Atlikti privažiuojamojo kelio tiesimo darbai, proc.</t>
  </si>
  <si>
    <t>Suremontuota kiemų ir privažiuojamųjų kelių, skaičius</t>
  </si>
  <si>
    <t xml:space="preserve">Naujo įvažiuojamojo kelio (Priešpilio g.) į piliavietę ir kruizinių laivų terminalą tiesimas  </t>
  </si>
  <si>
    <t>Šiaurės ir pietų transporto koridorių gatvių tinklo modernizavimas:</t>
  </si>
  <si>
    <t xml:space="preserve">Tilžės g. nuo Šilutės pl. iki geležinkelio pervažos rekonstravimas, pertvarkant žiedinę Mokyklos g. ir Šilutės pl. sankryžą </t>
  </si>
  <si>
    <t>Labrenciškių g., M. Jankaus g. rekonstravimas bei naujo kelio nuo M. Jankaus g. iki Pamario g. tiesimas</t>
  </si>
  <si>
    <t>Statybininkų prospekto tęsinio tiesimas nuo Šilutės pl. per LEZ teritoriją iki 141 kelio: I etapas – Lypkių gatvės tiesimas.</t>
  </si>
  <si>
    <t>Centrinio Klaipėdos valstybinio jūrų uosto įvado jungties  modernizavimas: Baltijos prospekto ir Minijos gatvės sankryžos rekonstrukcija (I etapas).</t>
  </si>
  <si>
    <t>Saugaus miesto susisiekimo infrastruktūros objektų priežiūros ir įrengimo darbų atlikimas</t>
  </si>
  <si>
    <r>
      <rPr>
        <b/>
        <sz val="10"/>
        <rFont val="Times New Roman"/>
        <family val="1"/>
        <charset val="186"/>
      </rPr>
      <t xml:space="preserve">Neįgaliųjų socialinės integracijos priemonė. </t>
    </r>
    <r>
      <rPr>
        <sz val="10"/>
        <rFont val="Times New Roman"/>
        <family val="1"/>
        <charset val="186"/>
      </rPr>
      <t xml:space="preserve"> Neregių vedimo sistemų įrengimas Minijos g.ruože nuo Jūrininkų pr. iki Sulupės g.</t>
    </r>
  </si>
  <si>
    <t>Išmaniųjų transporto sistemų valdymo (žaliosios bangos principu) techninio projekto parengimas</t>
  </si>
  <si>
    <t>Biudžetinių įstaigų kiemų ir privažiuojamųjų kelių  dangos remontas</t>
  </si>
  <si>
    <t>Privažiuojamojo kelio prie pastato Debreceno 48 g. įrengimas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</si>
  <si>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įsakymo Nr. 1K-085 redakcija)</t>
  </si>
  <si>
    <t>Įrengta automobilių aikštelių (rinkliavai), sk.</t>
  </si>
  <si>
    <r>
      <t>Horizontaliai suženklinta  automobilių aikštelių (rinkliavai), m</t>
    </r>
    <r>
      <rPr>
        <sz val="10"/>
        <rFont val="Calibri"/>
        <family val="2"/>
        <charset val="186"/>
      </rPr>
      <t>²</t>
    </r>
  </si>
  <si>
    <t>Įrengta automobilių aikštelių kt. miesto dalyse, sk.</t>
  </si>
  <si>
    <t>Parengtas I. Kanto g. 11–17 kiemo techninis projektas/įrengta aikštelė, vnt.</t>
  </si>
  <si>
    <t xml:space="preserve">Automobilių laikymo aikštelių įrengimas pagal Savivaldybės administracijos direktoriaus patvirtintą programą </t>
  </si>
  <si>
    <t>Apšviesta pėsčiųjų perėjų, sk.</t>
  </si>
  <si>
    <t>Įvažiavimo iš Lypkių g. į kelią Nr. 141 įrengimas</t>
  </si>
  <si>
    <t>Įrengtas įvažiavimas, proc.</t>
  </si>
  <si>
    <t>Siūlomas keisti 2015-ųjų metų asignavimų planas</t>
  </si>
  <si>
    <t>Skirtumas</t>
  </si>
  <si>
    <t>Lyginamasis variantas</t>
  </si>
  <si>
    <t>Apskaitos kodas</t>
  </si>
  <si>
    <t>2015 M. KLAIPĖDOS MIESTO SAVIVALDYBĖS ADMINISTRACIJOS</t>
  </si>
  <si>
    <t>2015-ųjų metų asignavimų planas*</t>
  </si>
  <si>
    <t>Indėlio kriterijaus</t>
  </si>
  <si>
    <t>2.1.2.3</t>
  </si>
  <si>
    <t>Saugaus miesto susisiekimo infrastruktūros objektų priežiūros ir įrengimo darbų atlikimas:</t>
  </si>
  <si>
    <t>MŪD Miesto tvarkymo sk.</t>
  </si>
  <si>
    <t>Centrinio Klaipėdos valstybinio jūrų uosto įvado jungties  modernizavimas: Baltijos prospekto ir Minijos gatvės sankryžos rekonstrukcija (I etapas)</t>
  </si>
  <si>
    <t>Rekonstruota sankryža  (atlikti I etapo darbai). Užbaigtumas, proc.</t>
  </si>
  <si>
    <t xml:space="preserve">Remontuojamas tilto ilgis – 37,4 m.  
Užbaigtumas, proc. </t>
  </si>
  <si>
    <t xml:space="preserve">Ištisinio asfaltbetonio dangos remontas </t>
  </si>
  <si>
    <t>PATVIRTINTA
Klaipėdos miesto savivaldybės administracijos direktoriaus 2015 m.               įsakymu Nr. AD1-</t>
  </si>
  <si>
    <t>0601010301</t>
  </si>
  <si>
    <t>0601010302</t>
  </si>
  <si>
    <t>0601050103</t>
  </si>
  <si>
    <t>0601050201</t>
  </si>
  <si>
    <t>Neeksplotuojamų dviejų požeminių perėjų Šilutės pl. kapitalinis remontas</t>
  </si>
  <si>
    <t>Automobilių stovėjimo aikštelės teritorijoje Pilies g. 2A įrengimas</t>
  </si>
  <si>
    <t>SB(ŽPL)</t>
  </si>
  <si>
    <r>
      <t xml:space="preserve">Žemės pardavimų likučio lėšos </t>
    </r>
    <r>
      <rPr>
        <b/>
        <sz val="10"/>
        <rFont val="Times New Roman"/>
        <family val="1"/>
        <charset val="186"/>
      </rPr>
      <t>SB(ŽPL)</t>
    </r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</si>
  <si>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>SB(L)</t>
    </r>
  </si>
  <si>
    <r>
      <rPr>
        <sz val="10"/>
        <rFont val="Times New Roman"/>
        <family val="1"/>
        <charset val="186"/>
      </rPr>
      <t>Vietinių rinkliavų likučio lėšos</t>
    </r>
    <r>
      <rPr>
        <b/>
        <sz val="10"/>
        <rFont val="Times New Roman"/>
        <family val="1"/>
        <charset val="186"/>
      </rPr>
      <t xml:space="preserve"> SB(VRL)</t>
    </r>
  </si>
  <si>
    <r>
      <rPr>
        <sz val="10"/>
        <rFont val="Times New Roman"/>
        <family val="1"/>
        <charset val="186"/>
      </rPr>
      <t xml:space="preserve">Savivaldybės privatizavimo fondo lėšos </t>
    </r>
    <r>
      <rPr>
        <b/>
        <sz val="10"/>
        <rFont val="Times New Roman"/>
        <family val="1"/>
        <charset val="186"/>
      </rPr>
      <t>PF</t>
    </r>
  </si>
  <si>
    <t>Parengtas techninis projektas, vnt.                 Atlikti kapitalinio remonto darbai, proc.</t>
  </si>
  <si>
    <t>Įrengta šviesaforais reguliuojamų perėjų, vnt.</t>
  </si>
  <si>
    <t>06.010503</t>
  </si>
  <si>
    <t>06.010502</t>
  </si>
  <si>
    <t>06.010134</t>
  </si>
  <si>
    <t>06.010135</t>
  </si>
  <si>
    <t>06.010136</t>
  </si>
  <si>
    <t>06.010131</t>
  </si>
  <si>
    <t>06.010105</t>
  </si>
  <si>
    <t>06.010125</t>
  </si>
  <si>
    <t>06.010137</t>
  </si>
  <si>
    <t>06.010138</t>
  </si>
  <si>
    <t>06.010109</t>
  </si>
  <si>
    <t>06.010143</t>
  </si>
  <si>
    <t>06.010139</t>
  </si>
  <si>
    <t>06.010110</t>
  </si>
  <si>
    <t>06.010119</t>
  </si>
  <si>
    <t>06.010141</t>
  </si>
  <si>
    <t>06.010128</t>
  </si>
  <si>
    <t>06.010132</t>
  </si>
  <si>
    <t>06.01050100</t>
  </si>
  <si>
    <t>06.01040400</t>
  </si>
  <si>
    <t>06.010411</t>
  </si>
  <si>
    <t>06.010504</t>
  </si>
  <si>
    <t>06.010413</t>
  </si>
  <si>
    <t xml:space="preserve">
06.010302</t>
  </si>
  <si>
    <t>06.010312</t>
  </si>
  <si>
    <t>06.010505</t>
  </si>
  <si>
    <t>06.010310</t>
  </si>
  <si>
    <t xml:space="preserve">
06.010406</t>
  </si>
  <si>
    <t>06.010313</t>
  </si>
  <si>
    <t>06.010311</t>
  </si>
  <si>
    <t>06.010314</t>
  </si>
  <si>
    <t xml:space="preserve">
06.010410</t>
  </si>
  <si>
    <t>06.010401</t>
  </si>
  <si>
    <t>06.010402</t>
  </si>
  <si>
    <t>06.010403</t>
  </si>
  <si>
    <t>06.010144</t>
  </si>
  <si>
    <t>06.010140</t>
  </si>
  <si>
    <t xml:space="preserve">06.01.05.05.01 
 </t>
  </si>
  <si>
    <t>Tilžės g. nuo Šilutės pl. iki geležinkelio pervažos rekonstravimas, pertvarkant  žiedinę Mokyklos g. ir Šilutės pl. sankryžą (audito atlikimas)</t>
  </si>
  <si>
    <t>Atlikta gatvės (280 m) rekonstrukcija (I etapas). Užbaigtumas, proc.</t>
  </si>
  <si>
    <t xml:space="preserve">Rokiškio g. rekonstravimas </t>
  </si>
  <si>
    <r>
      <t>Rokiškio g. rekonstravimas</t>
    </r>
    <r>
      <rPr>
        <sz val="10"/>
        <color rgb="FFFF0000"/>
        <rFont val="Times New Roman"/>
        <family val="1"/>
        <charset val="186"/>
      </rPr>
      <t xml:space="preserve"> </t>
    </r>
  </si>
  <si>
    <t>Rekonstruotos gatvės: Akmenų (350 m), Smėlio (1000 m). Užbaigtumas, proc.</t>
  </si>
  <si>
    <t>Statybininkų prospekto tęsinio tiesimas nuo Šilutės pl. per LEZ teritoriją iki 141 kelio: II etapas – Lypkių gatvės ruožo nuo Šilutės plento tiesimas</t>
  </si>
  <si>
    <t>Parengtas I. Kanto g. 11–17 kiemo techninis projektas / įrengta aikštelė, vnt.</t>
  </si>
  <si>
    <t>* pagal Klaipėdos miesto savivaldybės tarybos sprendimus: 2014-12-18 Nr. T2-336; 2015-02-09 Nr. T2-12</t>
  </si>
  <si>
    <t xml:space="preserve">(Klaipėdos miesto savivaldybės administracijos direktoriaus 201  m. balandžio   d. įsakymo Nr. AD1-redakcija)      </t>
  </si>
  <si>
    <t xml:space="preserve">Lyginamasis variantas </t>
  </si>
  <si>
    <t>Siūlomas keisti 2015-ųjų metų asignavimų planas**</t>
  </si>
  <si>
    <t>Paklotų oro linijų požeminiais kabeliais. Užbaigtumas proc.</t>
  </si>
  <si>
    <t>Išmaniųjų transporto sistemų valdymo "Žaliosios bangos" principu įgyvendinimas</t>
  </si>
  <si>
    <r>
      <rPr>
        <strike/>
        <sz val="10"/>
        <color rgb="FFFF0000"/>
        <rFont val="Times New Roman"/>
        <family val="1"/>
        <charset val="186"/>
      </rPr>
      <t>Išmaniųjų transporto sistemų valdymo (žaliosios bangos principu) techninio projekto parengimas</t>
    </r>
    <r>
      <rPr>
        <sz val="10"/>
        <color rgb="FFFF0000"/>
        <rFont val="Times New Roman"/>
        <family val="1"/>
        <charset val="186"/>
      </rPr>
      <t xml:space="preserve"> Išmaniųjų transporto sistemų valdymo "Žaliosios bangos" principu įgyvendinimas</t>
    </r>
  </si>
  <si>
    <t>Paruošta detalių eismo matavimų ir eismo organizavimo planų sankryžuose, vnt;</t>
  </si>
  <si>
    <t xml:space="preserve">Pakeista šviesoforų ir valdiklių sankryžuose, vnt. </t>
  </si>
  <si>
    <t xml:space="preserve">Įrengta monitoringo sistema sankryžuose, vnt. </t>
  </si>
  <si>
    <t>SB(KPP)</t>
  </si>
  <si>
    <r>
      <t>Kelių priežiūros ir plėtros programos lėšos</t>
    </r>
    <r>
      <rPr>
        <b/>
        <sz val="10"/>
        <rFont val="Times New Roman"/>
        <family val="1"/>
        <charset val="186"/>
      </rPr>
      <t xml:space="preserve"> SB(KPP)</t>
    </r>
  </si>
  <si>
    <t xml:space="preserve">2015 m. </t>
  </si>
  <si>
    <t>Produkto kriterijaus pavadinimas</t>
  </si>
  <si>
    <t>2</t>
  </si>
  <si>
    <t>Įrengta saugumo salelė, vnt.</t>
  </si>
  <si>
    <r>
      <t xml:space="preserve">1,83  </t>
    </r>
    <r>
      <rPr>
        <sz val="10"/>
        <color rgb="FFFF0000"/>
        <rFont val="Times New Roman"/>
        <family val="1"/>
        <charset val="186"/>
      </rPr>
      <t>2</t>
    </r>
  </si>
  <si>
    <r>
      <t xml:space="preserve">15,8    </t>
    </r>
    <r>
      <rPr>
        <sz val="10"/>
        <color rgb="FFFF0000"/>
        <rFont val="Times New Roman"/>
        <family val="1"/>
        <charset val="186"/>
      </rPr>
      <t>17</t>
    </r>
  </si>
  <si>
    <t xml:space="preserve">6,7   </t>
  </si>
  <si>
    <t>17</t>
  </si>
  <si>
    <r>
      <rPr>
        <strike/>
        <sz val="10"/>
        <color rgb="FFFF0000"/>
        <rFont val="Times New Roman"/>
        <family val="1"/>
        <charset val="186"/>
      </rPr>
      <t>3</t>
    </r>
    <r>
      <rPr>
        <sz val="10"/>
        <color rgb="FFFF0000"/>
        <rFont val="Times New Roman"/>
        <family val="1"/>
        <charset val="186"/>
      </rPr>
      <t xml:space="preserve">  2</t>
    </r>
  </si>
  <si>
    <r>
      <t xml:space="preserve">Kelių priežiūros ir plėtros programos lėšos </t>
    </r>
    <r>
      <rPr>
        <b/>
        <sz val="10"/>
        <rFont val="Times New Roman"/>
        <family val="1"/>
        <charset val="186"/>
      </rPr>
      <t>SB</t>
    </r>
    <r>
      <rPr>
        <sz val="10"/>
        <rFont val="Times New Roman"/>
        <family val="1"/>
        <charset val="186"/>
      </rPr>
      <t>(</t>
    </r>
    <r>
      <rPr>
        <b/>
        <sz val="10"/>
        <rFont val="Times New Roman"/>
        <family val="1"/>
        <charset val="186"/>
      </rPr>
      <t>KPP)</t>
    </r>
  </si>
  <si>
    <r>
      <t xml:space="preserve">2,5 </t>
    </r>
    <r>
      <rPr>
        <sz val="10"/>
        <color rgb="FFFF0000"/>
        <rFont val="Times New Roman"/>
        <family val="1"/>
        <charset val="186"/>
      </rPr>
      <t>3,5</t>
    </r>
  </si>
  <si>
    <r>
      <t xml:space="preserve">Ištisinio asfaltbetonio dangos remontas: </t>
    </r>
    <r>
      <rPr>
        <strike/>
        <sz val="10"/>
        <color rgb="FFFF0000"/>
        <rFont val="Times New Roman"/>
        <family val="1"/>
        <charset val="186"/>
      </rPr>
      <t>Taikos pr. ruože nuo Jūrininkų pr. iki Kairių g.</t>
    </r>
  </si>
  <si>
    <t>Paklota ištisinio asfaltbetonio dangos, (ha)</t>
  </si>
  <si>
    <t xml:space="preserve">Paklota ištisinio asfaltbetonio dangos, (ha) </t>
  </si>
  <si>
    <t>Smiltelės g. ruože nuo Šilutės plento iki Taikos prospekto;</t>
  </si>
  <si>
    <t>Pilies g. ruože nuo Žvejų g. iki Daržų g;</t>
  </si>
  <si>
    <t>Ištisinio asfaltbetonio dangos remontas :</t>
  </si>
  <si>
    <t xml:space="preserve">Kitų automobilių stovėjimo aikštelių įrengimas </t>
  </si>
  <si>
    <r>
      <t xml:space="preserve">Kitų automobilių stovėjimo aikštelių įrengimas </t>
    </r>
    <r>
      <rPr>
        <strike/>
        <sz val="10"/>
        <color rgb="FFFF0000"/>
        <rFont val="Times New Roman"/>
        <family val="1"/>
        <charset val="186"/>
      </rPr>
      <t xml:space="preserve">pagal Savivaldybės administracijos direktoriaus patvirtintą programą </t>
    </r>
  </si>
  <si>
    <r>
      <rPr>
        <strike/>
        <sz val="10"/>
        <color rgb="FFFF0000"/>
        <rFont val="Times New Roman"/>
        <family val="1"/>
        <charset val="186"/>
      </rPr>
      <t>Išmaniųjų transporto sistemų valdymo žaliosios bangos techninio projekto parengimas</t>
    </r>
    <r>
      <rPr>
        <sz val="10"/>
        <color rgb="FFFF0000"/>
        <rFont val="Times New Roman"/>
        <family val="1"/>
        <charset val="186"/>
      </rPr>
      <t xml:space="preserve"> Išmaniųjų transporto sistemų valdymo žaliosios bangos principu įgyvendinimas</t>
    </r>
  </si>
  <si>
    <t>Naujosios Uosto g. ruože nuo Naujojo Sodo g. iki Gegužės g.;</t>
  </si>
  <si>
    <t>Šiaurės prospekto ruože nuo Kretingos g. iki P. Lideikio g.</t>
  </si>
  <si>
    <t>Išmaniųjų transporto sistemų valdymo žaliosios bangos principu įgyvendinimas</t>
  </si>
  <si>
    <t>Parengtas investicijų projektas, vnt.</t>
  </si>
  <si>
    <t>Parengtas investicijų projektas, vnt.
Atlikti gatvės (600 m) ir žiedinės sankryžos rekonstravimo darbai. 
Užbaigtumas, proc.</t>
  </si>
  <si>
    <t>Rekonstruota gatvė (1374 m),
Užbaigtumas, proc.</t>
  </si>
  <si>
    <t>Siūlomas keisti 2016-ųjų metų asignavimų planas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</si>
</sst>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L_t_-;\-* #,##0.00\ _L_t_-;_-* &quot;-&quot;??\ _L_t_-;_-@_-"/>
    <numFmt numFmtId="164" formatCode="0.0"/>
    <numFmt numFmtId="165" formatCode="#,##0.0"/>
    <numFmt numFmtId="166" formatCode="_-* #,##0.0\ _L_t_-;\-* #,##0.0\ _L_t_-;_-* &quot;-&quot;?\ _L_t_-;_-@_-"/>
    <numFmt numFmtId="167" formatCode="0.0_ ;\-0.0\ "/>
    <numFmt numFmtId="168" formatCode="#,##0.0_ ;\-#,##0.0\ "/>
  </numFmts>
  <fonts count="39" x14ac:knownFonts="1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9"/>
      <name val="Times New Roman"/>
      <family val="1"/>
      <charset val="204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10"/>
      <name val="Times New Roman"/>
      <family val="1"/>
    </font>
    <font>
      <sz val="8"/>
      <name val="Times New Roman"/>
      <family val="1"/>
    </font>
    <font>
      <sz val="10"/>
      <color rgb="FFFF0000"/>
      <name val="Times New Roman"/>
      <family val="1"/>
      <charset val="186"/>
    </font>
    <font>
      <sz val="7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rgb="FF00B05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7"/>
      <name val="Arial"/>
      <family val="2"/>
      <charset val="186"/>
    </font>
    <font>
      <b/>
      <sz val="10"/>
      <color indexed="81"/>
      <name val="Tahoma"/>
      <family val="2"/>
      <charset val="186"/>
    </font>
    <font>
      <sz val="10"/>
      <color indexed="81"/>
      <name val="Tahoma"/>
      <family val="2"/>
      <charset val="186"/>
    </font>
    <font>
      <b/>
      <sz val="7"/>
      <name val="Times New Roman"/>
      <family val="1"/>
      <charset val="186"/>
    </font>
    <font>
      <sz val="10"/>
      <name val="Times New Roman"/>
      <family val="1"/>
      <charset val="204"/>
    </font>
    <font>
      <sz val="10"/>
      <name val="Calibri"/>
      <family val="2"/>
      <charset val="186"/>
    </font>
    <font>
      <b/>
      <i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b/>
      <i/>
      <sz val="10"/>
      <name val="Arial"/>
      <family val="2"/>
      <charset val="186"/>
    </font>
    <font>
      <b/>
      <i/>
      <sz val="12"/>
      <name val="Arial"/>
      <family val="2"/>
      <charset val="186"/>
    </font>
    <font>
      <sz val="10"/>
      <color rgb="FFFF0000"/>
      <name val="Arial"/>
      <family val="2"/>
      <charset val="186"/>
    </font>
    <font>
      <sz val="8"/>
      <color indexed="81"/>
      <name val="Tahoma"/>
      <family val="2"/>
      <charset val="186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</fills>
  <borders count="1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305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3" xfId="0" applyNumberFormat="1" applyFont="1" applyBorder="1" applyAlignment="1">
      <alignment horizontal="right" vertical="top"/>
    </xf>
    <xf numFmtId="164" fontId="3" fillId="0" borderId="14" xfId="0" applyNumberFormat="1" applyFont="1" applyBorder="1" applyAlignment="1">
      <alignment horizontal="right" vertical="top"/>
    </xf>
    <xf numFmtId="164" fontId="3" fillId="0" borderId="15" xfId="0" applyNumberFormat="1" applyFont="1" applyBorder="1" applyAlignment="1">
      <alignment horizontal="right" vertical="top"/>
    </xf>
    <xf numFmtId="164" fontId="3" fillId="3" borderId="10" xfId="0" applyNumberFormat="1" applyFont="1" applyFill="1" applyBorder="1" applyAlignment="1">
      <alignment horizontal="right" vertical="top" wrapText="1"/>
    </xf>
    <xf numFmtId="164" fontId="3" fillId="0" borderId="16" xfId="0" applyNumberFormat="1" applyFont="1" applyBorder="1" applyAlignment="1">
      <alignment horizontal="right" vertical="top"/>
    </xf>
    <xf numFmtId="164" fontId="3" fillId="0" borderId="11" xfId="0" applyNumberFormat="1" applyFont="1" applyBorder="1" applyAlignment="1">
      <alignment horizontal="right" vertical="top"/>
    </xf>
    <xf numFmtId="164" fontId="3" fillId="0" borderId="17" xfId="0" applyNumberFormat="1" applyFont="1" applyBorder="1" applyAlignment="1">
      <alignment horizontal="right" vertical="top"/>
    </xf>
    <xf numFmtId="164" fontId="3" fillId="0" borderId="18" xfId="0" applyNumberFormat="1" applyFont="1" applyBorder="1" applyAlignment="1">
      <alignment horizontal="right" vertical="top"/>
    </xf>
    <xf numFmtId="164" fontId="3" fillId="3" borderId="6" xfId="0" applyNumberFormat="1" applyFont="1" applyFill="1" applyBorder="1" applyAlignment="1">
      <alignment horizontal="right" vertical="top" wrapText="1"/>
    </xf>
    <xf numFmtId="164" fontId="3" fillId="0" borderId="19" xfId="0" applyNumberFormat="1" applyFont="1" applyBorder="1" applyAlignment="1">
      <alignment horizontal="right" vertical="top"/>
    </xf>
    <xf numFmtId="164" fontId="3" fillId="0" borderId="20" xfId="0" applyNumberFormat="1" applyFont="1" applyFill="1" applyBorder="1" applyAlignment="1">
      <alignment horizontal="right" vertical="top"/>
    </xf>
    <xf numFmtId="164" fontId="3" fillId="0" borderId="21" xfId="0" applyNumberFormat="1" applyFont="1" applyFill="1" applyBorder="1" applyAlignment="1">
      <alignment horizontal="right" vertical="top"/>
    </xf>
    <xf numFmtId="164" fontId="3" fillId="0" borderId="8" xfId="0" applyNumberFormat="1" applyFont="1" applyFill="1" applyBorder="1" applyAlignment="1">
      <alignment horizontal="right" vertical="top"/>
    </xf>
    <xf numFmtId="164" fontId="5" fillId="2" borderId="22" xfId="0" applyNumberFormat="1" applyFont="1" applyFill="1" applyBorder="1" applyAlignment="1">
      <alignment horizontal="right" vertical="top"/>
    </xf>
    <xf numFmtId="0" fontId="3" fillId="0" borderId="23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right" vertical="top"/>
    </xf>
    <xf numFmtId="3" fontId="3" fillId="0" borderId="11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11" xfId="0" applyNumberFormat="1" applyFont="1" applyFill="1" applyBorder="1" applyAlignment="1">
      <alignment horizontal="center" vertical="top" wrapText="1"/>
    </xf>
    <xf numFmtId="3" fontId="3" fillId="0" borderId="18" xfId="0" applyNumberFormat="1" applyFont="1" applyFill="1" applyBorder="1" applyAlignment="1">
      <alignment horizontal="center" vertical="top" wrapText="1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164" fontId="3" fillId="0" borderId="11" xfId="0" applyNumberFormat="1" applyFont="1" applyFill="1" applyBorder="1" applyAlignment="1">
      <alignment horizontal="right" vertical="top"/>
    </xf>
    <xf numFmtId="164" fontId="3" fillId="0" borderId="18" xfId="0" applyNumberFormat="1" applyFont="1" applyFill="1" applyBorder="1" applyAlignment="1">
      <alignment horizontal="right" vertical="top"/>
    </xf>
    <xf numFmtId="164" fontId="3" fillId="0" borderId="6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5" fontId="3" fillId="0" borderId="26" xfId="0" applyNumberFormat="1" applyFont="1" applyFill="1" applyBorder="1" applyAlignment="1">
      <alignment horizontal="center" vertical="top"/>
    </xf>
    <xf numFmtId="165" fontId="3" fillId="0" borderId="27" xfId="0" applyNumberFormat="1" applyFont="1" applyFill="1" applyBorder="1" applyAlignment="1">
      <alignment horizontal="center" vertical="top"/>
    </xf>
    <xf numFmtId="49" fontId="3" fillId="0" borderId="11" xfId="0" applyNumberFormat="1" applyFont="1" applyBorder="1" applyAlignment="1">
      <alignment vertical="top" wrapText="1"/>
    </xf>
    <xf numFmtId="3" fontId="3" fillId="0" borderId="31" xfId="0" applyNumberFormat="1" applyFont="1" applyFill="1" applyBorder="1" applyAlignment="1">
      <alignment horizontal="center" vertical="top" wrapText="1"/>
    </xf>
    <xf numFmtId="3" fontId="3" fillId="0" borderId="32" xfId="0" applyNumberFormat="1" applyFont="1" applyFill="1" applyBorder="1" applyAlignment="1">
      <alignment horizontal="center" vertical="top" wrapText="1"/>
    </xf>
    <xf numFmtId="0" fontId="3" fillId="2" borderId="33" xfId="0" applyFont="1" applyFill="1" applyBorder="1" applyAlignment="1">
      <alignment horizontal="center" vertical="top" wrapText="1"/>
    </xf>
    <xf numFmtId="0" fontId="3" fillId="2" borderId="34" xfId="0" applyFont="1" applyFill="1" applyBorder="1" applyAlignment="1">
      <alignment horizontal="center" vertical="top" wrapText="1"/>
    </xf>
    <xf numFmtId="0" fontId="3" fillId="0" borderId="35" xfId="0" applyFont="1" applyBorder="1" applyAlignment="1">
      <alignment vertical="top"/>
    </xf>
    <xf numFmtId="164" fontId="3" fillId="0" borderId="36" xfId="0" applyNumberFormat="1" applyFont="1" applyBorder="1" applyAlignment="1">
      <alignment horizontal="right" vertical="top"/>
    </xf>
    <xf numFmtId="164" fontId="3" fillId="0" borderId="39" xfId="0" applyNumberFormat="1" applyFont="1" applyBorder="1" applyAlignment="1">
      <alignment horizontal="right" vertical="top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164" fontId="5" fillId="3" borderId="5" xfId="0" applyNumberFormat="1" applyFont="1" applyFill="1" applyBorder="1" applyAlignment="1">
      <alignment horizontal="right" vertical="top"/>
    </xf>
    <xf numFmtId="164" fontId="5" fillId="3" borderId="26" xfId="0" applyNumberFormat="1" applyFont="1" applyFill="1" applyBorder="1" applyAlignment="1">
      <alignment horizontal="right" vertical="top"/>
    </xf>
    <xf numFmtId="164" fontId="5" fillId="3" borderId="27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center"/>
    </xf>
    <xf numFmtId="164" fontId="3" fillId="0" borderId="40" xfId="0" applyNumberFormat="1" applyFont="1" applyFill="1" applyBorder="1" applyAlignment="1">
      <alignment horizontal="right" vertical="top"/>
    </xf>
    <xf numFmtId="43" fontId="3" fillId="0" borderId="10" xfId="1" applyFont="1" applyFill="1" applyBorder="1" applyAlignment="1">
      <alignment horizontal="center" vertical="top" wrapText="1"/>
    </xf>
    <xf numFmtId="43" fontId="3" fillId="0" borderId="11" xfId="1" applyFont="1" applyFill="1" applyBorder="1" applyAlignment="1">
      <alignment horizontal="center" vertical="top" wrapText="1"/>
    </xf>
    <xf numFmtId="43" fontId="3" fillId="0" borderId="18" xfId="1" applyFont="1" applyFill="1" applyBorder="1" applyAlignment="1">
      <alignment horizontal="center" vertical="top" wrapText="1"/>
    </xf>
    <xf numFmtId="43" fontId="3" fillId="0" borderId="0" xfId="1" applyFont="1" applyBorder="1" applyAlignment="1">
      <alignment vertical="top"/>
    </xf>
    <xf numFmtId="0" fontId="5" fillId="3" borderId="41" xfId="0" applyFont="1" applyFill="1" applyBorder="1" applyAlignment="1">
      <alignment horizontal="center" vertical="top"/>
    </xf>
    <xf numFmtId="164" fontId="5" fillId="3" borderId="42" xfId="0" applyNumberFormat="1" applyFont="1" applyFill="1" applyBorder="1" applyAlignment="1">
      <alignment horizontal="right" vertical="top"/>
    </xf>
    <xf numFmtId="164" fontId="5" fillId="3" borderId="41" xfId="0" applyNumberFormat="1" applyFont="1" applyFill="1" applyBorder="1" applyAlignment="1">
      <alignment horizontal="right" vertical="top"/>
    </xf>
    <xf numFmtId="3" fontId="3" fillId="0" borderId="20" xfId="0" applyNumberFormat="1" applyFont="1" applyFill="1" applyBorder="1" applyAlignment="1">
      <alignment horizontal="center" vertical="top" wrapText="1"/>
    </xf>
    <xf numFmtId="3" fontId="3" fillId="0" borderId="21" xfId="0" applyNumberFormat="1" applyFont="1" applyFill="1" applyBorder="1" applyAlignment="1">
      <alignment horizontal="center" vertical="top" wrapText="1"/>
    </xf>
    <xf numFmtId="49" fontId="3" fillId="3" borderId="26" xfId="0" applyNumberFormat="1" applyFont="1" applyFill="1" applyBorder="1" applyAlignment="1">
      <alignment horizontal="center" vertical="top"/>
    </xf>
    <xf numFmtId="164" fontId="5" fillId="3" borderId="43" xfId="0" applyNumberFormat="1" applyFont="1" applyFill="1" applyBorder="1" applyAlignment="1">
      <alignment horizontal="right" vertical="top"/>
    </xf>
    <xf numFmtId="3" fontId="3" fillId="0" borderId="26" xfId="0" applyNumberFormat="1" applyFont="1" applyFill="1" applyBorder="1" applyAlignment="1">
      <alignment horizontal="center" vertical="top" wrapText="1"/>
    </xf>
    <xf numFmtId="3" fontId="3" fillId="0" borderId="27" xfId="0" applyNumberFormat="1" applyFont="1" applyFill="1" applyBorder="1" applyAlignment="1">
      <alignment horizontal="center" vertical="top" wrapText="1"/>
    </xf>
    <xf numFmtId="164" fontId="3" fillId="3" borderId="44" xfId="0" applyNumberFormat="1" applyFont="1" applyFill="1" applyBorder="1" applyAlignment="1">
      <alignment horizontal="right" vertical="top" wrapText="1"/>
    </xf>
    <xf numFmtId="164" fontId="3" fillId="3" borderId="45" xfId="0" applyNumberFormat="1" applyFont="1" applyFill="1" applyBorder="1" applyAlignment="1">
      <alignment horizontal="right" vertical="top" wrapText="1"/>
    </xf>
    <xf numFmtId="0" fontId="9" fillId="0" borderId="9" xfId="0" applyFont="1" applyFill="1" applyBorder="1" applyAlignment="1">
      <alignment vertical="top" wrapText="1"/>
    </xf>
    <xf numFmtId="0" fontId="3" fillId="0" borderId="46" xfId="0" applyFont="1" applyBorder="1" applyAlignment="1">
      <alignment vertical="top"/>
    </xf>
    <xf numFmtId="0" fontId="3" fillId="0" borderId="26" xfId="0" applyFont="1" applyBorder="1" applyAlignment="1">
      <alignment vertical="top"/>
    </xf>
    <xf numFmtId="0" fontId="3" fillId="3" borderId="23" xfId="0" applyFont="1" applyFill="1" applyBorder="1" applyAlignment="1">
      <alignment horizontal="center" vertical="top"/>
    </xf>
    <xf numFmtId="164" fontId="3" fillId="3" borderId="36" xfId="0" applyNumberFormat="1" applyFont="1" applyFill="1" applyBorder="1" applyAlignment="1">
      <alignment horizontal="right" vertical="top"/>
    </xf>
    <xf numFmtId="164" fontId="3" fillId="3" borderId="8" xfId="0" applyNumberFormat="1" applyFont="1" applyFill="1" applyBorder="1" applyAlignment="1">
      <alignment horizontal="right" vertical="top" wrapText="1"/>
    </xf>
    <xf numFmtId="164" fontId="3" fillId="0" borderId="48" xfId="0" applyNumberFormat="1" applyFont="1" applyBorder="1" applyAlignment="1">
      <alignment horizontal="right" vertical="top"/>
    </xf>
    <xf numFmtId="0" fontId="3" fillId="3" borderId="6" xfId="0" applyFont="1" applyFill="1" applyBorder="1" applyAlignment="1">
      <alignment horizontal="center" vertical="top"/>
    </xf>
    <xf numFmtId="164" fontId="3" fillId="3" borderId="50" xfId="0" applyNumberFormat="1" applyFont="1" applyFill="1" applyBorder="1" applyAlignment="1">
      <alignment horizontal="right" vertical="top"/>
    </xf>
    <xf numFmtId="0" fontId="3" fillId="0" borderId="41" xfId="0" applyFont="1" applyFill="1" applyBorder="1" applyAlignment="1">
      <alignment horizontal="center" vertical="top"/>
    </xf>
    <xf numFmtId="164" fontId="3" fillId="0" borderId="26" xfId="0" applyNumberFormat="1" applyFont="1" applyBorder="1" applyAlignment="1">
      <alignment horizontal="right" vertical="top"/>
    </xf>
    <xf numFmtId="164" fontId="3" fillId="0" borderId="43" xfId="0" applyNumberFormat="1" applyFont="1" applyBorder="1" applyAlignment="1">
      <alignment horizontal="right"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27" xfId="0" applyNumberFormat="1" applyFont="1" applyBorder="1" applyAlignment="1">
      <alignment horizontal="right" vertical="top"/>
    </xf>
    <xf numFmtId="164" fontId="3" fillId="3" borderId="41" xfId="0" applyNumberFormat="1" applyFont="1" applyFill="1" applyBorder="1" applyAlignment="1">
      <alignment horizontal="right" vertical="top" wrapText="1"/>
    </xf>
    <xf numFmtId="0" fontId="3" fillId="0" borderId="11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164" fontId="5" fillId="3" borderId="52" xfId="0" applyNumberFormat="1" applyFont="1" applyFill="1" applyBorder="1" applyAlignment="1">
      <alignment horizontal="right" vertical="top"/>
    </xf>
    <xf numFmtId="164" fontId="3" fillId="3" borderId="10" xfId="1" applyNumberFormat="1" applyFont="1" applyFill="1" applyBorder="1" applyAlignment="1">
      <alignment horizontal="right" vertical="top" wrapText="1"/>
    </xf>
    <xf numFmtId="164" fontId="3" fillId="3" borderId="6" xfId="0" applyNumberFormat="1" applyFont="1" applyFill="1" applyBorder="1" applyAlignment="1">
      <alignment horizontal="right" vertical="top"/>
    </xf>
    <xf numFmtId="164" fontId="3" fillId="3" borderId="40" xfId="0" applyNumberFormat="1" applyFont="1" applyFill="1" applyBorder="1" applyAlignment="1">
      <alignment horizontal="right" vertical="top"/>
    </xf>
    <xf numFmtId="164" fontId="3" fillId="0" borderId="50" xfId="0" applyNumberFormat="1" applyFont="1" applyBorder="1" applyAlignment="1">
      <alignment horizontal="right" vertical="top"/>
    </xf>
    <xf numFmtId="164" fontId="3" fillId="3" borderId="48" xfId="0" applyNumberFormat="1" applyFont="1" applyFill="1" applyBorder="1" applyAlignment="1">
      <alignment horizontal="right" vertical="top"/>
    </xf>
    <xf numFmtId="0" fontId="11" fillId="0" borderId="0" xfId="0" applyFont="1"/>
    <xf numFmtId="164" fontId="3" fillId="0" borderId="42" xfId="0" applyNumberFormat="1" applyFont="1" applyBorder="1" applyAlignment="1">
      <alignment horizontal="right" vertical="top"/>
    </xf>
    <xf numFmtId="3" fontId="3" fillId="3" borderId="20" xfId="0" applyNumberFormat="1" applyFont="1" applyFill="1" applyBorder="1" applyAlignment="1">
      <alignment horizontal="center" vertical="top"/>
    </xf>
    <xf numFmtId="3" fontId="3" fillId="3" borderId="20" xfId="0" applyNumberFormat="1" applyFont="1" applyFill="1" applyBorder="1" applyAlignment="1">
      <alignment horizontal="center" vertical="top" wrapText="1"/>
    </xf>
    <xf numFmtId="3" fontId="3" fillId="3" borderId="29" xfId="0" applyNumberFormat="1" applyFont="1" applyFill="1" applyBorder="1" applyAlignment="1">
      <alignment horizontal="center" vertical="top" wrapText="1"/>
    </xf>
    <xf numFmtId="3" fontId="3" fillId="3" borderId="18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Alignment="1">
      <alignment vertical="top"/>
    </xf>
    <xf numFmtId="0" fontId="3" fillId="0" borderId="27" xfId="0" applyFont="1" applyBorder="1" applyAlignment="1">
      <alignment vertical="top"/>
    </xf>
    <xf numFmtId="3" fontId="3" fillId="0" borderId="20" xfId="0" applyNumberFormat="1" applyFont="1" applyFill="1" applyBorder="1" applyAlignment="1">
      <alignment horizontal="center" vertical="top"/>
    </xf>
    <xf numFmtId="164" fontId="3" fillId="3" borderId="13" xfId="0" applyNumberFormat="1" applyFont="1" applyFill="1" applyBorder="1" applyAlignment="1">
      <alignment horizontal="right" vertical="top"/>
    </xf>
    <xf numFmtId="164" fontId="3" fillId="0" borderId="0" xfId="0" applyNumberFormat="1" applyFont="1" applyAlignment="1">
      <alignment vertical="top"/>
    </xf>
    <xf numFmtId="0" fontId="3" fillId="0" borderId="52" xfId="0" applyFont="1" applyFill="1" applyBorder="1" applyAlignment="1">
      <alignment horizontal="center" vertical="top"/>
    </xf>
    <xf numFmtId="49" fontId="5" fillId="2" borderId="53" xfId="0" applyNumberFormat="1" applyFont="1" applyFill="1" applyBorder="1" applyAlignment="1">
      <alignment horizontal="center" vertical="top"/>
    </xf>
    <xf numFmtId="164" fontId="5" fillId="0" borderId="42" xfId="0" applyNumberFormat="1" applyFont="1" applyFill="1" applyBorder="1" applyAlignment="1">
      <alignment horizontal="right" vertical="top"/>
    </xf>
    <xf numFmtId="49" fontId="5" fillId="2" borderId="33" xfId="0" applyNumberFormat="1" applyFont="1" applyFill="1" applyBorder="1" applyAlignment="1">
      <alignment horizontal="center" vertical="top"/>
    </xf>
    <xf numFmtId="164" fontId="3" fillId="0" borderId="41" xfId="0" applyNumberFormat="1" applyFont="1" applyFill="1" applyBorder="1" applyAlignment="1">
      <alignment horizontal="right" vertical="top"/>
    </xf>
    <xf numFmtId="0" fontId="9" fillId="0" borderId="26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 wrapText="1"/>
    </xf>
    <xf numFmtId="0" fontId="9" fillId="3" borderId="21" xfId="0" applyFont="1" applyFill="1" applyBorder="1" applyAlignment="1">
      <alignment horizontal="center" wrapText="1"/>
    </xf>
    <xf numFmtId="164" fontId="5" fillId="0" borderId="38" xfId="0" applyNumberFormat="1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vertical="top"/>
    </xf>
    <xf numFmtId="0" fontId="3" fillId="0" borderId="53" xfId="0" applyFont="1" applyBorder="1" applyAlignment="1">
      <alignment vertical="top"/>
    </xf>
    <xf numFmtId="0" fontId="3" fillId="0" borderId="29" xfId="0" applyFont="1" applyBorder="1" applyAlignment="1">
      <alignment vertical="top"/>
    </xf>
    <xf numFmtId="0" fontId="10" fillId="3" borderId="27" xfId="0" applyFont="1" applyFill="1" applyBorder="1" applyAlignment="1">
      <alignment horizontal="left" vertical="top" wrapText="1"/>
    </xf>
    <xf numFmtId="3" fontId="3" fillId="3" borderId="11" xfId="0" applyNumberFormat="1" applyFont="1" applyFill="1" applyBorder="1" applyAlignment="1">
      <alignment horizontal="center" vertical="top"/>
    </xf>
    <xf numFmtId="3" fontId="3" fillId="3" borderId="18" xfId="0" applyNumberFormat="1" applyFont="1" applyFill="1" applyBorder="1" applyAlignment="1">
      <alignment horizontal="center" vertical="top"/>
    </xf>
    <xf numFmtId="3" fontId="3" fillId="3" borderId="29" xfId="0" applyNumberFormat="1" applyFont="1" applyFill="1" applyBorder="1" applyAlignment="1">
      <alignment horizontal="center" vertical="top"/>
    </xf>
    <xf numFmtId="3" fontId="3" fillId="3" borderId="28" xfId="0" applyNumberFormat="1" applyFont="1" applyFill="1" applyBorder="1" applyAlignment="1">
      <alignment horizontal="center" vertical="top"/>
    </xf>
    <xf numFmtId="3" fontId="3" fillId="3" borderId="21" xfId="0" applyNumberFormat="1" applyFont="1" applyFill="1" applyBorder="1" applyAlignment="1">
      <alignment horizontal="center" vertical="top"/>
    </xf>
    <xf numFmtId="164" fontId="3" fillId="0" borderId="6" xfId="0" applyNumberFormat="1" applyFont="1" applyBorder="1" applyAlignment="1">
      <alignment vertical="top"/>
    </xf>
    <xf numFmtId="3" fontId="3" fillId="0" borderId="21" xfId="0" applyNumberFormat="1" applyFont="1" applyFill="1" applyBorder="1" applyAlignment="1">
      <alignment horizontal="center" vertical="top"/>
    </xf>
    <xf numFmtId="49" fontId="3" fillId="3" borderId="20" xfId="0" applyNumberFormat="1" applyFont="1" applyFill="1" applyBorder="1" applyAlignment="1">
      <alignment horizontal="center" vertical="top" wrapText="1"/>
    </xf>
    <xf numFmtId="0" fontId="10" fillId="0" borderId="43" xfId="0" applyFont="1" applyFill="1" applyBorder="1" applyAlignment="1">
      <alignment horizontal="left" vertical="top" wrapText="1"/>
    </xf>
    <xf numFmtId="0" fontId="5" fillId="3" borderId="38" xfId="0" applyFont="1" applyFill="1" applyBorder="1" applyAlignment="1">
      <alignment horizontal="center" vertical="top" wrapText="1"/>
    </xf>
    <xf numFmtId="49" fontId="5" fillId="0" borderId="52" xfId="0" applyNumberFormat="1" applyFont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49" fontId="5" fillId="3" borderId="11" xfId="0" applyNumberFormat="1" applyFont="1" applyFill="1" applyBorder="1" applyAlignment="1">
      <alignment vertical="top"/>
    </xf>
    <xf numFmtId="164" fontId="3" fillId="3" borderId="21" xfId="0" applyNumberFormat="1" applyFont="1" applyFill="1" applyBorder="1" applyAlignment="1">
      <alignment horizontal="right" vertical="top"/>
    </xf>
    <xf numFmtId="49" fontId="3" fillId="3" borderId="26" xfId="0" applyNumberFormat="1" applyFont="1" applyFill="1" applyBorder="1" applyAlignment="1">
      <alignment horizontal="center" vertical="top"/>
    </xf>
    <xf numFmtId="164" fontId="3" fillId="0" borderId="29" xfId="0" applyNumberFormat="1" applyFont="1" applyFill="1" applyBorder="1" applyAlignment="1">
      <alignment horizontal="right" vertical="top"/>
    </xf>
    <xf numFmtId="166" fontId="3" fillId="3" borderId="13" xfId="1" applyNumberFormat="1" applyFont="1" applyFill="1" applyBorder="1" applyAlignment="1">
      <alignment horizontal="right" vertical="top"/>
    </xf>
    <xf numFmtId="168" fontId="3" fillId="3" borderId="15" xfId="1" applyNumberFormat="1" applyFont="1" applyFill="1" applyBorder="1" applyAlignment="1">
      <alignment horizontal="right" vertical="top"/>
    </xf>
    <xf numFmtId="49" fontId="5" fillId="0" borderId="41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9" fontId="5" fillId="5" borderId="56" xfId="0" applyNumberFormat="1" applyFont="1" applyFill="1" applyBorder="1" applyAlignment="1">
      <alignment horizontal="center" vertical="top"/>
    </xf>
    <xf numFmtId="164" fontId="5" fillId="5" borderId="56" xfId="0" applyNumberFormat="1" applyFont="1" applyFill="1" applyBorder="1" applyAlignment="1">
      <alignment horizontal="right" vertical="top"/>
    </xf>
    <xf numFmtId="164" fontId="5" fillId="5" borderId="10" xfId="0" applyNumberFormat="1" applyFont="1" applyFill="1" applyBorder="1" applyAlignment="1">
      <alignment horizontal="right" vertical="top"/>
    </xf>
    <xf numFmtId="164" fontId="5" fillId="5" borderId="24" xfId="0" applyNumberFormat="1" applyFont="1" applyFill="1" applyBorder="1" applyAlignment="1">
      <alignment horizontal="right" vertical="top"/>
    </xf>
    <xf numFmtId="164" fontId="5" fillId="4" borderId="70" xfId="0" applyNumberFormat="1" applyFont="1" applyFill="1" applyBorder="1" applyAlignment="1">
      <alignment horizontal="right" vertical="top"/>
    </xf>
    <xf numFmtId="0" fontId="9" fillId="0" borderId="31" xfId="0" applyFont="1" applyFill="1" applyBorder="1" applyAlignment="1">
      <alignment horizontal="center" vertical="top" wrapText="1"/>
    </xf>
    <xf numFmtId="3" fontId="3" fillId="0" borderId="32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164" fontId="3" fillId="3" borderId="12" xfId="0" applyNumberFormat="1" applyFont="1" applyFill="1" applyBorder="1" applyAlignment="1">
      <alignment horizontal="right" vertical="top"/>
    </xf>
    <xf numFmtId="164" fontId="3" fillId="3" borderId="16" xfId="0" applyNumberFormat="1" applyFont="1" applyFill="1" applyBorder="1" applyAlignment="1">
      <alignment horizontal="right" vertical="top"/>
    </xf>
    <xf numFmtId="164" fontId="3" fillId="0" borderId="42" xfId="0" applyNumberFormat="1" applyFont="1" applyFill="1" applyBorder="1" applyAlignment="1">
      <alignment horizontal="right" vertical="top"/>
    </xf>
    <xf numFmtId="164" fontId="3" fillId="3" borderId="23" xfId="0" applyNumberFormat="1" applyFont="1" applyFill="1" applyBorder="1" applyAlignment="1">
      <alignment horizontal="right" vertical="top" wrapText="1"/>
    </xf>
    <xf numFmtId="49" fontId="3" fillId="0" borderId="45" xfId="0" applyNumberFormat="1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/>
    </xf>
    <xf numFmtId="165" fontId="3" fillId="0" borderId="29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right" vertical="top"/>
    </xf>
    <xf numFmtId="164" fontId="3" fillId="3" borderId="23" xfId="0" applyNumberFormat="1" applyFont="1" applyFill="1" applyBorder="1" applyAlignment="1">
      <alignment horizontal="right" vertical="top"/>
    </xf>
    <xf numFmtId="0" fontId="9" fillId="3" borderId="11" xfId="0" applyFont="1" applyFill="1" applyBorder="1" applyAlignment="1">
      <alignment horizontal="center" wrapText="1"/>
    </xf>
    <xf numFmtId="0" fontId="9" fillId="3" borderId="18" xfId="0" applyFont="1" applyFill="1" applyBorder="1" applyAlignment="1">
      <alignment horizontal="center" wrapText="1"/>
    </xf>
    <xf numFmtId="164" fontId="3" fillId="0" borderId="17" xfId="0" applyNumberFormat="1" applyFont="1" applyFill="1" applyBorder="1" applyAlignment="1">
      <alignment horizontal="right" vertical="top"/>
    </xf>
    <xf numFmtId="164" fontId="3" fillId="0" borderId="23" xfId="0" applyNumberFormat="1" applyFont="1" applyFill="1" applyBorder="1" applyAlignment="1">
      <alignment horizontal="right" vertical="top"/>
    </xf>
    <xf numFmtId="164" fontId="3" fillId="3" borderId="45" xfId="0" applyNumberFormat="1" applyFont="1" applyFill="1" applyBorder="1" applyAlignment="1">
      <alignment horizontal="right" vertical="top"/>
    </xf>
    <xf numFmtId="49" fontId="3" fillId="0" borderId="0" xfId="0" applyNumberFormat="1" applyFont="1" applyBorder="1" applyAlignment="1">
      <alignment horizontal="center" vertical="top" wrapText="1"/>
    </xf>
    <xf numFmtId="49" fontId="5" fillId="2" borderId="36" xfId="0" applyNumberFormat="1" applyFont="1" applyFill="1" applyBorder="1" applyAlignment="1">
      <alignment horizontal="center" vertical="top"/>
    </xf>
    <xf numFmtId="49" fontId="5" fillId="3" borderId="13" xfId="0" applyNumberFormat="1" applyFont="1" applyFill="1" applyBorder="1" applyAlignment="1">
      <alignment horizontal="center" vertical="top"/>
    </xf>
    <xf numFmtId="0" fontId="10" fillId="3" borderId="15" xfId="0" applyFont="1" applyFill="1" applyBorder="1" applyAlignment="1">
      <alignment horizontal="left" vertical="top" wrapText="1"/>
    </xf>
    <xf numFmtId="49" fontId="3" fillId="3" borderId="14" xfId="0" applyNumberFormat="1" applyFont="1" applyFill="1" applyBorder="1" applyAlignment="1">
      <alignment horizontal="center" vertical="top" wrapText="1"/>
    </xf>
    <xf numFmtId="49" fontId="5" fillId="3" borderId="15" xfId="0" applyNumberFormat="1" applyFont="1" applyFill="1" applyBorder="1" applyAlignment="1">
      <alignment horizontal="center" vertical="top"/>
    </xf>
    <xf numFmtId="164" fontId="5" fillId="3" borderId="12" xfId="0" applyNumberFormat="1" applyFont="1" applyFill="1" applyBorder="1" applyAlignment="1">
      <alignment horizontal="right" vertical="top"/>
    </xf>
    <xf numFmtId="164" fontId="5" fillId="3" borderId="13" xfId="0" applyNumberFormat="1" applyFont="1" applyFill="1" applyBorder="1" applyAlignment="1">
      <alignment horizontal="right" vertical="top"/>
    </xf>
    <xf numFmtId="164" fontId="5" fillId="3" borderId="15" xfId="0" applyNumberFormat="1" applyFont="1" applyFill="1" applyBorder="1" applyAlignment="1">
      <alignment horizontal="right" vertical="top"/>
    </xf>
    <xf numFmtId="164" fontId="5" fillId="3" borderId="64" xfId="0" applyNumberFormat="1" applyFont="1" applyFill="1" applyBorder="1" applyAlignment="1">
      <alignment horizontal="right" vertical="top"/>
    </xf>
    <xf numFmtId="164" fontId="5" fillId="3" borderId="10" xfId="0" applyNumberFormat="1" applyFont="1" applyFill="1" applyBorder="1" applyAlignment="1">
      <alignment horizontal="right" vertical="top"/>
    </xf>
    <xf numFmtId="164" fontId="3" fillId="3" borderId="73" xfId="0" applyNumberFormat="1" applyFont="1" applyFill="1" applyBorder="1" applyAlignment="1">
      <alignment horizontal="right" vertical="top" wrapText="1"/>
    </xf>
    <xf numFmtId="49" fontId="5" fillId="2" borderId="26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49" fontId="5" fillId="3" borderId="11" xfId="0" applyNumberFormat="1" applyFont="1" applyFill="1" applyBorder="1" applyAlignment="1">
      <alignment horizontal="center" vertical="top"/>
    </xf>
    <xf numFmtId="3" fontId="3" fillId="0" borderId="31" xfId="0" applyNumberFormat="1" applyFont="1" applyFill="1" applyBorder="1" applyAlignment="1">
      <alignment horizontal="center" vertical="top"/>
    </xf>
    <xf numFmtId="164" fontId="3" fillId="3" borderId="20" xfId="0" applyNumberFormat="1" applyFont="1" applyFill="1" applyBorder="1" applyAlignment="1">
      <alignment horizontal="right" vertical="top"/>
    </xf>
    <xf numFmtId="165" fontId="3" fillId="0" borderId="20" xfId="0" applyNumberFormat="1" applyFont="1" applyFill="1" applyBorder="1" applyAlignment="1">
      <alignment horizontal="center" vertical="top"/>
    </xf>
    <xf numFmtId="165" fontId="3" fillId="0" borderId="21" xfId="0" applyNumberFormat="1" applyFont="1" applyFill="1" applyBorder="1" applyAlignment="1">
      <alignment horizontal="center" vertical="top"/>
    </xf>
    <xf numFmtId="165" fontId="3" fillId="0" borderId="28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right" vertical="top"/>
    </xf>
    <xf numFmtId="164" fontId="3" fillId="3" borderId="28" xfId="0" applyNumberFormat="1" applyFont="1" applyFill="1" applyBorder="1" applyAlignment="1">
      <alignment horizontal="right" vertical="top"/>
    </xf>
    <xf numFmtId="164" fontId="3" fillId="3" borderId="55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Alignment="1">
      <alignment vertical="top"/>
    </xf>
    <xf numFmtId="164" fontId="3" fillId="0" borderId="50" xfId="0" applyNumberFormat="1" applyFont="1" applyFill="1" applyBorder="1" applyAlignment="1">
      <alignment horizontal="right" vertical="top"/>
    </xf>
    <xf numFmtId="3" fontId="3" fillId="3" borderId="11" xfId="0" applyNumberFormat="1" applyFont="1" applyFill="1" applyBorder="1" applyAlignment="1">
      <alignment horizontal="center" vertical="top" wrapText="1"/>
    </xf>
    <xf numFmtId="164" fontId="3" fillId="3" borderId="18" xfId="0" applyNumberFormat="1" applyFont="1" applyFill="1" applyBorder="1" applyAlignment="1">
      <alignment horizontal="right" vertical="top"/>
    </xf>
    <xf numFmtId="164" fontId="5" fillId="2" borderId="74" xfId="0" applyNumberFormat="1" applyFont="1" applyFill="1" applyBorder="1" applyAlignment="1">
      <alignment horizontal="right" vertical="top"/>
    </xf>
    <xf numFmtId="164" fontId="5" fillId="2" borderId="25" xfId="0" applyNumberFormat="1" applyFont="1" applyFill="1" applyBorder="1" applyAlignment="1">
      <alignment horizontal="right" vertical="top"/>
    </xf>
    <xf numFmtId="0" fontId="3" fillId="7" borderId="12" xfId="0" applyFont="1" applyFill="1" applyBorder="1" applyAlignment="1">
      <alignment vertical="top" wrapText="1"/>
    </xf>
    <xf numFmtId="3" fontId="3" fillId="7" borderId="13" xfId="0" applyNumberFormat="1" applyFont="1" applyFill="1" applyBorder="1" applyAlignment="1">
      <alignment horizontal="center" vertical="top"/>
    </xf>
    <xf numFmtId="3" fontId="3" fillId="7" borderId="15" xfId="0" applyNumberFormat="1" applyFont="1" applyFill="1" applyBorder="1" applyAlignment="1">
      <alignment horizontal="center" vertical="top"/>
    </xf>
    <xf numFmtId="0" fontId="3" fillId="7" borderId="7" xfId="0" applyFont="1" applyFill="1" applyBorder="1" applyAlignment="1">
      <alignment vertical="top" wrapText="1"/>
    </xf>
    <xf numFmtId="3" fontId="3" fillId="7" borderId="11" xfId="0" applyNumberFormat="1" applyFont="1" applyFill="1" applyBorder="1" applyAlignment="1">
      <alignment horizontal="center" vertical="top"/>
    </xf>
    <xf numFmtId="3" fontId="3" fillId="7" borderId="18" xfId="0" applyNumberFormat="1" applyFont="1" applyFill="1" applyBorder="1" applyAlignment="1">
      <alignment horizontal="center" vertical="top"/>
    </xf>
    <xf numFmtId="0" fontId="3" fillId="7" borderId="9" xfId="0" applyFont="1" applyFill="1" applyBorder="1" applyAlignment="1">
      <alignment vertical="top" wrapText="1"/>
    </xf>
    <xf numFmtId="3" fontId="3" fillId="7" borderId="31" xfId="0" applyNumberFormat="1" applyFont="1" applyFill="1" applyBorder="1" applyAlignment="1">
      <alignment horizontal="center" vertical="top"/>
    </xf>
    <xf numFmtId="3" fontId="3" fillId="7" borderId="32" xfId="0" applyNumberFormat="1" applyFont="1" applyFill="1" applyBorder="1" applyAlignment="1">
      <alignment horizontal="center" vertical="top"/>
    </xf>
    <xf numFmtId="164" fontId="3" fillId="3" borderId="0" xfId="0" applyNumberFormat="1" applyFont="1" applyFill="1" applyBorder="1" applyAlignment="1">
      <alignment horizontal="right" vertical="top" wrapText="1"/>
    </xf>
    <xf numFmtId="164" fontId="3" fillId="3" borderId="79" xfId="0" applyNumberFormat="1" applyFont="1" applyFill="1" applyBorder="1" applyAlignment="1">
      <alignment horizontal="right" vertical="top" wrapText="1"/>
    </xf>
    <xf numFmtId="164" fontId="3" fillId="3" borderId="63" xfId="0" applyNumberFormat="1" applyFont="1" applyFill="1" applyBorder="1" applyAlignment="1">
      <alignment horizontal="right" vertical="top"/>
    </xf>
    <xf numFmtId="164" fontId="3" fillId="3" borderId="66" xfId="0" applyNumberFormat="1" applyFont="1" applyFill="1" applyBorder="1" applyAlignment="1">
      <alignment horizontal="right" vertical="top" wrapText="1"/>
    </xf>
    <xf numFmtId="3" fontId="3" fillId="0" borderId="20" xfId="0" applyNumberFormat="1" applyFont="1" applyFill="1" applyBorder="1" applyAlignment="1">
      <alignment horizontal="center" vertical="top"/>
    </xf>
    <xf numFmtId="3" fontId="3" fillId="0" borderId="21" xfId="0" applyNumberFormat="1" applyFont="1" applyFill="1" applyBorder="1" applyAlignment="1">
      <alignment horizontal="center" vertical="top"/>
    </xf>
    <xf numFmtId="164" fontId="3" fillId="3" borderId="7" xfId="0" applyNumberFormat="1" applyFont="1" applyFill="1" applyBorder="1" applyAlignment="1">
      <alignment horizontal="right" vertical="top"/>
    </xf>
    <xf numFmtId="164" fontId="3" fillId="3" borderId="30" xfId="0" applyNumberFormat="1" applyFont="1" applyFill="1" applyBorder="1" applyAlignment="1">
      <alignment horizontal="right" vertical="top"/>
    </xf>
    <xf numFmtId="164" fontId="3" fillId="7" borderId="16" xfId="0" applyNumberFormat="1" applyFont="1" applyFill="1" applyBorder="1" applyAlignment="1">
      <alignment horizontal="right" vertical="top"/>
    </xf>
    <xf numFmtId="164" fontId="3" fillId="7" borderId="1" xfId="0" applyNumberFormat="1" applyFont="1" applyFill="1" applyBorder="1" applyAlignment="1">
      <alignment horizontal="right" vertical="top"/>
    </xf>
    <xf numFmtId="164" fontId="3" fillId="7" borderId="17" xfId="0" applyNumberFormat="1" applyFont="1" applyFill="1" applyBorder="1" applyAlignment="1">
      <alignment horizontal="right" vertical="top"/>
    </xf>
    <xf numFmtId="164" fontId="3" fillId="7" borderId="37" xfId="0" applyNumberFormat="1" applyFont="1" applyFill="1" applyBorder="1" applyAlignment="1">
      <alignment horizontal="right" vertical="top"/>
    </xf>
    <xf numFmtId="164" fontId="3" fillId="3" borderId="11" xfId="0" applyNumberFormat="1" applyFont="1" applyFill="1" applyBorder="1" applyAlignment="1">
      <alignment horizontal="right" vertical="top"/>
    </xf>
    <xf numFmtId="49" fontId="3" fillId="0" borderId="50" xfId="0" applyNumberFormat="1" applyFont="1" applyBorder="1" applyAlignment="1">
      <alignment horizontal="center" vertical="top" wrapText="1"/>
    </xf>
    <xf numFmtId="0" fontId="3" fillId="3" borderId="21" xfId="0" applyFont="1" applyFill="1" applyBorder="1" applyAlignment="1">
      <alignment horizontal="left" vertical="top" wrapText="1"/>
    </xf>
    <xf numFmtId="164" fontId="5" fillId="3" borderId="14" xfId="0" applyNumberFormat="1" applyFont="1" applyFill="1" applyBorder="1" applyAlignment="1">
      <alignment horizontal="right" vertical="top"/>
    </xf>
    <xf numFmtId="0" fontId="3" fillId="3" borderId="72" xfId="0" applyFont="1" applyFill="1" applyBorder="1" applyAlignment="1">
      <alignment horizontal="center" vertical="top"/>
    </xf>
    <xf numFmtId="0" fontId="3" fillId="3" borderId="35" xfId="0" applyFont="1" applyFill="1" applyBorder="1" applyAlignment="1">
      <alignment horizontal="center" vertical="top"/>
    </xf>
    <xf numFmtId="164" fontId="3" fillId="7" borderId="39" xfId="0" applyNumberFormat="1" applyFont="1" applyFill="1" applyBorder="1" applyAlignment="1">
      <alignment horizontal="right" vertical="top"/>
    </xf>
    <xf numFmtId="164" fontId="3" fillId="3" borderId="10" xfId="0" applyNumberFormat="1" applyFont="1" applyFill="1" applyBorder="1" applyAlignment="1">
      <alignment horizontal="right" vertical="top"/>
    </xf>
    <xf numFmtId="0" fontId="3" fillId="0" borderId="40" xfId="0" applyFont="1" applyFill="1" applyBorder="1" applyAlignment="1">
      <alignment horizontal="center" vertical="top" wrapText="1"/>
    </xf>
    <xf numFmtId="49" fontId="5" fillId="3" borderId="43" xfId="0" applyNumberFormat="1" applyFont="1" applyFill="1" applyBorder="1" applyAlignment="1">
      <alignment horizontal="center" vertical="top"/>
    </xf>
    <xf numFmtId="0" fontId="5" fillId="3" borderId="52" xfId="0" applyFont="1" applyFill="1" applyBorder="1" applyAlignment="1">
      <alignment horizontal="center" vertical="top"/>
    </xf>
    <xf numFmtId="0" fontId="3" fillId="0" borderId="44" xfId="0" applyFont="1" applyFill="1" applyBorder="1" applyAlignment="1">
      <alignment horizontal="center" vertical="top" wrapText="1"/>
    </xf>
    <xf numFmtId="49" fontId="5" fillId="3" borderId="41" xfId="0" applyNumberFormat="1" applyFont="1" applyFill="1" applyBorder="1" applyAlignment="1">
      <alignment horizontal="center" vertical="top"/>
    </xf>
    <xf numFmtId="0" fontId="3" fillId="0" borderId="71" xfId="0" applyFont="1" applyFill="1" applyBorder="1" applyAlignment="1">
      <alignment horizontal="center" vertical="top"/>
    </xf>
    <xf numFmtId="0" fontId="3" fillId="0" borderId="46" xfId="0" applyFont="1" applyFill="1" applyBorder="1" applyAlignment="1">
      <alignment horizontal="center" vertical="top"/>
    </xf>
    <xf numFmtId="0" fontId="3" fillId="0" borderId="68" xfId="0" applyFont="1" applyFill="1" applyBorder="1" applyAlignment="1">
      <alignment horizontal="center" vertical="top"/>
    </xf>
    <xf numFmtId="164" fontId="3" fillId="3" borderId="6" xfId="0" applyNumberFormat="1" applyFont="1" applyFill="1" applyBorder="1" applyAlignment="1">
      <alignment horizontal="right" vertical="top" wrapText="1"/>
    </xf>
    <xf numFmtId="164" fontId="3" fillId="0" borderId="11" xfId="0" applyNumberFormat="1" applyFont="1" applyBorder="1" applyAlignment="1">
      <alignment horizontal="right" vertical="top"/>
    </xf>
    <xf numFmtId="164" fontId="3" fillId="0" borderId="29" xfId="0" applyNumberFormat="1" applyFont="1" applyBorder="1" applyAlignment="1">
      <alignment horizontal="right" vertical="top"/>
    </xf>
    <xf numFmtId="0" fontId="3" fillId="0" borderId="24" xfId="0" applyFont="1" applyFill="1" applyBorder="1" applyAlignment="1">
      <alignment horizontal="center" vertical="top"/>
    </xf>
    <xf numFmtId="164" fontId="3" fillId="3" borderId="24" xfId="0" applyNumberFormat="1" applyFont="1" applyFill="1" applyBorder="1" applyAlignment="1">
      <alignment horizontal="right" vertical="top" wrapText="1"/>
    </xf>
    <xf numFmtId="3" fontId="3" fillId="0" borderId="31" xfId="0" applyNumberFormat="1" applyFont="1" applyFill="1" applyBorder="1" applyAlignment="1">
      <alignment horizontal="center" vertical="top"/>
    </xf>
    <xf numFmtId="3" fontId="3" fillId="0" borderId="32" xfId="0" applyNumberFormat="1" applyFont="1" applyFill="1" applyBorder="1" applyAlignment="1">
      <alignment horizontal="center" vertical="top"/>
    </xf>
    <xf numFmtId="164" fontId="3" fillId="0" borderId="30" xfId="0" applyNumberFormat="1" applyFont="1" applyBorder="1" applyAlignment="1">
      <alignment horizontal="right" vertical="top"/>
    </xf>
    <xf numFmtId="3" fontId="3" fillId="0" borderId="11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0" fontId="3" fillId="0" borderId="68" xfId="0" applyFont="1" applyFill="1" applyBorder="1" applyAlignment="1">
      <alignment horizontal="center" vertical="center" textRotation="90" wrapText="1"/>
    </xf>
    <xf numFmtId="0" fontId="18" fillId="0" borderId="7" xfId="0" applyFont="1" applyFill="1" applyBorder="1" applyAlignment="1">
      <alignment horizontal="left" vertical="top" wrapText="1"/>
    </xf>
    <xf numFmtId="0" fontId="18" fillId="0" borderId="16" xfId="0" applyFont="1" applyFill="1" applyBorder="1" applyAlignment="1">
      <alignment horizontal="left" vertical="top" wrapText="1"/>
    </xf>
    <xf numFmtId="164" fontId="3" fillId="0" borderId="38" xfId="0" applyNumberFormat="1" applyFont="1" applyBorder="1" applyAlignment="1">
      <alignment horizontal="right" vertical="top"/>
    </xf>
    <xf numFmtId="164" fontId="3" fillId="0" borderId="20" xfId="0" applyNumberFormat="1" applyFont="1" applyBorder="1" applyAlignment="1">
      <alignment horizontal="right" vertical="top"/>
    </xf>
    <xf numFmtId="0" fontId="3" fillId="0" borderId="8" xfId="0" applyFont="1" applyFill="1" applyBorder="1" applyAlignment="1">
      <alignment horizontal="center" vertical="top"/>
    </xf>
    <xf numFmtId="164" fontId="3" fillId="0" borderId="21" xfId="0" applyNumberFormat="1" applyFont="1" applyBorder="1" applyAlignment="1">
      <alignment horizontal="right" vertical="top"/>
    </xf>
    <xf numFmtId="164" fontId="3" fillId="7" borderId="21" xfId="0" applyNumberFormat="1" applyFont="1" applyFill="1" applyBorder="1" applyAlignment="1">
      <alignment horizontal="right" vertical="top"/>
    </xf>
    <xf numFmtId="0" fontId="3" fillId="0" borderId="35" xfId="0" applyFont="1" applyFill="1" applyBorder="1" applyAlignment="1">
      <alignment horizontal="center" vertical="center" textRotation="90" wrapText="1"/>
    </xf>
    <xf numFmtId="164" fontId="3" fillId="3" borderId="40" xfId="0" applyNumberFormat="1" applyFont="1" applyFill="1" applyBorder="1" applyAlignment="1">
      <alignment horizontal="right" vertical="top" wrapText="1"/>
    </xf>
    <xf numFmtId="0" fontId="3" fillId="2" borderId="57" xfId="0" applyFont="1" applyFill="1" applyBorder="1" applyAlignment="1">
      <alignment horizontal="center" vertical="top" wrapText="1"/>
    </xf>
    <xf numFmtId="49" fontId="5" fillId="2" borderId="11" xfId="0" applyNumberFormat="1" applyFont="1" applyFill="1" applyBorder="1" applyAlignment="1">
      <alignment horizontal="center" vertical="top"/>
    </xf>
    <xf numFmtId="0" fontId="3" fillId="3" borderId="21" xfId="0" applyFont="1" applyFill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 wrapText="1"/>
    </xf>
    <xf numFmtId="49" fontId="5" fillId="0" borderId="18" xfId="0" applyNumberFormat="1" applyFont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vertical="top" wrapText="1"/>
    </xf>
    <xf numFmtId="0" fontId="3" fillId="0" borderId="35" xfId="0" applyFont="1" applyFill="1" applyBorder="1" applyAlignment="1">
      <alignment horizontal="center" vertical="center" textRotation="90" wrapText="1"/>
    </xf>
    <xf numFmtId="49" fontId="5" fillId="2" borderId="31" xfId="0" applyNumberFormat="1" applyFont="1" applyFill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3" fillId="0" borderId="43" xfId="0" applyNumberFormat="1" applyFont="1" applyBorder="1" applyAlignment="1">
      <alignment horizontal="center" vertical="top" wrapText="1"/>
    </xf>
    <xf numFmtId="0" fontId="9" fillId="0" borderId="18" xfId="0" applyFont="1" applyFill="1" applyBorder="1" applyAlignment="1">
      <alignment horizontal="center" vertical="center" wrapText="1"/>
    </xf>
    <xf numFmtId="164" fontId="3" fillId="8" borderId="49" xfId="0" applyNumberFormat="1" applyFont="1" applyFill="1" applyBorder="1" applyAlignment="1">
      <alignment horizontal="right" vertical="top"/>
    </xf>
    <xf numFmtId="164" fontId="3" fillId="8" borderId="11" xfId="0" applyNumberFormat="1" applyFont="1" applyFill="1" applyBorder="1" applyAlignment="1">
      <alignment horizontal="right" vertical="top"/>
    </xf>
    <xf numFmtId="164" fontId="3" fillId="8" borderId="50" xfId="0" applyNumberFormat="1" applyFont="1" applyFill="1" applyBorder="1" applyAlignment="1">
      <alignment horizontal="right" vertical="top"/>
    </xf>
    <xf numFmtId="164" fontId="3" fillId="8" borderId="37" xfId="0" applyNumberFormat="1" applyFont="1" applyFill="1" applyBorder="1" applyAlignment="1">
      <alignment horizontal="right" vertical="top"/>
    </xf>
    <xf numFmtId="164" fontId="3" fillId="8" borderId="1" xfId="0" applyNumberFormat="1" applyFont="1" applyFill="1" applyBorder="1" applyAlignment="1">
      <alignment horizontal="right" vertical="top"/>
    </xf>
    <xf numFmtId="164" fontId="3" fillId="8" borderId="39" xfId="0" applyNumberFormat="1" applyFont="1" applyFill="1" applyBorder="1" applyAlignment="1">
      <alignment horizontal="right" vertical="top"/>
    </xf>
    <xf numFmtId="164" fontId="3" fillId="8" borderId="19" xfId="0" applyNumberFormat="1" applyFont="1" applyFill="1" applyBorder="1" applyAlignment="1">
      <alignment horizontal="right" vertical="top"/>
    </xf>
    <xf numFmtId="164" fontId="3" fillId="8" borderId="47" xfId="0" applyNumberFormat="1" applyFont="1" applyFill="1" applyBorder="1" applyAlignment="1">
      <alignment horizontal="right" vertical="top"/>
    </xf>
    <xf numFmtId="164" fontId="3" fillId="8" borderId="20" xfId="0" applyNumberFormat="1" applyFont="1" applyFill="1" applyBorder="1" applyAlignment="1">
      <alignment horizontal="right" vertical="top"/>
    </xf>
    <xf numFmtId="164" fontId="3" fillId="8" borderId="48" xfId="0" applyNumberFormat="1" applyFont="1" applyFill="1" applyBorder="1" applyAlignment="1">
      <alignment horizontal="right" vertical="top"/>
    </xf>
    <xf numFmtId="164" fontId="5" fillId="8" borderId="12" xfId="0" applyNumberFormat="1" applyFont="1" applyFill="1" applyBorder="1" applyAlignment="1">
      <alignment horizontal="right" vertical="top"/>
    </xf>
    <xf numFmtId="164" fontId="5" fillId="8" borderId="13" xfId="0" applyNumberFormat="1" applyFont="1" applyFill="1" applyBorder="1" applyAlignment="1">
      <alignment horizontal="right" vertical="top"/>
    </xf>
    <xf numFmtId="164" fontId="3" fillId="8" borderId="30" xfId="0" applyNumberFormat="1" applyFont="1" applyFill="1" applyBorder="1" applyAlignment="1">
      <alignment horizontal="right" vertical="top"/>
    </xf>
    <xf numFmtId="164" fontId="3" fillId="8" borderId="29" xfId="0" applyNumberFormat="1" applyFont="1" applyFill="1" applyBorder="1" applyAlignment="1">
      <alignment horizontal="right" vertical="top"/>
    </xf>
    <xf numFmtId="164" fontId="3" fillId="8" borderId="28" xfId="0" applyNumberFormat="1" applyFont="1" applyFill="1" applyBorder="1" applyAlignment="1">
      <alignment horizontal="right" vertical="top"/>
    </xf>
    <xf numFmtId="164" fontId="5" fillId="8" borderId="49" xfId="0" applyNumberFormat="1" applyFont="1" applyFill="1" applyBorder="1" applyAlignment="1">
      <alignment horizontal="right" vertical="top"/>
    </xf>
    <xf numFmtId="164" fontId="5" fillId="8" borderId="11" xfId="0" applyNumberFormat="1" applyFont="1" applyFill="1" applyBorder="1" applyAlignment="1">
      <alignment horizontal="right" vertical="top"/>
    </xf>
    <xf numFmtId="164" fontId="5" fillId="8" borderId="59" xfId="0" applyNumberFormat="1" applyFont="1" applyFill="1" applyBorder="1" applyAlignment="1">
      <alignment horizontal="right" vertical="top"/>
    </xf>
    <xf numFmtId="164" fontId="5" fillId="8" borderId="2" xfId="0" applyNumberFormat="1" applyFont="1" applyFill="1" applyBorder="1" applyAlignment="1">
      <alignment horizontal="right" vertical="top"/>
    </xf>
    <xf numFmtId="164" fontId="5" fillId="8" borderId="67" xfId="0" applyNumberFormat="1" applyFont="1" applyFill="1" applyBorder="1" applyAlignment="1">
      <alignment horizontal="right" vertical="top"/>
    </xf>
    <xf numFmtId="0" fontId="5" fillId="8" borderId="61" xfId="0" applyFont="1" applyFill="1" applyBorder="1" applyAlignment="1">
      <alignment horizontal="center" vertical="top"/>
    </xf>
    <xf numFmtId="164" fontId="5" fillId="8" borderId="60" xfId="0" applyNumberFormat="1" applyFont="1" applyFill="1" applyBorder="1" applyAlignment="1">
      <alignment horizontal="right" vertical="top"/>
    </xf>
    <xf numFmtId="164" fontId="5" fillId="8" borderId="3" xfId="0" applyNumberFormat="1" applyFont="1" applyFill="1" applyBorder="1" applyAlignment="1">
      <alignment horizontal="right" vertical="top"/>
    </xf>
    <xf numFmtId="164" fontId="5" fillId="8" borderId="61" xfId="0" applyNumberFormat="1" applyFont="1" applyFill="1" applyBorder="1" applyAlignment="1">
      <alignment horizontal="right" vertical="top"/>
    </xf>
    <xf numFmtId="164" fontId="5" fillId="8" borderId="65" xfId="0" applyNumberFormat="1" applyFont="1" applyFill="1" applyBorder="1" applyAlignment="1">
      <alignment horizontal="right" vertical="top"/>
    </xf>
    <xf numFmtId="49" fontId="5" fillId="0" borderId="0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164" fontId="5" fillId="8" borderId="62" xfId="0" applyNumberFormat="1" applyFont="1" applyFill="1" applyBorder="1" applyAlignment="1">
      <alignment horizontal="right" vertical="top"/>
    </xf>
    <xf numFmtId="164" fontId="3" fillId="8" borderId="64" xfId="0" applyNumberFormat="1" applyFont="1" applyFill="1" applyBorder="1" applyAlignment="1">
      <alignment horizontal="right" vertical="top"/>
    </xf>
    <xf numFmtId="164" fontId="3" fillId="8" borderId="26" xfId="0" applyNumberFormat="1" applyFont="1" applyFill="1" applyBorder="1" applyAlignment="1">
      <alignment horizontal="right" vertical="top"/>
    </xf>
    <xf numFmtId="164" fontId="3" fillId="8" borderId="43" xfId="0" applyNumberFormat="1" applyFont="1" applyFill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/>
    </xf>
    <xf numFmtId="167" fontId="3" fillId="8" borderId="64" xfId="1" applyNumberFormat="1" applyFont="1" applyFill="1" applyBorder="1" applyAlignment="1">
      <alignment horizontal="right" vertical="top"/>
    </xf>
    <xf numFmtId="167" fontId="3" fillId="8" borderId="13" xfId="1" applyNumberFormat="1" applyFont="1" applyFill="1" applyBorder="1" applyAlignment="1">
      <alignment horizontal="right" vertical="top"/>
    </xf>
    <xf numFmtId="167" fontId="3" fillId="8" borderId="14" xfId="1" applyNumberFormat="1" applyFont="1" applyFill="1" applyBorder="1" applyAlignment="1">
      <alignment horizontal="right" vertical="top"/>
    </xf>
    <xf numFmtId="164" fontId="5" fillId="8" borderId="42" xfId="0" applyNumberFormat="1" applyFont="1" applyFill="1" applyBorder="1" applyAlignment="1">
      <alignment horizontal="right" vertical="top"/>
    </xf>
    <xf numFmtId="164" fontId="5" fillId="8" borderId="26" xfId="0" applyNumberFormat="1" applyFont="1" applyFill="1" applyBorder="1" applyAlignment="1">
      <alignment horizontal="right" vertical="top"/>
    </xf>
    <xf numFmtId="164" fontId="3" fillId="8" borderId="18" xfId="0" applyNumberFormat="1" applyFont="1" applyFill="1" applyBorder="1" applyAlignment="1">
      <alignment horizontal="right" vertical="top"/>
    </xf>
    <xf numFmtId="164" fontId="3" fillId="8" borderId="21" xfId="0" applyNumberFormat="1" applyFont="1" applyFill="1" applyBorder="1" applyAlignment="1">
      <alignment horizontal="right" vertical="top"/>
    </xf>
    <xf numFmtId="164" fontId="3" fillId="8" borderId="13" xfId="0" applyNumberFormat="1" applyFont="1" applyFill="1" applyBorder="1" applyAlignment="1">
      <alignment horizontal="right" vertical="top"/>
    </xf>
    <xf numFmtId="164" fontId="3" fillId="8" borderId="14" xfId="0" applyNumberFormat="1" applyFont="1" applyFill="1" applyBorder="1" applyAlignment="1">
      <alignment horizontal="right" vertical="top"/>
    </xf>
    <xf numFmtId="164" fontId="3" fillId="8" borderId="29" xfId="0" applyNumberFormat="1" applyFont="1" applyFill="1" applyBorder="1" applyAlignment="1">
      <alignment vertical="top"/>
    </xf>
    <xf numFmtId="0" fontId="3" fillId="8" borderId="0" xfId="0" applyFont="1" applyFill="1" applyBorder="1" applyAlignment="1">
      <alignment vertical="top"/>
    </xf>
    <xf numFmtId="164" fontId="3" fillId="8" borderId="38" xfId="0" applyNumberFormat="1" applyFont="1" applyFill="1" applyBorder="1" applyAlignment="1">
      <alignment horizontal="right" vertical="top"/>
    </xf>
    <xf numFmtId="164" fontId="3" fillId="8" borderId="42" xfId="0" applyNumberFormat="1" applyFont="1" applyFill="1" applyBorder="1" applyAlignment="1">
      <alignment horizontal="right" vertical="top"/>
    </xf>
    <xf numFmtId="0" fontId="5" fillId="8" borderId="65" xfId="0" applyFont="1" applyFill="1" applyBorder="1" applyAlignment="1">
      <alignment horizontal="center" vertical="top"/>
    </xf>
    <xf numFmtId="0" fontId="20" fillId="0" borderId="0" xfId="0" applyFont="1" applyAlignment="1">
      <alignment vertical="top"/>
    </xf>
    <xf numFmtId="164" fontId="20" fillId="0" borderId="0" xfId="0" applyNumberFormat="1" applyFont="1" applyAlignment="1">
      <alignment vertical="top"/>
    </xf>
    <xf numFmtId="165" fontId="20" fillId="0" borderId="0" xfId="0" applyNumberFormat="1" applyFont="1" applyAlignment="1">
      <alignment vertical="top"/>
    </xf>
    <xf numFmtId="0" fontId="3" fillId="0" borderId="33" xfId="0" applyFont="1" applyBorder="1" applyAlignment="1">
      <alignment vertical="top"/>
    </xf>
    <xf numFmtId="0" fontId="3" fillId="0" borderId="33" xfId="0" applyFont="1" applyBorder="1" applyAlignment="1">
      <alignment vertical="center"/>
    </xf>
    <xf numFmtId="0" fontId="5" fillId="0" borderId="33" xfId="0" applyNumberFormat="1" applyFont="1" applyBorder="1" applyAlignment="1">
      <alignment vertical="top"/>
    </xf>
    <xf numFmtId="164" fontId="3" fillId="8" borderId="27" xfId="0" applyNumberFormat="1" applyFont="1" applyFill="1" applyBorder="1" applyAlignment="1">
      <alignment horizontal="right" vertical="top"/>
    </xf>
    <xf numFmtId="164" fontId="3" fillId="3" borderId="52" xfId="0" applyNumberFormat="1" applyFont="1" applyFill="1" applyBorder="1" applyAlignment="1">
      <alignment horizontal="right" vertical="top" wrapText="1"/>
    </xf>
    <xf numFmtId="164" fontId="3" fillId="0" borderId="26" xfId="0" applyNumberFormat="1" applyFont="1" applyFill="1" applyBorder="1" applyAlignment="1">
      <alignment horizontal="right" vertical="top"/>
    </xf>
    <xf numFmtId="164" fontId="3" fillId="0" borderId="52" xfId="0" applyNumberFormat="1" applyFont="1" applyFill="1" applyBorder="1" applyAlignment="1">
      <alignment horizontal="right" vertical="top"/>
    </xf>
    <xf numFmtId="0" fontId="9" fillId="0" borderId="11" xfId="0" applyFont="1" applyFill="1" applyBorder="1" applyAlignment="1">
      <alignment horizontal="center" vertical="top" wrapText="1"/>
    </xf>
    <xf numFmtId="164" fontId="3" fillId="0" borderId="49" xfId="0" applyNumberFormat="1" applyFont="1" applyFill="1" applyBorder="1" applyAlignment="1">
      <alignment horizontal="right" vertical="top"/>
    </xf>
    <xf numFmtId="164" fontId="3" fillId="8" borderId="0" xfId="0" applyNumberFormat="1" applyFont="1" applyFill="1" applyBorder="1" applyAlignment="1">
      <alignment horizontal="right" vertical="top"/>
    </xf>
    <xf numFmtId="164" fontId="3" fillId="7" borderId="11" xfId="0" applyNumberFormat="1" applyFont="1" applyFill="1" applyBorder="1" applyAlignment="1">
      <alignment horizontal="right" vertical="top"/>
    </xf>
    <xf numFmtId="0" fontId="9" fillId="0" borderId="2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164" fontId="3" fillId="3" borderId="63" xfId="0" applyNumberFormat="1" applyFont="1" applyFill="1" applyBorder="1" applyAlignment="1">
      <alignment horizontal="right" vertical="top" wrapText="1"/>
    </xf>
    <xf numFmtId="0" fontId="3" fillId="0" borderId="43" xfId="0" applyFont="1" applyBorder="1" applyAlignment="1">
      <alignment vertical="top"/>
    </xf>
    <xf numFmtId="0" fontId="3" fillId="0" borderId="36" xfId="0" applyFont="1" applyBorder="1" applyAlignment="1">
      <alignment vertical="top"/>
    </xf>
    <xf numFmtId="0" fontId="3" fillId="0" borderId="30" xfId="0" applyFont="1" applyBorder="1" applyAlignment="1">
      <alignment vertical="top"/>
    </xf>
    <xf numFmtId="0" fontId="3" fillId="0" borderId="16" xfId="0" applyFont="1" applyFill="1" applyBorder="1" applyAlignment="1">
      <alignment vertical="top" wrapText="1"/>
    </xf>
    <xf numFmtId="164" fontId="22" fillId="8" borderId="36" xfId="0" applyNumberFormat="1" applyFont="1" applyFill="1" applyBorder="1" applyAlignment="1">
      <alignment horizontal="right" vertical="top"/>
    </xf>
    <xf numFmtId="0" fontId="3" fillId="0" borderId="38" xfId="0" applyFont="1" applyFill="1" applyBorder="1" applyAlignment="1">
      <alignment horizontal="left" vertical="center" wrapText="1"/>
    </xf>
    <xf numFmtId="164" fontId="22" fillId="8" borderId="19" xfId="0" applyNumberFormat="1" applyFont="1" applyFill="1" applyBorder="1" applyAlignment="1">
      <alignment horizontal="right" vertical="top"/>
    </xf>
    <xf numFmtId="164" fontId="22" fillId="8" borderId="11" xfId="0" applyNumberFormat="1" applyFont="1" applyFill="1" applyBorder="1" applyAlignment="1">
      <alignment horizontal="right" vertical="top"/>
    </xf>
    <xf numFmtId="164" fontId="22" fillId="8" borderId="50" xfId="0" applyNumberFormat="1" applyFont="1" applyFill="1" applyBorder="1" applyAlignment="1">
      <alignment horizontal="right" vertical="top"/>
    </xf>
    <xf numFmtId="164" fontId="22" fillId="8" borderId="47" xfId="0" applyNumberFormat="1" applyFont="1" applyFill="1" applyBorder="1" applyAlignment="1">
      <alignment horizontal="right" vertical="top"/>
    </xf>
    <xf numFmtId="164" fontId="22" fillId="8" borderId="20" xfId="0" applyNumberFormat="1" applyFont="1" applyFill="1" applyBorder="1" applyAlignment="1">
      <alignment horizontal="right" vertical="top"/>
    </xf>
    <xf numFmtId="164" fontId="22" fillId="8" borderId="48" xfId="0" applyNumberFormat="1" applyFont="1" applyFill="1" applyBorder="1" applyAlignment="1">
      <alignment horizontal="right" vertical="top"/>
    </xf>
    <xf numFmtId="164" fontId="22" fillId="8" borderId="29" xfId="0" applyNumberFormat="1" applyFont="1" applyFill="1" applyBorder="1" applyAlignment="1">
      <alignment horizontal="right" vertical="top"/>
    </xf>
    <xf numFmtId="49" fontId="5" fillId="2" borderId="11" xfId="0" applyNumberFormat="1" applyFont="1" applyFill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top"/>
    </xf>
    <xf numFmtId="49" fontId="3" fillId="0" borderId="29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0" fontId="3" fillId="0" borderId="30" xfId="0" applyFont="1" applyFill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164" fontId="3" fillId="7" borderId="13" xfId="0" applyNumberFormat="1" applyFont="1" applyFill="1" applyBorder="1" applyAlignment="1">
      <alignment horizontal="right" vertical="top"/>
    </xf>
    <xf numFmtId="164" fontId="3" fillId="7" borderId="49" xfId="0" applyNumberFormat="1" applyFont="1" applyFill="1" applyBorder="1" applyAlignment="1">
      <alignment horizontal="right" vertical="top"/>
    </xf>
    <xf numFmtId="164" fontId="3" fillId="7" borderId="38" xfId="0" applyNumberFormat="1" applyFont="1" applyFill="1" applyBorder="1" applyAlignment="1">
      <alignment horizontal="right" vertical="top"/>
    </xf>
    <xf numFmtId="164" fontId="3" fillId="7" borderId="20" xfId="0" applyNumberFormat="1" applyFont="1" applyFill="1" applyBorder="1" applyAlignment="1">
      <alignment horizontal="right" vertical="top"/>
    </xf>
    <xf numFmtId="164" fontId="3" fillId="7" borderId="7" xfId="0" applyNumberFormat="1" applyFont="1" applyFill="1" applyBorder="1" applyAlignment="1">
      <alignment horizontal="right" vertical="top"/>
    </xf>
    <xf numFmtId="164" fontId="3" fillId="7" borderId="19" xfId="0" applyNumberFormat="1" applyFont="1" applyFill="1" applyBorder="1" applyAlignment="1">
      <alignment horizontal="right" vertical="top"/>
    </xf>
    <xf numFmtId="49" fontId="5" fillId="9" borderId="16" xfId="0" applyNumberFormat="1" applyFont="1" applyFill="1" applyBorder="1" applyAlignment="1">
      <alignment horizontal="center" vertical="top" wrapText="1"/>
    </xf>
    <xf numFmtId="49" fontId="5" fillId="9" borderId="16" xfId="0" applyNumberFormat="1" applyFont="1" applyFill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9" borderId="5" xfId="0" applyNumberFormat="1" applyFont="1" applyFill="1" applyBorder="1" applyAlignment="1">
      <alignment horizontal="center" vertical="top"/>
    </xf>
    <xf numFmtId="49" fontId="5" fillId="9" borderId="76" xfId="0" applyNumberFormat="1" applyFont="1" applyFill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49" fontId="5" fillId="9" borderId="56" xfId="0" applyNumberFormat="1" applyFont="1" applyFill="1" applyBorder="1" applyAlignment="1">
      <alignment horizontal="center" vertical="top"/>
    </xf>
    <xf numFmtId="49" fontId="5" fillId="9" borderId="57" xfId="0" applyNumberFormat="1" applyFont="1" applyFill="1" applyBorder="1" applyAlignment="1">
      <alignment horizontal="center" vertical="top"/>
    </xf>
    <xf numFmtId="49" fontId="5" fillId="9" borderId="35" xfId="0" applyNumberFormat="1" applyFont="1" applyFill="1" applyBorder="1" applyAlignment="1">
      <alignment horizontal="center" vertical="top"/>
    </xf>
    <xf numFmtId="164" fontId="3" fillId="7" borderId="12" xfId="0" applyNumberFormat="1" applyFont="1" applyFill="1" applyBorder="1" applyAlignment="1">
      <alignment horizontal="right" vertical="top"/>
    </xf>
    <xf numFmtId="164" fontId="3" fillId="7" borderId="30" xfId="0" applyNumberFormat="1" applyFont="1" applyFill="1" applyBorder="1" applyAlignment="1">
      <alignment horizontal="right" vertical="top"/>
    </xf>
    <xf numFmtId="164" fontId="3" fillId="7" borderId="18" xfId="0" applyNumberFormat="1" applyFont="1" applyFill="1" applyBorder="1" applyAlignment="1">
      <alignment horizontal="right" vertical="top"/>
    </xf>
    <xf numFmtId="164" fontId="3" fillId="7" borderId="14" xfId="0" applyNumberFormat="1" applyFont="1" applyFill="1" applyBorder="1" applyAlignment="1">
      <alignment horizontal="right" vertical="top"/>
    </xf>
    <xf numFmtId="164" fontId="3" fillId="7" borderId="48" xfId="0" applyNumberFormat="1" applyFont="1" applyFill="1" applyBorder="1" applyAlignment="1">
      <alignment horizontal="right" vertical="top"/>
    </xf>
    <xf numFmtId="164" fontId="3" fillId="7" borderId="47" xfId="0" applyNumberFormat="1" applyFont="1" applyFill="1" applyBorder="1" applyAlignment="1">
      <alignment horizontal="right" vertical="top"/>
    </xf>
    <xf numFmtId="164" fontId="3" fillId="7" borderId="29" xfId="0" applyNumberFormat="1" applyFont="1" applyFill="1" applyBorder="1" applyAlignment="1">
      <alignment horizontal="right" vertical="top"/>
    </xf>
    <xf numFmtId="164" fontId="3" fillId="7" borderId="28" xfId="0" applyNumberFormat="1" applyFont="1" applyFill="1" applyBorder="1" applyAlignment="1">
      <alignment horizontal="right" vertical="top"/>
    </xf>
    <xf numFmtId="164" fontId="3" fillId="7" borderId="5" xfId="0" applyNumberFormat="1" applyFont="1" applyFill="1" applyBorder="1" applyAlignment="1">
      <alignment horizontal="right" vertical="top"/>
    </xf>
    <xf numFmtId="164" fontId="3" fillId="7" borderId="42" xfId="0" applyNumberFormat="1" applyFont="1" applyFill="1" applyBorder="1" applyAlignment="1">
      <alignment horizontal="right" vertical="top"/>
    </xf>
    <xf numFmtId="49" fontId="5" fillId="10" borderId="11" xfId="0" applyNumberFormat="1" applyFont="1" applyFill="1" applyBorder="1" applyAlignment="1">
      <alignment horizontal="center" vertical="top"/>
    </xf>
    <xf numFmtId="49" fontId="5" fillId="10" borderId="50" xfId="0" applyNumberFormat="1" applyFont="1" applyFill="1" applyBorder="1" applyAlignment="1">
      <alignment horizontal="center" vertical="top"/>
    </xf>
    <xf numFmtId="49" fontId="5" fillId="10" borderId="26" xfId="0" applyNumberFormat="1" applyFont="1" applyFill="1" applyBorder="1" applyAlignment="1">
      <alignment horizontal="center" vertical="top"/>
    </xf>
    <xf numFmtId="49" fontId="5" fillId="10" borderId="58" xfId="0" applyNumberFormat="1" applyFont="1" applyFill="1" applyBorder="1" applyAlignment="1">
      <alignment horizontal="center" vertical="top"/>
    </xf>
    <xf numFmtId="49" fontId="3" fillId="10" borderId="62" xfId="0" applyNumberFormat="1" applyFont="1" applyFill="1" applyBorder="1" applyAlignment="1">
      <alignment horizontal="center" vertical="top"/>
    </xf>
    <xf numFmtId="164" fontId="5" fillId="10" borderId="60" xfId="0" applyNumberFormat="1" applyFont="1" applyFill="1" applyBorder="1" applyAlignment="1">
      <alignment horizontal="right" vertical="top"/>
    </xf>
    <xf numFmtId="164" fontId="5" fillId="10" borderId="69" xfId="0" applyNumberFormat="1" applyFont="1" applyFill="1" applyBorder="1" applyAlignment="1">
      <alignment horizontal="right" vertical="top"/>
    </xf>
    <xf numFmtId="0" fontId="3" fillId="10" borderId="60" xfId="0" applyFont="1" applyFill="1" applyBorder="1" applyAlignment="1">
      <alignment vertical="top" wrapText="1"/>
    </xf>
    <xf numFmtId="3" fontId="3" fillId="10" borderId="2" xfId="0" applyNumberFormat="1" applyFont="1" applyFill="1" applyBorder="1" applyAlignment="1">
      <alignment horizontal="center" vertical="top" wrapText="1"/>
    </xf>
    <xf numFmtId="3" fontId="3" fillId="10" borderId="3" xfId="0" applyNumberFormat="1" applyFont="1" applyFill="1" applyBorder="1" applyAlignment="1">
      <alignment horizontal="center" vertical="top" wrapText="1"/>
    </xf>
    <xf numFmtId="164" fontId="3" fillId="7" borderId="50" xfId="0" applyNumberFormat="1" applyFont="1" applyFill="1" applyBorder="1" applyAlignment="1">
      <alignment horizontal="right" vertical="top"/>
    </xf>
    <xf numFmtId="164" fontId="22" fillId="7" borderId="19" xfId="0" applyNumberFormat="1" applyFont="1" applyFill="1" applyBorder="1" applyAlignment="1">
      <alignment horizontal="right" vertical="top"/>
    </xf>
    <xf numFmtId="164" fontId="22" fillId="7" borderId="11" xfId="0" applyNumberFormat="1" applyFont="1" applyFill="1" applyBorder="1" applyAlignment="1">
      <alignment horizontal="right" vertical="top"/>
    </xf>
    <xf numFmtId="164" fontId="22" fillId="7" borderId="50" xfId="0" applyNumberFormat="1" applyFont="1" applyFill="1" applyBorder="1" applyAlignment="1">
      <alignment horizontal="right" vertical="top"/>
    </xf>
    <xf numFmtId="164" fontId="22" fillId="7" borderId="49" xfId="0" applyNumberFormat="1" applyFont="1" applyFill="1" applyBorder="1" applyAlignment="1">
      <alignment horizontal="right" vertical="top"/>
    </xf>
    <xf numFmtId="164" fontId="22" fillId="7" borderId="47" xfId="0" applyNumberFormat="1" applyFont="1" applyFill="1" applyBorder="1" applyAlignment="1">
      <alignment horizontal="right" vertical="top"/>
    </xf>
    <xf numFmtId="164" fontId="22" fillId="7" borderId="20" xfId="0" applyNumberFormat="1" applyFont="1" applyFill="1" applyBorder="1" applyAlignment="1">
      <alignment horizontal="right" vertical="top"/>
    </xf>
    <xf numFmtId="164" fontId="22" fillId="7" borderId="48" xfId="0" applyNumberFormat="1" applyFont="1" applyFill="1" applyBorder="1" applyAlignment="1">
      <alignment horizontal="right" vertical="top"/>
    </xf>
    <xf numFmtId="164" fontId="22" fillId="7" borderId="29" xfId="0" applyNumberFormat="1" applyFont="1" applyFill="1" applyBorder="1" applyAlignment="1">
      <alignment horizontal="right" vertical="top"/>
    </xf>
    <xf numFmtId="164" fontId="22" fillId="7" borderId="36" xfId="0" applyNumberFormat="1" applyFont="1" applyFill="1" applyBorder="1" applyAlignment="1">
      <alignment horizontal="right" vertical="top"/>
    </xf>
    <xf numFmtId="164" fontId="5" fillId="7" borderId="12" xfId="0" applyNumberFormat="1" applyFont="1" applyFill="1" applyBorder="1" applyAlignment="1">
      <alignment horizontal="right" vertical="top"/>
    </xf>
    <xf numFmtId="164" fontId="5" fillId="7" borderId="13" xfId="0" applyNumberFormat="1" applyFont="1" applyFill="1" applyBorder="1" applyAlignment="1">
      <alignment horizontal="right" vertical="top"/>
    </xf>
    <xf numFmtId="164" fontId="5" fillId="7" borderId="15" xfId="0" applyNumberFormat="1" applyFont="1" applyFill="1" applyBorder="1" applyAlignment="1">
      <alignment horizontal="right" vertical="top"/>
    </xf>
    <xf numFmtId="164" fontId="5" fillId="7" borderId="42" xfId="0" applyNumberFormat="1" applyFont="1" applyFill="1" applyBorder="1" applyAlignment="1">
      <alignment horizontal="right" vertical="top"/>
    </xf>
    <xf numFmtId="164" fontId="3" fillId="7" borderId="26" xfId="0" applyNumberFormat="1" applyFont="1" applyFill="1" applyBorder="1" applyAlignment="1">
      <alignment horizontal="right" vertical="top"/>
    </xf>
    <xf numFmtId="164" fontId="3" fillId="7" borderId="43" xfId="0" applyNumberFormat="1" applyFont="1" applyFill="1" applyBorder="1" applyAlignment="1">
      <alignment horizontal="right" vertical="top"/>
    </xf>
    <xf numFmtId="167" fontId="3" fillId="7" borderId="64" xfId="1" applyNumberFormat="1" applyFont="1" applyFill="1" applyBorder="1" applyAlignment="1">
      <alignment horizontal="right" vertical="top"/>
    </xf>
    <xf numFmtId="167" fontId="3" fillId="7" borderId="13" xfId="1" applyNumberFormat="1" applyFont="1" applyFill="1" applyBorder="1" applyAlignment="1">
      <alignment horizontal="right" vertical="top"/>
    </xf>
    <xf numFmtId="167" fontId="3" fillId="7" borderId="14" xfId="1" applyNumberFormat="1" applyFont="1" applyFill="1" applyBorder="1" applyAlignment="1">
      <alignment horizontal="right" vertical="top"/>
    </xf>
    <xf numFmtId="168" fontId="3" fillId="7" borderId="12" xfId="1" applyNumberFormat="1" applyFont="1" applyFill="1" applyBorder="1" applyAlignment="1">
      <alignment horizontal="right" vertical="top"/>
    </xf>
    <xf numFmtId="164" fontId="5" fillId="9" borderId="22" xfId="0" applyNumberFormat="1" applyFont="1" applyFill="1" applyBorder="1" applyAlignment="1">
      <alignment horizontal="right" vertical="top"/>
    </xf>
    <xf numFmtId="164" fontId="5" fillId="10" borderId="61" xfId="0" applyNumberFormat="1" applyFont="1" applyFill="1" applyBorder="1" applyAlignment="1">
      <alignment horizontal="right" vertical="top"/>
    </xf>
    <xf numFmtId="164" fontId="5" fillId="10" borderId="59" xfId="0" applyNumberFormat="1" applyFont="1" applyFill="1" applyBorder="1" applyAlignment="1">
      <alignment horizontal="right" vertical="top"/>
    </xf>
    <xf numFmtId="164" fontId="5" fillId="10" borderId="65" xfId="0" applyNumberFormat="1" applyFont="1" applyFill="1" applyBorder="1" applyAlignment="1">
      <alignment horizontal="right" vertical="top"/>
    </xf>
    <xf numFmtId="0" fontId="3" fillId="10" borderId="9" xfId="0" applyFont="1" applyFill="1" applyBorder="1" applyAlignment="1">
      <alignment vertical="top" wrapText="1"/>
    </xf>
    <xf numFmtId="3" fontId="3" fillId="10" borderId="31" xfId="0" applyNumberFormat="1" applyFont="1" applyFill="1" applyBorder="1" applyAlignment="1">
      <alignment horizontal="center" vertical="top" wrapText="1"/>
    </xf>
    <xf numFmtId="3" fontId="3" fillId="10" borderId="32" xfId="0" applyNumberFormat="1" applyFont="1" applyFill="1" applyBorder="1" applyAlignment="1">
      <alignment horizontal="center" vertical="top" wrapText="1"/>
    </xf>
    <xf numFmtId="49" fontId="3" fillId="10" borderId="33" xfId="0" applyNumberFormat="1" applyFont="1" applyFill="1" applyBorder="1" applyAlignment="1">
      <alignment horizontal="center" vertical="top"/>
    </xf>
    <xf numFmtId="49" fontId="3" fillId="10" borderId="58" xfId="0" applyNumberFormat="1" applyFont="1" applyFill="1" applyBorder="1" applyAlignment="1">
      <alignment horizontal="center" vertical="top"/>
    </xf>
    <xf numFmtId="164" fontId="5" fillId="10" borderId="9" xfId="0" applyNumberFormat="1" applyFont="1" applyFill="1" applyBorder="1" applyAlignment="1">
      <alignment horizontal="right" vertical="top"/>
    </xf>
    <xf numFmtId="164" fontId="5" fillId="10" borderId="54" xfId="0" applyNumberFormat="1" applyFont="1" applyFill="1" applyBorder="1" applyAlignment="1">
      <alignment horizontal="right" vertical="top"/>
    </xf>
    <xf numFmtId="3" fontId="3" fillId="10" borderId="31" xfId="0" applyNumberFormat="1" applyFont="1" applyFill="1" applyBorder="1" applyAlignment="1">
      <alignment horizontal="center" vertical="top"/>
    </xf>
    <xf numFmtId="3" fontId="3" fillId="10" borderId="32" xfId="0" applyNumberFormat="1" applyFont="1" applyFill="1" applyBorder="1" applyAlignment="1">
      <alignment horizontal="center" vertical="top"/>
    </xf>
    <xf numFmtId="0" fontId="3" fillId="7" borderId="30" xfId="0" applyFont="1" applyFill="1" applyBorder="1" applyAlignment="1">
      <alignment vertical="top" wrapText="1"/>
    </xf>
    <xf numFmtId="3" fontId="3" fillId="7" borderId="29" xfId="0" applyNumberFormat="1" applyFont="1" applyFill="1" applyBorder="1" applyAlignment="1">
      <alignment horizontal="center" vertical="top"/>
    </xf>
    <xf numFmtId="3" fontId="3" fillId="7" borderId="28" xfId="0" applyNumberFormat="1" applyFont="1" applyFill="1" applyBorder="1" applyAlignment="1">
      <alignment horizontal="center" vertical="top"/>
    </xf>
    <xf numFmtId="49" fontId="5" fillId="10" borderId="62" xfId="0" applyNumberFormat="1" applyFont="1" applyFill="1" applyBorder="1" applyAlignment="1">
      <alignment horizontal="center" vertical="top" wrapText="1"/>
    </xf>
    <xf numFmtId="164" fontId="5" fillId="10" borderId="62" xfId="0" applyNumberFormat="1" applyFont="1" applyFill="1" applyBorder="1" applyAlignment="1">
      <alignment horizontal="right" vertical="top"/>
    </xf>
    <xf numFmtId="0" fontId="11" fillId="10" borderId="9" xfId="0" applyFont="1" applyFill="1" applyBorder="1" applyAlignment="1">
      <alignment vertical="top" wrapText="1"/>
    </xf>
    <xf numFmtId="165" fontId="9" fillId="10" borderId="31" xfId="0" applyNumberFormat="1" applyFont="1" applyFill="1" applyBorder="1" applyAlignment="1">
      <alignment vertical="top"/>
    </xf>
    <xf numFmtId="165" fontId="9" fillId="10" borderId="32" xfId="0" applyNumberFormat="1" applyFont="1" applyFill="1" applyBorder="1" applyAlignment="1">
      <alignment vertical="top"/>
    </xf>
    <xf numFmtId="49" fontId="5" fillId="10" borderId="33" xfId="0" applyNumberFormat="1" applyFont="1" applyFill="1" applyBorder="1" applyAlignment="1">
      <alignment horizontal="center" vertical="top"/>
    </xf>
    <xf numFmtId="164" fontId="3" fillId="0" borderId="44" xfId="0" applyNumberFormat="1" applyFont="1" applyFill="1" applyBorder="1" applyAlignment="1">
      <alignment horizontal="right" vertical="top"/>
    </xf>
    <xf numFmtId="49" fontId="5" fillId="10" borderId="62" xfId="0" applyNumberFormat="1" applyFont="1" applyFill="1" applyBorder="1" applyAlignment="1">
      <alignment vertical="top"/>
    </xf>
    <xf numFmtId="0" fontId="9" fillId="10" borderId="9" xfId="0" applyFont="1" applyFill="1" applyBorder="1" applyAlignment="1">
      <alignment horizontal="left" vertical="top" wrapText="1"/>
    </xf>
    <xf numFmtId="0" fontId="9" fillId="10" borderId="31" xfId="0" applyFont="1" applyFill="1" applyBorder="1" applyAlignment="1">
      <alignment horizontal="center" vertical="top" wrapText="1"/>
    </xf>
    <xf numFmtId="49" fontId="5" fillId="10" borderId="50" xfId="0" applyNumberFormat="1" applyFont="1" applyFill="1" applyBorder="1" applyAlignment="1">
      <alignment vertical="top"/>
    </xf>
    <xf numFmtId="49" fontId="5" fillId="10" borderId="58" xfId="0" applyNumberFormat="1" applyFont="1" applyFill="1" applyBorder="1" applyAlignment="1">
      <alignment vertical="top"/>
    </xf>
    <xf numFmtId="49" fontId="5" fillId="10" borderId="33" xfId="0" applyNumberFormat="1" applyFont="1" applyFill="1" applyBorder="1" applyAlignment="1">
      <alignment vertical="top"/>
    </xf>
    <xf numFmtId="164" fontId="5" fillId="10" borderId="33" xfId="0" applyNumberFormat="1" applyFont="1" applyFill="1" applyBorder="1" applyAlignment="1">
      <alignment horizontal="right" vertical="top"/>
    </xf>
    <xf numFmtId="164" fontId="5" fillId="10" borderId="70" xfId="0" applyNumberFormat="1" applyFont="1" applyFill="1" applyBorder="1" applyAlignment="1">
      <alignment horizontal="right" vertical="top"/>
    </xf>
    <xf numFmtId="0" fontId="3" fillId="3" borderId="39" xfId="0" applyFont="1" applyFill="1" applyBorder="1" applyAlignment="1">
      <alignment vertical="top" wrapText="1"/>
    </xf>
    <xf numFmtId="0" fontId="3" fillId="0" borderId="71" xfId="0" applyFont="1" applyFill="1" applyBorder="1" applyAlignment="1">
      <alignment horizontal="center" vertical="center" textRotation="90" wrapText="1"/>
    </xf>
    <xf numFmtId="49" fontId="3" fillId="0" borderId="39" xfId="0" applyNumberFormat="1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/>
    </xf>
    <xf numFmtId="49" fontId="3" fillId="0" borderId="23" xfId="0" applyNumberFormat="1" applyFont="1" applyBorder="1" applyAlignment="1">
      <alignment horizontal="center" vertical="top" wrapText="1"/>
    </xf>
    <xf numFmtId="165" fontId="3" fillId="10" borderId="31" xfId="0" applyNumberFormat="1" applyFont="1" applyFill="1" applyBorder="1" applyAlignment="1">
      <alignment horizontal="center" vertical="top"/>
    </xf>
    <xf numFmtId="165" fontId="3" fillId="10" borderId="32" xfId="0" applyNumberFormat="1" applyFont="1" applyFill="1" applyBorder="1" applyAlignment="1">
      <alignment horizontal="center" vertical="top"/>
    </xf>
    <xf numFmtId="49" fontId="3" fillId="0" borderId="26" xfId="0" applyNumberFormat="1" applyFont="1" applyBorder="1" applyAlignment="1">
      <alignment vertical="top" wrapText="1"/>
    </xf>
    <xf numFmtId="49" fontId="3" fillId="0" borderId="29" xfId="0" applyNumberFormat="1" applyFont="1" applyBorder="1" applyAlignment="1">
      <alignment vertical="top" wrapText="1"/>
    </xf>
    <xf numFmtId="49" fontId="5" fillId="0" borderId="24" xfId="0" applyNumberFormat="1" applyFont="1" applyBorder="1" applyAlignment="1">
      <alignment horizontal="center" vertical="top"/>
    </xf>
    <xf numFmtId="0" fontId="3" fillId="0" borderId="68" xfId="0" applyFont="1" applyBorder="1" applyAlignment="1">
      <alignment vertical="top"/>
    </xf>
    <xf numFmtId="0" fontId="3" fillId="0" borderId="79" xfId="0" applyFont="1" applyBorder="1" applyAlignment="1">
      <alignment vertical="top"/>
    </xf>
    <xf numFmtId="0" fontId="3" fillId="8" borderId="29" xfId="0" applyFont="1" applyFill="1" applyBorder="1" applyAlignment="1">
      <alignment vertical="top"/>
    </xf>
    <xf numFmtId="0" fontId="3" fillId="8" borderId="79" xfId="0" applyFont="1" applyFill="1" applyBorder="1" applyAlignment="1">
      <alignment vertical="top"/>
    </xf>
    <xf numFmtId="0" fontId="3" fillId="0" borderId="24" xfId="0" applyFont="1" applyBorder="1" applyAlignment="1">
      <alignment vertical="top"/>
    </xf>
    <xf numFmtId="0" fontId="3" fillId="0" borderId="7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66" xfId="0" applyFont="1" applyBorder="1" applyAlignment="1">
      <alignment vertical="top"/>
    </xf>
    <xf numFmtId="0" fontId="3" fillId="0" borderId="39" xfId="0" applyFont="1" applyBorder="1" applyAlignment="1">
      <alignment vertical="top"/>
    </xf>
    <xf numFmtId="0" fontId="3" fillId="0" borderId="16" xfId="0" applyFont="1" applyBorder="1" applyAlignment="1">
      <alignment vertical="top"/>
    </xf>
    <xf numFmtId="0" fontId="3" fillId="8" borderId="1" xfId="0" applyFont="1" applyFill="1" applyBorder="1" applyAlignment="1">
      <alignment vertical="top"/>
    </xf>
    <xf numFmtId="0" fontId="3" fillId="8" borderId="66" xfId="0" applyFont="1" applyFill="1" applyBorder="1" applyAlignment="1">
      <alignment vertical="top"/>
    </xf>
    <xf numFmtId="0" fontId="3" fillId="0" borderId="23" xfId="0" applyFont="1" applyBorder="1" applyAlignment="1">
      <alignment vertical="top"/>
    </xf>
    <xf numFmtId="0" fontId="3" fillId="0" borderId="28" xfId="0" applyFont="1" applyBorder="1" applyAlignment="1">
      <alignment vertical="top"/>
    </xf>
    <xf numFmtId="49" fontId="3" fillId="0" borderId="50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0" fontId="3" fillId="3" borderId="18" xfId="0" applyFont="1" applyFill="1" applyBorder="1" applyAlignment="1">
      <alignment vertical="top" wrapText="1"/>
    </xf>
    <xf numFmtId="49" fontId="5" fillId="0" borderId="21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3" fillId="0" borderId="48" xfId="0" applyNumberFormat="1" applyFont="1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10" borderId="11" xfId="0" applyNumberFormat="1" applyFont="1" applyFill="1" applyBorder="1" applyAlignment="1">
      <alignment horizontal="center" vertical="top"/>
    </xf>
    <xf numFmtId="49" fontId="3" fillId="0" borderId="43" xfId="0" applyNumberFormat="1" applyFont="1" applyBorder="1" applyAlignment="1">
      <alignment horizontal="center" vertical="top" wrapText="1"/>
    </xf>
    <xf numFmtId="49" fontId="3" fillId="0" borderId="58" xfId="0" applyNumberFormat="1" applyFont="1" applyBorder="1" applyAlignment="1">
      <alignment horizontal="center" vertical="top" wrapText="1"/>
    </xf>
    <xf numFmtId="0" fontId="5" fillId="0" borderId="51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0" fontId="5" fillId="0" borderId="68" xfId="0" applyFont="1" applyFill="1" applyBorder="1" applyAlignment="1">
      <alignment horizontal="center" vertical="top" wrapText="1"/>
    </xf>
    <xf numFmtId="49" fontId="5" fillId="3" borderId="29" xfId="0" applyNumberFormat="1" applyFont="1" applyFill="1" applyBorder="1" applyAlignment="1">
      <alignment horizontal="center" vertical="top"/>
    </xf>
    <xf numFmtId="49" fontId="5" fillId="9" borderId="35" xfId="0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/>
    </xf>
    <xf numFmtId="0" fontId="3" fillId="0" borderId="16" xfId="0" applyFont="1" applyFill="1" applyBorder="1" applyAlignment="1">
      <alignment horizontal="left" vertical="top" wrapText="1"/>
    </xf>
    <xf numFmtId="0" fontId="5" fillId="0" borderId="46" xfId="0" applyFont="1" applyFill="1" applyBorder="1" applyAlignment="1">
      <alignment horizontal="center" vertical="top" wrapText="1"/>
    </xf>
    <xf numFmtId="3" fontId="3" fillId="0" borderId="18" xfId="0" applyNumberFormat="1" applyFont="1" applyFill="1" applyBorder="1" applyAlignment="1">
      <alignment horizontal="center" vertical="top"/>
    </xf>
    <xf numFmtId="49" fontId="3" fillId="0" borderId="11" xfId="0" applyNumberFormat="1" applyFont="1" applyFill="1" applyBorder="1" applyAlignment="1">
      <alignment horizontal="center" vertical="top"/>
    </xf>
    <xf numFmtId="49" fontId="3" fillId="0" borderId="18" xfId="0" applyNumberFormat="1" applyFont="1" applyFill="1" applyBorder="1" applyAlignment="1">
      <alignment horizontal="center" vertical="top"/>
    </xf>
    <xf numFmtId="0" fontId="3" fillId="7" borderId="24" xfId="0" applyFont="1" applyFill="1" applyBorder="1" applyAlignment="1">
      <alignment horizontal="center" vertical="top"/>
    </xf>
    <xf numFmtId="164" fontId="3" fillId="7" borderId="35" xfId="0" applyNumberFormat="1" applyFont="1" applyFill="1" applyBorder="1" applyAlignment="1">
      <alignment horizontal="right" vertical="top" wrapText="1"/>
    </xf>
    <xf numFmtId="164" fontId="3" fillId="7" borderId="6" xfId="0" applyNumberFormat="1" applyFont="1" applyFill="1" applyBorder="1" applyAlignment="1">
      <alignment horizontal="right" vertical="top" wrapText="1"/>
    </xf>
    <xf numFmtId="0" fontId="3" fillId="0" borderId="81" xfId="0" applyFont="1" applyFill="1" applyBorder="1" applyAlignment="1">
      <alignment horizontal="center" vertical="top"/>
    </xf>
    <xf numFmtId="164" fontId="3" fillId="7" borderId="82" xfId="0" applyNumberFormat="1" applyFont="1" applyFill="1" applyBorder="1" applyAlignment="1">
      <alignment horizontal="right" vertical="top"/>
    </xf>
    <xf numFmtId="164" fontId="3" fillId="7" borderId="83" xfId="0" applyNumberFormat="1" applyFont="1" applyFill="1" applyBorder="1" applyAlignment="1">
      <alignment horizontal="right" vertical="top"/>
    </xf>
    <xf numFmtId="164" fontId="3" fillId="7" borderId="84" xfId="0" applyNumberFormat="1" applyFont="1" applyFill="1" applyBorder="1" applyAlignment="1">
      <alignment horizontal="right" vertical="top"/>
    </xf>
    <xf numFmtId="164" fontId="3" fillId="0" borderId="82" xfId="0" applyNumberFormat="1" applyFont="1" applyBorder="1" applyAlignment="1">
      <alignment horizontal="right" vertical="top"/>
    </xf>
    <xf numFmtId="164" fontId="3" fillId="0" borderId="83" xfId="0" applyNumberFormat="1" applyFont="1" applyBorder="1" applyAlignment="1">
      <alignment horizontal="right" vertical="top"/>
    </xf>
    <xf numFmtId="164" fontId="3" fillId="0" borderId="85" xfId="0" applyNumberFormat="1" applyFont="1" applyBorder="1" applyAlignment="1">
      <alignment horizontal="right" vertical="top"/>
    </xf>
    <xf numFmtId="164" fontId="3" fillId="8" borderId="86" xfId="0" applyNumberFormat="1" applyFont="1" applyFill="1" applyBorder="1" applyAlignment="1">
      <alignment horizontal="right" vertical="top"/>
    </xf>
    <xf numFmtId="164" fontId="3" fillId="8" borderId="83" xfId="0" applyNumberFormat="1" applyFont="1" applyFill="1" applyBorder="1" applyAlignment="1">
      <alignment horizontal="right" vertical="top"/>
    </xf>
    <xf numFmtId="164" fontId="3" fillId="8" borderId="84" xfId="0" applyNumberFormat="1" applyFont="1" applyFill="1" applyBorder="1" applyAlignment="1">
      <alignment horizontal="right" vertical="top"/>
    </xf>
    <xf numFmtId="164" fontId="3" fillId="3" borderId="81" xfId="0" applyNumberFormat="1" applyFont="1" applyFill="1" applyBorder="1" applyAlignment="1">
      <alignment horizontal="right" vertical="top" wrapText="1"/>
    </xf>
    <xf numFmtId="0" fontId="3" fillId="0" borderId="87" xfId="0" applyFont="1" applyFill="1" applyBorder="1" applyAlignment="1">
      <alignment vertical="top" wrapText="1"/>
    </xf>
    <xf numFmtId="3" fontId="3" fillId="0" borderId="88" xfId="0" applyNumberFormat="1" applyFont="1" applyFill="1" applyBorder="1" applyAlignment="1">
      <alignment horizontal="center" vertical="center"/>
    </xf>
    <xf numFmtId="3" fontId="3" fillId="0" borderId="89" xfId="0" applyNumberFormat="1" applyFont="1" applyFill="1" applyBorder="1" applyAlignment="1">
      <alignment horizontal="center" vertical="center"/>
    </xf>
    <xf numFmtId="3" fontId="3" fillId="0" borderId="88" xfId="0" applyNumberFormat="1" applyFont="1" applyFill="1" applyBorder="1" applyAlignment="1">
      <alignment horizontal="center" vertical="top"/>
    </xf>
    <xf numFmtId="3" fontId="3" fillId="0" borderId="89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49" fontId="3" fillId="0" borderId="43" xfId="0" applyNumberFormat="1" applyFont="1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49" fontId="5" fillId="0" borderId="18" xfId="0" applyNumberFormat="1" applyFont="1" applyBorder="1" applyAlignment="1">
      <alignment horizontal="center" vertical="top"/>
    </xf>
    <xf numFmtId="0" fontId="5" fillId="3" borderId="18" xfId="0" applyFont="1" applyFill="1" applyBorder="1" applyAlignment="1">
      <alignment vertical="top" wrapText="1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3" fontId="3" fillId="0" borderId="17" xfId="0" applyNumberFormat="1" applyFont="1" applyFill="1" applyBorder="1" applyAlignment="1">
      <alignment horizontal="center" vertical="top"/>
    </xf>
    <xf numFmtId="0" fontId="3" fillId="0" borderId="30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center" vertical="top"/>
    </xf>
    <xf numFmtId="165" fontId="3" fillId="0" borderId="13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left" vertical="top" wrapText="1"/>
    </xf>
    <xf numFmtId="165" fontId="3" fillId="0" borderId="15" xfId="0" applyNumberFormat="1" applyFont="1" applyFill="1" applyBorder="1" applyAlignment="1">
      <alignment horizontal="center" vertical="top"/>
    </xf>
    <xf numFmtId="165" fontId="3" fillId="0" borderId="17" xfId="0" applyNumberFormat="1" applyFont="1" applyFill="1" applyBorder="1" applyAlignment="1">
      <alignment horizontal="center" vertical="top"/>
    </xf>
    <xf numFmtId="0" fontId="3" fillId="0" borderId="46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center" vertical="center" textRotation="90" wrapText="1"/>
    </xf>
    <xf numFmtId="49" fontId="5" fillId="0" borderId="11" xfId="0" applyNumberFormat="1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 textRotation="90" wrapText="1"/>
    </xf>
    <xf numFmtId="0" fontId="3" fillId="7" borderId="23" xfId="0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25" fillId="7" borderId="31" xfId="0" applyNumberFormat="1" applyFont="1" applyFill="1" applyBorder="1" applyAlignment="1">
      <alignment vertical="center" textRotation="90"/>
    </xf>
    <xf numFmtId="0" fontId="25" fillId="7" borderId="32" xfId="0" applyNumberFormat="1" applyFont="1" applyFill="1" applyBorder="1" applyAlignment="1">
      <alignment vertical="center" textRotation="90"/>
    </xf>
    <xf numFmtId="164" fontId="3" fillId="0" borderId="28" xfId="0" applyNumberFormat="1" applyFont="1" applyBorder="1" applyAlignment="1">
      <alignment horizontal="right" vertical="top"/>
    </xf>
    <xf numFmtId="164" fontId="3" fillId="0" borderId="91" xfId="0" applyNumberFormat="1" applyFont="1" applyBorder="1" applyAlignment="1">
      <alignment horizontal="right" vertical="top"/>
    </xf>
    <xf numFmtId="164" fontId="3" fillId="0" borderId="92" xfId="0" applyNumberFormat="1" applyFont="1" applyBorder="1" applyAlignment="1">
      <alignment horizontal="right" vertical="top"/>
    </xf>
    <xf numFmtId="164" fontId="3" fillId="0" borderId="93" xfId="0" applyNumberFormat="1" applyFont="1" applyBorder="1" applyAlignment="1">
      <alignment horizontal="right" vertical="top"/>
    </xf>
    <xf numFmtId="164" fontId="3" fillId="0" borderId="94" xfId="0" applyNumberFormat="1" applyFont="1" applyBorder="1" applyAlignment="1">
      <alignment horizontal="right" vertical="top"/>
    </xf>
    <xf numFmtId="164" fontId="3" fillId="3" borderId="90" xfId="0" applyNumberFormat="1" applyFont="1" applyFill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7" borderId="39" xfId="0" applyFont="1" applyFill="1" applyBorder="1" applyAlignment="1">
      <alignment vertical="top" wrapText="1"/>
    </xf>
    <xf numFmtId="0" fontId="11" fillId="0" borderId="55" xfId="0" applyFont="1" applyBorder="1" applyAlignment="1">
      <alignment horizontal="center" vertical="top"/>
    </xf>
    <xf numFmtId="0" fontId="5" fillId="0" borderId="16" xfId="0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/>
    </xf>
    <xf numFmtId="0" fontId="9" fillId="7" borderId="29" xfId="0" applyNumberFormat="1" applyFont="1" applyFill="1" applyBorder="1" applyAlignment="1">
      <alignment vertical="center" textRotation="90"/>
    </xf>
    <xf numFmtId="0" fontId="3" fillId="7" borderId="29" xfId="0" applyNumberFormat="1" applyFont="1" applyFill="1" applyBorder="1" applyAlignment="1">
      <alignment horizontal="center" vertical="top"/>
    </xf>
    <xf numFmtId="164" fontId="3" fillId="8" borderId="92" xfId="0" applyNumberFormat="1" applyFont="1" applyFill="1" applyBorder="1" applyAlignment="1">
      <alignment horizontal="right" vertical="top"/>
    </xf>
    <xf numFmtId="164" fontId="3" fillId="8" borderId="93" xfId="0" applyNumberFormat="1" applyFont="1" applyFill="1" applyBorder="1" applyAlignment="1">
      <alignment horizontal="right" vertical="top"/>
    </xf>
    <xf numFmtId="164" fontId="3" fillId="8" borderId="36" xfId="0" applyNumberFormat="1" applyFont="1" applyFill="1" applyBorder="1" applyAlignment="1">
      <alignment horizontal="right" vertical="top"/>
    </xf>
    <xf numFmtId="164" fontId="24" fillId="8" borderId="1" xfId="0" applyNumberFormat="1" applyFont="1" applyFill="1" applyBorder="1" applyAlignment="1">
      <alignment horizontal="right" vertical="top"/>
    </xf>
    <xf numFmtId="164" fontId="24" fillId="8" borderId="37" xfId="0" applyNumberFormat="1" applyFont="1" applyFill="1" applyBorder="1" applyAlignment="1">
      <alignment horizontal="right" vertical="top"/>
    </xf>
    <xf numFmtId="0" fontId="19" fillId="0" borderId="11" xfId="0" applyNumberFormat="1" applyFont="1" applyFill="1" applyBorder="1" applyAlignment="1">
      <alignment horizontal="center" vertical="top"/>
    </xf>
    <xf numFmtId="0" fontId="3" fillId="7" borderId="1" xfId="0" applyNumberFormat="1" applyFont="1" applyFill="1" applyBorder="1" applyAlignment="1">
      <alignment vertical="center"/>
    </xf>
    <xf numFmtId="0" fontId="3" fillId="7" borderId="17" xfId="0" applyNumberFormat="1" applyFont="1" applyFill="1" applyBorder="1" applyAlignment="1">
      <alignment vertical="center"/>
    </xf>
    <xf numFmtId="164" fontId="3" fillId="3" borderId="72" xfId="0" applyNumberFormat="1" applyFont="1" applyFill="1" applyBorder="1" applyAlignment="1">
      <alignment horizontal="right" vertical="top" wrapText="1"/>
    </xf>
    <xf numFmtId="164" fontId="3" fillId="3" borderId="71" xfId="0" applyNumberFormat="1" applyFont="1" applyFill="1" applyBorder="1" applyAlignment="1">
      <alignment horizontal="right" vertical="top" wrapText="1"/>
    </xf>
    <xf numFmtId="164" fontId="3" fillId="3" borderId="98" xfId="0" applyNumberFormat="1" applyFont="1" applyFill="1" applyBorder="1" applyAlignment="1">
      <alignment horizontal="right" vertical="top" wrapText="1"/>
    </xf>
    <xf numFmtId="164" fontId="3" fillId="3" borderId="51" xfId="0" applyNumberFormat="1" applyFont="1" applyFill="1" applyBorder="1" applyAlignment="1">
      <alignment horizontal="right" vertical="top" wrapText="1"/>
    </xf>
    <xf numFmtId="164" fontId="3" fillId="8" borderId="99" xfId="0" applyNumberFormat="1" applyFont="1" applyFill="1" applyBorder="1" applyAlignment="1">
      <alignment horizontal="right" vertical="top"/>
    </xf>
    <xf numFmtId="164" fontId="3" fillId="0" borderId="45" xfId="0" applyNumberFormat="1" applyFont="1" applyFill="1" applyBorder="1" applyAlignment="1">
      <alignment horizontal="right" vertical="top"/>
    </xf>
    <xf numFmtId="0" fontId="18" fillId="0" borderId="38" xfId="0" applyFont="1" applyFill="1" applyBorder="1" applyAlignment="1">
      <alignment horizontal="left" vertical="top" wrapText="1"/>
    </xf>
    <xf numFmtId="3" fontId="3" fillId="7" borderId="20" xfId="0" applyNumberFormat="1" applyFont="1" applyFill="1" applyBorder="1" applyAlignment="1">
      <alignment horizontal="center" vertical="top"/>
    </xf>
    <xf numFmtId="3" fontId="3" fillId="7" borderId="21" xfId="0" applyNumberFormat="1" applyFont="1" applyFill="1" applyBorder="1" applyAlignment="1">
      <alignment horizontal="center" vertical="top"/>
    </xf>
    <xf numFmtId="3" fontId="3" fillId="7" borderId="1" xfId="0" applyNumberFormat="1" applyFont="1" applyFill="1" applyBorder="1" applyAlignment="1">
      <alignment horizontal="center" vertical="top"/>
    </xf>
    <xf numFmtId="3" fontId="3" fillId="7" borderId="17" xfId="0" applyNumberFormat="1" applyFont="1" applyFill="1" applyBorder="1" applyAlignment="1">
      <alignment horizontal="center" vertical="top"/>
    </xf>
    <xf numFmtId="0" fontId="3" fillId="0" borderId="51" xfId="0" applyFont="1" applyFill="1" applyBorder="1" applyAlignment="1">
      <alignment horizontal="center" vertical="top"/>
    </xf>
    <xf numFmtId="164" fontId="3" fillId="0" borderId="7" xfId="0" applyNumberFormat="1" applyFont="1" applyBorder="1" applyAlignment="1">
      <alignment horizontal="right" vertical="top"/>
    </xf>
    <xf numFmtId="0" fontId="3" fillId="0" borderId="101" xfId="0" applyFont="1" applyFill="1" applyBorder="1" applyAlignment="1">
      <alignment horizontal="center" vertical="top"/>
    </xf>
    <xf numFmtId="164" fontId="3" fillId="7" borderId="102" xfId="0" applyNumberFormat="1" applyFont="1" applyFill="1" applyBorder="1" applyAlignment="1">
      <alignment horizontal="right" vertical="top"/>
    </xf>
    <xf numFmtId="164" fontId="3" fillId="7" borderId="103" xfId="0" applyNumberFormat="1" applyFont="1" applyFill="1" applyBorder="1" applyAlignment="1">
      <alignment horizontal="right" vertical="top"/>
    </xf>
    <xf numFmtId="164" fontId="3" fillId="0" borderId="104" xfId="0" applyNumberFormat="1" applyFont="1" applyBorder="1" applyAlignment="1">
      <alignment horizontal="right" vertical="top"/>
    </xf>
    <xf numFmtId="164" fontId="3" fillId="0" borderId="102" xfId="0" applyNumberFormat="1" applyFont="1" applyBorder="1" applyAlignment="1">
      <alignment horizontal="right" vertical="top"/>
    </xf>
    <xf numFmtId="164" fontId="3" fillId="0" borderId="103" xfId="0" applyNumberFormat="1" applyFont="1" applyBorder="1" applyAlignment="1">
      <alignment horizontal="right" vertical="top"/>
    </xf>
    <xf numFmtId="164" fontId="3" fillId="8" borderId="102" xfId="0" applyNumberFormat="1" applyFont="1" applyFill="1" applyBorder="1" applyAlignment="1">
      <alignment horizontal="right" vertical="top"/>
    </xf>
    <xf numFmtId="164" fontId="3" fillId="8" borderId="103" xfId="0" applyNumberFormat="1" applyFont="1" applyFill="1" applyBorder="1" applyAlignment="1">
      <alignment horizontal="right" vertical="top"/>
    </xf>
    <xf numFmtId="164" fontId="3" fillId="3" borderId="100" xfId="0" applyNumberFormat="1" applyFont="1" applyFill="1" applyBorder="1" applyAlignment="1">
      <alignment horizontal="right" vertical="top" wrapText="1"/>
    </xf>
    <xf numFmtId="0" fontId="3" fillId="0" borderId="98" xfId="0" applyFont="1" applyFill="1" applyBorder="1" applyAlignment="1">
      <alignment horizontal="center" vertical="top"/>
    </xf>
    <xf numFmtId="164" fontId="3" fillId="0" borderId="84" xfId="0" applyNumberFormat="1" applyFont="1" applyBorder="1" applyAlignment="1">
      <alignment horizontal="right" vertical="top"/>
    </xf>
    <xf numFmtId="164" fontId="3" fillId="8" borderId="82" xfId="0" applyNumberFormat="1" applyFont="1" applyFill="1" applyBorder="1" applyAlignment="1">
      <alignment horizontal="right" vertical="top"/>
    </xf>
    <xf numFmtId="164" fontId="3" fillId="3" borderId="82" xfId="0" applyNumberFormat="1" applyFont="1" applyFill="1" applyBorder="1" applyAlignment="1">
      <alignment horizontal="right" vertical="top"/>
    </xf>
    <xf numFmtId="0" fontId="3" fillId="8" borderId="39" xfId="0" applyFont="1" applyFill="1" applyBorder="1" applyAlignment="1">
      <alignment vertical="top"/>
    </xf>
    <xf numFmtId="0" fontId="3" fillId="8" borderId="36" xfId="0" applyFont="1" applyFill="1" applyBorder="1" applyAlignment="1">
      <alignment vertical="top"/>
    </xf>
    <xf numFmtId="164" fontId="3" fillId="8" borderId="104" xfId="0" applyNumberFormat="1" applyFont="1" applyFill="1" applyBorder="1" applyAlignment="1">
      <alignment horizontal="right" vertical="top"/>
    </xf>
    <xf numFmtId="164" fontId="3" fillId="3" borderId="106" xfId="0" applyNumberFormat="1" applyFont="1" applyFill="1" applyBorder="1" applyAlignment="1">
      <alignment horizontal="right" vertical="top" wrapText="1"/>
    </xf>
    <xf numFmtId="164" fontId="3" fillId="7" borderId="36" xfId="0" applyNumberFormat="1" applyFont="1" applyFill="1" applyBorder="1" applyAlignment="1">
      <alignment horizontal="right" vertical="top"/>
    </xf>
    <xf numFmtId="164" fontId="3" fillId="3" borderId="107" xfId="0" applyNumberFormat="1" applyFont="1" applyFill="1" applyBorder="1" applyAlignment="1">
      <alignment horizontal="right" vertical="top" wrapText="1"/>
    </xf>
    <xf numFmtId="164" fontId="3" fillId="0" borderId="24" xfId="0" applyNumberFormat="1" applyFont="1" applyFill="1" applyBorder="1" applyAlignment="1">
      <alignment horizontal="right" vertical="top"/>
    </xf>
    <xf numFmtId="49" fontId="5" fillId="0" borderId="50" xfId="0" applyNumberFormat="1" applyFont="1" applyBorder="1" applyAlignment="1">
      <alignment horizontal="center" vertical="top" wrapText="1"/>
    </xf>
    <xf numFmtId="49" fontId="5" fillId="0" borderId="43" xfId="0" applyNumberFormat="1" applyFont="1" applyBorder="1" applyAlignment="1">
      <alignment horizontal="center" vertical="top" wrapText="1"/>
    </xf>
    <xf numFmtId="164" fontId="3" fillId="7" borderId="53" xfId="0" applyNumberFormat="1" applyFont="1" applyFill="1" applyBorder="1" applyAlignment="1">
      <alignment horizontal="right" vertical="top"/>
    </xf>
    <xf numFmtId="164" fontId="3" fillId="0" borderId="5" xfId="0" applyNumberFormat="1" applyFont="1" applyFill="1" applyBorder="1" applyAlignment="1">
      <alignment horizontal="right" vertical="top"/>
    </xf>
    <xf numFmtId="164" fontId="5" fillId="0" borderId="52" xfId="0" applyNumberFormat="1" applyFont="1" applyFill="1" applyBorder="1" applyAlignment="1">
      <alignment horizontal="right" vertical="top"/>
    </xf>
    <xf numFmtId="164" fontId="3" fillId="8" borderId="53" xfId="0" applyNumberFormat="1" applyFont="1" applyFill="1" applyBorder="1" applyAlignment="1">
      <alignment horizontal="right" vertical="top"/>
    </xf>
    <xf numFmtId="49" fontId="5" fillId="0" borderId="13" xfId="0" applyNumberFormat="1" applyFont="1" applyBorder="1" applyAlignment="1">
      <alignment vertical="top"/>
    </xf>
    <xf numFmtId="0" fontId="5" fillId="3" borderId="15" xfId="0" applyFont="1" applyFill="1" applyBorder="1" applyAlignment="1">
      <alignment horizontal="left" vertical="top" wrapText="1"/>
    </xf>
    <xf numFmtId="0" fontId="3" fillId="0" borderId="72" xfId="0" applyFont="1" applyFill="1" applyBorder="1" applyAlignment="1">
      <alignment horizontal="center" vertical="center" textRotation="90" wrapText="1"/>
    </xf>
    <xf numFmtId="49" fontId="3" fillId="0" borderId="14" xfId="0" applyNumberFormat="1" applyFont="1" applyBorder="1" applyAlignment="1">
      <alignment horizontal="center" vertical="top" wrapText="1"/>
    </xf>
    <xf numFmtId="49" fontId="5" fillId="0" borderId="15" xfId="0" applyNumberFormat="1" applyFont="1" applyBorder="1" applyAlignment="1">
      <alignment horizontal="center" vertical="top"/>
    </xf>
    <xf numFmtId="49" fontId="3" fillId="0" borderId="20" xfId="0" applyNumberFormat="1" applyFont="1" applyFill="1" applyBorder="1" applyAlignment="1">
      <alignment horizontal="center" vertical="top"/>
    </xf>
    <xf numFmtId="49" fontId="3" fillId="0" borderId="21" xfId="0" applyNumberFormat="1" applyFont="1" applyFill="1" applyBorder="1" applyAlignment="1">
      <alignment horizontal="center" vertical="top"/>
    </xf>
    <xf numFmtId="49" fontId="3" fillId="0" borderId="29" xfId="0" applyNumberFormat="1" applyFont="1" applyFill="1" applyBorder="1" applyAlignment="1">
      <alignment horizontal="center" vertical="top"/>
    </xf>
    <xf numFmtId="49" fontId="3" fillId="0" borderId="28" xfId="0" applyNumberFormat="1" applyFont="1" applyFill="1" applyBorder="1" applyAlignment="1">
      <alignment horizontal="center" vertical="top"/>
    </xf>
    <xf numFmtId="0" fontId="3" fillId="0" borderId="95" xfId="0" applyFont="1" applyFill="1" applyBorder="1" applyAlignment="1">
      <alignment horizontal="left" vertical="top" wrapText="1"/>
    </xf>
    <xf numFmtId="49" fontId="3" fillId="0" borderId="96" xfId="0" applyNumberFormat="1" applyFont="1" applyFill="1" applyBorder="1" applyAlignment="1">
      <alignment horizontal="center" vertical="top"/>
    </xf>
    <xf numFmtId="49" fontId="3" fillId="0" borderId="97" xfId="0" applyNumberFormat="1" applyFont="1" applyFill="1" applyBorder="1" applyAlignment="1">
      <alignment horizontal="center" vertical="top"/>
    </xf>
    <xf numFmtId="0" fontId="5" fillId="3" borderId="15" xfId="0" applyFont="1" applyFill="1" applyBorder="1" applyAlignment="1">
      <alignment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5" fillId="0" borderId="13" xfId="0" applyNumberFormat="1" applyFont="1" applyBorder="1" applyAlignment="1">
      <alignment horizontal="center" vertical="top"/>
    </xf>
    <xf numFmtId="0" fontId="3" fillId="0" borderId="37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3" fillId="0" borderId="54" xfId="0" applyFont="1" applyFill="1" applyBorder="1" applyAlignment="1">
      <alignment vertical="top" wrapText="1"/>
    </xf>
    <xf numFmtId="0" fontId="3" fillId="8" borderId="37" xfId="0" applyFont="1" applyFill="1" applyBorder="1" applyAlignment="1">
      <alignment vertical="top"/>
    </xf>
    <xf numFmtId="0" fontId="0" fillId="0" borderId="9" xfId="0" applyBorder="1" applyAlignment="1">
      <alignment vertical="top" wrapText="1"/>
    </xf>
    <xf numFmtId="0" fontId="17" fillId="0" borderId="31" xfId="0" applyFont="1" applyBorder="1" applyAlignment="1">
      <alignment vertical="center" textRotation="90" wrapText="1"/>
    </xf>
    <xf numFmtId="164" fontId="3" fillId="7" borderId="95" xfId="0" applyNumberFormat="1" applyFont="1" applyFill="1" applyBorder="1" applyAlignment="1">
      <alignment horizontal="right" vertical="top"/>
    </xf>
    <xf numFmtId="164" fontId="3" fillId="7" borderId="96" xfId="0" applyNumberFormat="1" applyFont="1" applyFill="1" applyBorder="1" applyAlignment="1">
      <alignment horizontal="right" vertical="top"/>
    </xf>
    <xf numFmtId="164" fontId="3" fillId="7" borderId="109" xfId="0" applyNumberFormat="1" applyFont="1" applyFill="1" applyBorder="1" applyAlignment="1">
      <alignment horizontal="right" vertical="top"/>
    </xf>
    <xf numFmtId="164" fontId="3" fillId="3" borderId="95" xfId="0" applyNumberFormat="1" applyFont="1" applyFill="1" applyBorder="1" applyAlignment="1">
      <alignment horizontal="right" vertical="top"/>
    </xf>
    <xf numFmtId="164" fontId="3" fillId="3" borderId="96" xfId="0" applyNumberFormat="1" applyFont="1" applyFill="1" applyBorder="1" applyAlignment="1">
      <alignment horizontal="right" vertical="top"/>
    </xf>
    <xf numFmtId="164" fontId="3" fillId="3" borderId="97" xfId="0" applyNumberFormat="1" applyFont="1" applyFill="1" applyBorder="1" applyAlignment="1">
      <alignment horizontal="right" vertical="top"/>
    </xf>
    <xf numFmtId="164" fontId="3" fillId="8" borderId="110" xfId="0" applyNumberFormat="1" applyFont="1" applyFill="1" applyBorder="1" applyAlignment="1">
      <alignment horizontal="right" vertical="top"/>
    </xf>
    <xf numFmtId="164" fontId="3" fillId="8" borderId="96" xfId="0" applyNumberFormat="1" applyFont="1" applyFill="1" applyBorder="1" applyAlignment="1">
      <alignment horizontal="right" vertical="top"/>
    </xf>
    <xf numFmtId="164" fontId="3" fillId="8" borderId="109" xfId="0" applyNumberFormat="1" applyFont="1" applyFill="1" applyBorder="1" applyAlignment="1">
      <alignment horizontal="right" vertical="top"/>
    </xf>
    <xf numFmtId="164" fontId="3" fillId="3" borderId="108" xfId="0" applyNumberFormat="1" applyFont="1" applyFill="1" applyBorder="1" applyAlignment="1">
      <alignment horizontal="right" vertical="top" wrapText="1"/>
    </xf>
    <xf numFmtId="164" fontId="3" fillId="3" borderId="111" xfId="0" applyNumberFormat="1" applyFont="1" applyFill="1" applyBorder="1" applyAlignment="1">
      <alignment horizontal="right" vertical="top" wrapText="1"/>
    </xf>
    <xf numFmtId="3" fontId="3" fillId="7" borderId="96" xfId="0" applyNumberFormat="1" applyFont="1" applyFill="1" applyBorder="1" applyAlignment="1">
      <alignment horizontal="center" vertical="top"/>
    </xf>
    <xf numFmtId="3" fontId="3" fillId="7" borderId="97" xfId="0" applyNumberFormat="1" applyFont="1" applyFill="1" applyBorder="1" applyAlignment="1">
      <alignment horizontal="center" vertical="top"/>
    </xf>
    <xf numFmtId="164" fontId="3" fillId="3" borderId="29" xfId="0" applyNumberFormat="1" applyFont="1" applyFill="1" applyBorder="1" applyAlignment="1">
      <alignment horizontal="right" vertical="top"/>
    </xf>
    <xf numFmtId="164" fontId="5" fillId="7" borderId="29" xfId="0" applyNumberFormat="1" applyFont="1" applyFill="1" applyBorder="1" applyAlignment="1">
      <alignment horizontal="right" vertical="top"/>
    </xf>
    <xf numFmtId="49" fontId="5" fillId="3" borderId="1" xfId="0" applyNumberFormat="1" applyFont="1" applyFill="1" applyBorder="1" applyAlignment="1">
      <alignment horizontal="center" vertical="top"/>
    </xf>
    <xf numFmtId="164" fontId="3" fillId="3" borderId="83" xfId="0" applyNumberFormat="1" applyFont="1" applyFill="1" applyBorder="1" applyAlignment="1">
      <alignment horizontal="right" vertical="top"/>
    </xf>
    <xf numFmtId="164" fontId="3" fillId="3" borderId="85" xfId="0" applyNumberFormat="1" applyFont="1" applyFill="1" applyBorder="1" applyAlignment="1">
      <alignment horizontal="right" vertical="top"/>
    </xf>
    <xf numFmtId="0" fontId="3" fillId="7" borderId="82" xfId="0" applyFont="1" applyFill="1" applyBorder="1" applyAlignment="1">
      <alignment horizontal="left" vertical="top" wrapText="1"/>
    </xf>
    <xf numFmtId="3" fontId="3" fillId="7" borderId="83" xfId="0" applyNumberFormat="1" applyFont="1" applyFill="1" applyBorder="1" applyAlignment="1">
      <alignment horizontal="center" vertical="top"/>
    </xf>
    <xf numFmtId="3" fontId="3" fillId="7" borderId="85" xfId="0" applyNumberFormat="1" applyFont="1" applyFill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center" textRotation="90" wrapText="1"/>
    </xf>
    <xf numFmtId="49" fontId="3" fillId="0" borderId="29" xfId="0" applyNumberFormat="1" applyFont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top"/>
    </xf>
    <xf numFmtId="49" fontId="5" fillId="0" borderId="50" xfId="0" applyNumberFormat="1" applyFont="1" applyBorder="1" applyAlignment="1">
      <alignment vertical="top"/>
    </xf>
    <xf numFmtId="49" fontId="5" fillId="0" borderId="48" xfId="0" applyNumberFormat="1" applyFont="1" applyBorder="1" applyAlignment="1">
      <alignment vertical="top"/>
    </xf>
    <xf numFmtId="0" fontId="3" fillId="0" borderId="55" xfId="0" applyFont="1" applyFill="1" applyBorder="1" applyAlignment="1">
      <alignment horizontal="center" vertical="top"/>
    </xf>
    <xf numFmtId="164" fontId="3" fillId="0" borderId="79" xfId="0" applyNumberFormat="1" applyFont="1" applyBorder="1" applyAlignment="1">
      <alignment horizontal="right" vertical="top"/>
    </xf>
    <xf numFmtId="164" fontId="3" fillId="8" borderId="55" xfId="0" applyNumberFormat="1" applyFont="1" applyFill="1" applyBorder="1" applyAlignment="1">
      <alignment horizontal="right" vertical="top"/>
    </xf>
    <xf numFmtId="0" fontId="3" fillId="0" borderId="3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textRotation="90" shrinkToFit="1"/>
    </xf>
    <xf numFmtId="0" fontId="3" fillId="0" borderId="3" xfId="0" applyFont="1" applyBorder="1" applyAlignment="1">
      <alignment horizontal="center" vertical="center" textRotation="90" shrinkToFit="1"/>
    </xf>
    <xf numFmtId="164" fontId="3" fillId="0" borderId="96" xfId="0" applyNumberFormat="1" applyFont="1" applyFill="1" applyBorder="1" applyAlignment="1">
      <alignment horizontal="right" vertical="top"/>
    </xf>
    <xf numFmtId="164" fontId="3" fillId="3" borderId="109" xfId="0" applyNumberFormat="1" applyFont="1" applyFill="1" applyBorder="1" applyAlignment="1">
      <alignment horizontal="right" vertical="top"/>
    </xf>
    <xf numFmtId="164" fontId="3" fillId="8" borderId="95" xfId="0" applyNumberFormat="1" applyFont="1" applyFill="1" applyBorder="1" applyAlignment="1">
      <alignment horizontal="right" vertical="top"/>
    </xf>
    <xf numFmtId="164" fontId="3" fillId="3" borderId="111" xfId="0" applyNumberFormat="1" applyFont="1" applyFill="1" applyBorder="1" applyAlignment="1">
      <alignment horizontal="right" vertical="top"/>
    </xf>
    <xf numFmtId="0" fontId="3" fillId="0" borderId="108" xfId="0" applyFont="1" applyFill="1" applyBorder="1" applyAlignment="1">
      <alignment horizontal="center" vertical="top"/>
    </xf>
    <xf numFmtId="164" fontId="22" fillId="7" borderId="96" xfId="0" applyNumberFormat="1" applyFont="1" applyFill="1" applyBorder="1" applyAlignment="1">
      <alignment horizontal="right" vertical="top"/>
    </xf>
    <xf numFmtId="164" fontId="22" fillId="7" borderId="97" xfId="0" applyNumberFormat="1" applyFont="1" applyFill="1" applyBorder="1" applyAlignment="1">
      <alignment horizontal="right" vertical="top"/>
    </xf>
    <xf numFmtId="164" fontId="22" fillId="8" borderId="96" xfId="0" applyNumberFormat="1" applyFont="1" applyFill="1" applyBorder="1" applyAlignment="1">
      <alignment horizontal="right" vertical="top"/>
    </xf>
    <xf numFmtId="164" fontId="22" fillId="8" borderId="109" xfId="0" applyNumberFormat="1" applyFont="1" applyFill="1" applyBorder="1" applyAlignment="1">
      <alignment horizontal="right" vertical="top"/>
    </xf>
    <xf numFmtId="164" fontId="5" fillId="8" borderId="43" xfId="0" applyNumberFormat="1" applyFont="1" applyFill="1" applyBorder="1" applyAlignment="1">
      <alignment horizontal="right" vertical="top"/>
    </xf>
    <xf numFmtId="49" fontId="3" fillId="0" borderId="13" xfId="0" applyNumberFormat="1" applyFont="1" applyBorder="1" applyAlignment="1">
      <alignment horizontal="center" vertical="top"/>
    </xf>
    <xf numFmtId="49" fontId="5" fillId="0" borderId="72" xfId="0" applyNumberFormat="1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vertical="top" wrapText="1"/>
    </xf>
    <xf numFmtId="3" fontId="3" fillId="0" borderId="13" xfId="0" applyNumberFormat="1" applyFont="1" applyFill="1" applyBorder="1" applyAlignment="1">
      <alignment horizontal="center" vertical="top"/>
    </xf>
    <xf numFmtId="3" fontId="3" fillId="0" borderId="15" xfId="0" applyNumberFormat="1" applyFont="1" applyFill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0" fontId="3" fillId="0" borderId="7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left" vertical="top" wrapText="1"/>
    </xf>
    <xf numFmtId="49" fontId="5" fillId="10" borderId="11" xfId="0" applyNumberFormat="1" applyFont="1" applyFill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center" textRotation="90" wrapText="1"/>
    </xf>
    <xf numFmtId="49" fontId="5" fillId="3" borderId="20" xfId="0" applyNumberFormat="1" applyFont="1" applyFill="1" applyBorder="1" applyAlignment="1">
      <alignment horizontal="center" vertical="top"/>
    </xf>
    <xf numFmtId="49" fontId="5" fillId="3" borderId="11" xfId="0" applyNumberFormat="1" applyFont="1" applyFill="1" applyBorder="1" applyAlignment="1">
      <alignment horizontal="center" vertical="top"/>
    </xf>
    <xf numFmtId="49" fontId="5" fillId="10" borderId="50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 wrapText="1"/>
    </xf>
    <xf numFmtId="49" fontId="5" fillId="3" borderId="48" xfId="0" applyNumberFormat="1" applyFont="1" applyFill="1" applyBorder="1" applyAlignment="1">
      <alignment horizontal="center" vertical="top"/>
    </xf>
    <xf numFmtId="0" fontId="3" fillId="0" borderId="30" xfId="0" applyFont="1" applyFill="1" applyBorder="1" applyAlignment="1">
      <alignment horizontal="center" vertical="center" textRotation="90" wrapText="1"/>
    </xf>
    <xf numFmtId="0" fontId="5" fillId="0" borderId="38" xfId="0" applyFont="1" applyFill="1" applyBorder="1" applyAlignment="1">
      <alignment horizontal="center" vertical="top" wrapText="1"/>
    </xf>
    <xf numFmtId="49" fontId="3" fillId="0" borderId="20" xfId="0" applyNumberFormat="1" applyFont="1" applyBorder="1" applyAlignment="1">
      <alignment horizontal="center" vertical="top"/>
    </xf>
    <xf numFmtId="0" fontId="3" fillId="3" borderId="7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horizontal="center" vertical="top" wrapText="1"/>
    </xf>
    <xf numFmtId="49" fontId="5" fillId="0" borderId="48" xfId="0" applyNumberFormat="1" applyFont="1" applyBorder="1" applyAlignment="1">
      <alignment horizontal="center" vertical="top"/>
    </xf>
    <xf numFmtId="0" fontId="3" fillId="7" borderId="87" xfId="0" applyFont="1" applyFill="1" applyBorder="1" applyAlignment="1">
      <alignment vertical="top" wrapText="1"/>
    </xf>
    <xf numFmtId="3" fontId="3" fillId="7" borderId="112" xfId="0" applyNumberFormat="1" applyFont="1" applyFill="1" applyBorder="1" applyAlignment="1">
      <alignment horizontal="center" vertical="top" wrapText="1"/>
    </xf>
    <xf numFmtId="3" fontId="3" fillId="7" borderId="88" xfId="0" applyNumberFormat="1" applyFont="1" applyFill="1" applyBorder="1" applyAlignment="1">
      <alignment horizontal="center" vertical="top" wrapText="1"/>
    </xf>
    <xf numFmtId="3" fontId="3" fillId="7" borderId="89" xfId="0" applyNumberFormat="1" applyFont="1" applyFill="1" applyBorder="1" applyAlignment="1">
      <alignment horizontal="center" vertical="top" wrapText="1"/>
    </xf>
    <xf numFmtId="164" fontId="5" fillId="8" borderId="14" xfId="0" applyNumberFormat="1" applyFont="1" applyFill="1" applyBorder="1" applyAlignment="1">
      <alignment horizontal="right" vertical="top"/>
    </xf>
    <xf numFmtId="164" fontId="5" fillId="3" borderId="73" xfId="0" applyNumberFormat="1" applyFont="1" applyFill="1" applyBorder="1" applyAlignment="1">
      <alignment horizontal="right" vertical="top"/>
    </xf>
    <xf numFmtId="3" fontId="3" fillId="0" borderId="13" xfId="0" applyNumberFormat="1" applyFont="1" applyFill="1" applyBorder="1" applyAlignment="1">
      <alignment horizontal="center" vertical="top" wrapText="1"/>
    </xf>
    <xf numFmtId="3" fontId="3" fillId="0" borderId="15" xfId="0" applyNumberFormat="1" applyFont="1" applyFill="1" applyBorder="1" applyAlignment="1">
      <alignment horizontal="center" vertical="top" wrapText="1"/>
    </xf>
    <xf numFmtId="164" fontId="3" fillId="3" borderId="38" xfId="0" applyNumberFormat="1" applyFont="1" applyFill="1" applyBorder="1" applyAlignment="1">
      <alignment horizontal="right" vertical="top"/>
    </xf>
    <xf numFmtId="164" fontId="22" fillId="8" borderId="110" xfId="0" applyNumberFormat="1" applyFont="1" applyFill="1" applyBorder="1" applyAlignment="1">
      <alignment horizontal="right" vertical="top"/>
    </xf>
    <xf numFmtId="0" fontId="3" fillId="7" borderId="108" xfId="0" applyFont="1" applyFill="1" applyBorder="1" applyAlignment="1">
      <alignment horizontal="center" vertical="top"/>
    </xf>
    <xf numFmtId="164" fontId="22" fillId="7" borderId="110" xfId="0" applyNumberFormat="1" applyFont="1" applyFill="1" applyBorder="1" applyAlignment="1">
      <alignment horizontal="right" vertical="top"/>
    </xf>
    <xf numFmtId="0" fontId="3" fillId="0" borderId="108" xfId="0" applyFont="1" applyFill="1" applyBorder="1" applyAlignment="1">
      <alignment horizontal="center" vertical="top" wrapText="1"/>
    </xf>
    <xf numFmtId="164" fontId="22" fillId="7" borderId="109" xfId="0" applyNumberFormat="1" applyFont="1" applyFill="1" applyBorder="1" applyAlignment="1">
      <alignment horizontal="right" vertical="top"/>
    </xf>
    <xf numFmtId="164" fontId="3" fillId="7" borderId="97" xfId="0" applyNumberFormat="1" applyFont="1" applyFill="1" applyBorder="1" applyAlignment="1">
      <alignment horizontal="right" vertical="top"/>
    </xf>
    <xf numFmtId="49" fontId="3" fillId="3" borderId="20" xfId="0" applyNumberFormat="1" applyFont="1" applyFill="1" applyBorder="1" applyAlignment="1">
      <alignment horizontal="center" vertical="top"/>
    </xf>
    <xf numFmtId="3" fontId="3" fillId="3" borderId="13" xfId="0" applyNumberFormat="1" applyFont="1" applyFill="1" applyBorder="1" applyAlignment="1">
      <alignment horizontal="center" vertical="top"/>
    </xf>
    <xf numFmtId="3" fontId="3" fillId="3" borderId="15" xfId="0" applyNumberFormat="1" applyFont="1" applyFill="1" applyBorder="1" applyAlignment="1">
      <alignment horizontal="center" vertical="top"/>
    </xf>
    <xf numFmtId="49" fontId="3" fillId="3" borderId="10" xfId="0" applyNumberFormat="1" applyFont="1" applyFill="1" applyBorder="1" applyAlignment="1">
      <alignment horizontal="center" vertical="top" wrapText="1"/>
    </xf>
    <xf numFmtId="164" fontId="3" fillId="7" borderId="110" xfId="0" applyNumberFormat="1" applyFont="1" applyFill="1" applyBorder="1" applyAlignment="1">
      <alignment horizontal="right" vertical="top"/>
    </xf>
    <xf numFmtId="164" fontId="3" fillId="3" borderId="79" xfId="0" applyNumberFormat="1" applyFont="1" applyFill="1" applyBorder="1" applyAlignment="1">
      <alignment horizontal="right" vertical="top"/>
    </xf>
    <xf numFmtId="164" fontId="3" fillId="3" borderId="113" xfId="0" applyNumberFormat="1" applyFont="1" applyFill="1" applyBorder="1" applyAlignment="1">
      <alignment horizontal="right" vertical="top" wrapText="1"/>
    </xf>
    <xf numFmtId="164" fontId="3" fillId="3" borderId="114" xfId="0" applyNumberFormat="1" applyFont="1" applyFill="1" applyBorder="1" applyAlignment="1">
      <alignment horizontal="right" vertical="top" wrapText="1"/>
    </xf>
    <xf numFmtId="164" fontId="5" fillId="10" borderId="76" xfId="0" applyNumberFormat="1" applyFont="1" applyFill="1" applyBorder="1" applyAlignment="1">
      <alignment horizontal="right" vertical="top"/>
    </xf>
    <xf numFmtId="0" fontId="3" fillId="7" borderId="95" xfId="0" applyFont="1" applyFill="1" applyBorder="1" applyAlignment="1">
      <alignment horizontal="left" vertical="top" wrapText="1"/>
    </xf>
    <xf numFmtId="164" fontId="3" fillId="0" borderId="96" xfId="0" applyNumberFormat="1" applyFont="1" applyBorder="1" applyAlignment="1">
      <alignment horizontal="right" vertical="top"/>
    </xf>
    <xf numFmtId="164" fontId="3" fillId="0" borderId="97" xfId="0" applyNumberFormat="1" applyFont="1" applyBorder="1" applyAlignment="1">
      <alignment horizontal="right" vertical="top"/>
    </xf>
    <xf numFmtId="0" fontId="5" fillId="7" borderId="36" xfId="0" applyFont="1" applyFill="1" applyBorder="1" applyAlignment="1">
      <alignment vertical="top" wrapText="1"/>
    </xf>
    <xf numFmtId="164" fontId="22" fillId="8" borderId="49" xfId="0" applyNumberFormat="1" applyFont="1" applyFill="1" applyBorder="1" applyAlignment="1">
      <alignment horizontal="right" vertical="top"/>
    </xf>
    <xf numFmtId="0" fontId="3" fillId="0" borderId="81" xfId="0" applyFont="1" applyFill="1" applyBorder="1" applyAlignment="1">
      <alignment horizontal="center" vertical="top" wrapText="1"/>
    </xf>
    <xf numFmtId="164" fontId="3" fillId="7" borderId="86" xfId="0" applyNumberFormat="1" applyFont="1" applyFill="1" applyBorder="1" applyAlignment="1">
      <alignment horizontal="right" vertical="top"/>
    </xf>
    <xf numFmtId="164" fontId="3" fillId="0" borderId="83" xfId="0" applyNumberFormat="1" applyFont="1" applyFill="1" applyBorder="1" applyAlignment="1">
      <alignment horizontal="right" vertical="top"/>
    </xf>
    <xf numFmtId="0" fontId="3" fillId="0" borderId="81" xfId="0" applyFont="1" applyBorder="1" applyAlignment="1">
      <alignment horizontal="center" vertical="top"/>
    </xf>
    <xf numFmtId="0" fontId="9" fillId="0" borderId="29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top"/>
    </xf>
    <xf numFmtId="0" fontId="3" fillId="0" borderId="108" xfId="0" applyFont="1" applyBorder="1" applyAlignment="1">
      <alignment horizontal="center" vertical="top"/>
    </xf>
    <xf numFmtId="164" fontId="3" fillId="0" borderId="95" xfId="0" applyNumberFormat="1" applyFont="1" applyBorder="1" applyAlignment="1">
      <alignment horizontal="right" vertical="top"/>
    </xf>
    <xf numFmtId="164" fontId="3" fillId="0" borderId="108" xfId="0" applyNumberFormat="1" applyFont="1" applyFill="1" applyBorder="1" applyAlignment="1">
      <alignment horizontal="right" vertical="top"/>
    </xf>
    <xf numFmtId="164" fontId="3" fillId="0" borderId="111" xfId="0" applyNumberFormat="1" applyFont="1" applyFill="1" applyBorder="1" applyAlignment="1">
      <alignment horizontal="right" vertical="top"/>
    </xf>
    <xf numFmtId="164" fontId="3" fillId="0" borderId="28" xfId="0" applyNumberFormat="1" applyFont="1" applyFill="1" applyBorder="1" applyAlignment="1">
      <alignment horizontal="right" vertical="top"/>
    </xf>
    <xf numFmtId="164" fontId="3" fillId="0" borderId="97" xfId="0" applyNumberFormat="1" applyFont="1" applyFill="1" applyBorder="1" applyAlignment="1">
      <alignment horizontal="right" vertical="top"/>
    </xf>
    <xf numFmtId="164" fontId="5" fillId="10" borderId="49" xfId="0" applyNumberFormat="1" applyFont="1" applyFill="1" applyBorder="1" applyAlignment="1">
      <alignment horizontal="right" vertical="top"/>
    </xf>
    <xf numFmtId="3" fontId="3" fillId="3" borderId="11" xfId="0" applyNumberFormat="1" applyFont="1" applyFill="1" applyBorder="1" applyAlignment="1">
      <alignment horizontal="center" wrapText="1"/>
    </xf>
    <xf numFmtId="49" fontId="5" fillId="10" borderId="33" xfId="0" applyNumberFormat="1" applyFont="1" applyFill="1" applyBorder="1" applyAlignment="1">
      <alignment horizontal="center" vertical="top" wrapText="1"/>
    </xf>
    <xf numFmtId="164" fontId="22" fillId="7" borderId="30" xfId="0" applyNumberFormat="1" applyFont="1" applyFill="1" applyBorder="1" applyAlignment="1">
      <alignment horizontal="right" vertical="top"/>
    </xf>
    <xf numFmtId="0" fontId="3" fillId="7" borderId="18" xfId="0" applyFont="1" applyFill="1" applyBorder="1" applyAlignment="1">
      <alignment horizontal="left" vertical="top" wrapText="1"/>
    </xf>
    <xf numFmtId="3" fontId="3" fillId="7" borderId="19" xfId="0" applyNumberFormat="1" applyFont="1" applyFill="1" applyBorder="1" applyAlignment="1">
      <alignment horizontal="center" vertical="top" wrapText="1"/>
    </xf>
    <xf numFmtId="3" fontId="3" fillId="7" borderId="28" xfId="0" applyNumberFormat="1" applyFont="1" applyFill="1" applyBorder="1" applyAlignment="1">
      <alignment horizontal="center" vertical="top" wrapText="1"/>
    </xf>
    <xf numFmtId="164" fontId="3" fillId="7" borderId="85" xfId="0" applyNumberFormat="1" applyFont="1" applyFill="1" applyBorder="1" applyAlignment="1">
      <alignment horizontal="right" vertical="top"/>
    </xf>
    <xf numFmtId="164" fontId="3" fillId="0" borderId="86" xfId="0" applyNumberFormat="1" applyFont="1" applyBorder="1" applyAlignment="1">
      <alignment horizontal="right" vertical="top"/>
    </xf>
    <xf numFmtId="164" fontId="3" fillId="3" borderId="84" xfId="0" applyNumberFormat="1" applyFont="1" applyFill="1" applyBorder="1" applyAlignment="1">
      <alignment horizontal="right" vertical="top"/>
    </xf>
    <xf numFmtId="164" fontId="3" fillId="0" borderId="106" xfId="0" applyNumberFormat="1" applyFont="1" applyFill="1" applyBorder="1" applyAlignment="1">
      <alignment horizontal="right" vertical="top"/>
    </xf>
    <xf numFmtId="0" fontId="3" fillId="0" borderId="82" xfId="0" applyFont="1" applyFill="1" applyBorder="1" applyAlignment="1">
      <alignment horizontal="left" vertical="top" wrapText="1"/>
    </xf>
    <xf numFmtId="3" fontId="3" fillId="0" borderId="29" xfId="0" applyNumberFormat="1" applyFont="1" applyFill="1" applyBorder="1" applyAlignment="1">
      <alignment horizontal="center" wrapText="1"/>
    </xf>
    <xf numFmtId="3" fontId="3" fillId="0" borderId="28" xfId="0" applyNumberFormat="1" applyFont="1" applyFill="1" applyBorder="1" applyAlignment="1">
      <alignment horizontal="center" wrapText="1"/>
    </xf>
    <xf numFmtId="0" fontId="3" fillId="0" borderId="30" xfId="0" applyFont="1" applyBorder="1" applyAlignment="1">
      <alignment vertical="top" wrapText="1"/>
    </xf>
    <xf numFmtId="164" fontId="3" fillId="7" borderId="63" xfId="0" applyNumberFormat="1" applyFont="1" applyFill="1" applyBorder="1" applyAlignment="1">
      <alignment horizontal="right" vertical="top"/>
    </xf>
    <xf numFmtId="0" fontId="3" fillId="7" borderId="38" xfId="0" applyFont="1" applyFill="1" applyBorder="1" applyAlignment="1">
      <alignment vertical="top" wrapText="1"/>
    </xf>
    <xf numFmtId="3" fontId="3" fillId="7" borderId="47" xfId="0" applyNumberFormat="1" applyFont="1" applyFill="1" applyBorder="1" applyAlignment="1">
      <alignment horizontal="center" vertical="top" wrapText="1"/>
    </xf>
    <xf numFmtId="3" fontId="3" fillId="7" borderId="20" xfId="0" applyNumberFormat="1" applyFont="1" applyFill="1" applyBorder="1" applyAlignment="1">
      <alignment horizontal="center" vertical="top" wrapText="1"/>
    </xf>
    <xf numFmtId="3" fontId="3" fillId="7" borderId="21" xfId="0" applyNumberFormat="1" applyFont="1" applyFill="1" applyBorder="1" applyAlignment="1">
      <alignment horizontal="center" vertical="top" wrapText="1"/>
    </xf>
    <xf numFmtId="0" fontId="3" fillId="7" borderId="102" xfId="0" applyFont="1" applyFill="1" applyBorder="1" applyAlignment="1">
      <alignment horizontal="left" vertical="top" wrapText="1"/>
    </xf>
    <xf numFmtId="49" fontId="5" fillId="3" borderId="29" xfId="0" applyNumberFormat="1" applyFont="1" applyFill="1" applyBorder="1" applyAlignment="1">
      <alignment horizontal="center" vertical="top" wrapText="1"/>
    </xf>
    <xf numFmtId="3" fontId="3" fillId="3" borderId="11" xfId="0" applyNumberFormat="1" applyFont="1" applyFill="1" applyBorder="1" applyAlignment="1">
      <alignment horizontal="center" vertical="top" wrapText="1" shrinkToFit="1"/>
    </xf>
    <xf numFmtId="0" fontId="3" fillId="0" borderId="0" xfId="0" applyFont="1" applyBorder="1" applyAlignment="1"/>
    <xf numFmtId="3" fontId="3" fillId="3" borderId="18" xfId="0" applyNumberFormat="1" applyFont="1" applyFill="1" applyBorder="1" applyAlignment="1">
      <alignment horizontal="center"/>
    </xf>
    <xf numFmtId="0" fontId="15" fillId="0" borderId="38" xfId="0" applyFont="1" applyFill="1" applyBorder="1" applyAlignment="1">
      <alignment horizontal="center" vertical="top" wrapText="1"/>
    </xf>
    <xf numFmtId="164" fontId="3" fillId="7" borderId="112" xfId="0" applyNumberFormat="1" applyFont="1" applyFill="1" applyBorder="1" applyAlignment="1">
      <alignment horizontal="right" vertical="top"/>
    </xf>
    <xf numFmtId="164" fontId="3" fillId="7" borderId="87" xfId="0" applyNumberFormat="1" applyFont="1" applyFill="1" applyBorder="1" applyAlignment="1">
      <alignment horizontal="right" vertical="top"/>
    </xf>
    <xf numFmtId="164" fontId="3" fillId="8" borderId="112" xfId="0" applyNumberFormat="1" applyFont="1" applyFill="1" applyBorder="1" applyAlignment="1">
      <alignment horizontal="right" vertical="top"/>
    </xf>
    <xf numFmtId="164" fontId="3" fillId="8" borderId="88" xfId="0" applyNumberFormat="1" applyFont="1" applyFill="1" applyBorder="1" applyAlignment="1">
      <alignment horizontal="right" vertical="top"/>
    </xf>
    <xf numFmtId="164" fontId="3" fillId="3" borderId="115" xfId="0" applyNumberFormat="1" applyFont="1" applyFill="1" applyBorder="1" applyAlignment="1">
      <alignment horizontal="right" vertical="top" wrapText="1"/>
    </xf>
    <xf numFmtId="0" fontId="3" fillId="0" borderId="115" xfId="0" applyFont="1" applyFill="1" applyBorder="1" applyAlignment="1">
      <alignment horizontal="center" vertical="top" wrapText="1"/>
    </xf>
    <xf numFmtId="164" fontId="3" fillId="7" borderId="88" xfId="0" applyNumberFormat="1" applyFont="1" applyFill="1" applyBorder="1" applyAlignment="1">
      <alignment horizontal="right" vertical="top"/>
    </xf>
    <xf numFmtId="164" fontId="3" fillId="7" borderId="89" xfId="0" applyNumberFormat="1" applyFont="1" applyFill="1" applyBorder="1" applyAlignment="1">
      <alignment horizontal="right" vertical="top"/>
    </xf>
    <xf numFmtId="164" fontId="3" fillId="0" borderId="88" xfId="0" applyNumberFormat="1" applyFont="1" applyFill="1" applyBorder="1" applyAlignment="1">
      <alignment horizontal="right" vertical="top"/>
    </xf>
    <xf numFmtId="164" fontId="3" fillId="3" borderId="89" xfId="0" applyNumberFormat="1" applyFont="1" applyFill="1" applyBorder="1" applyAlignment="1">
      <alignment horizontal="right" vertical="top"/>
    </xf>
    <xf numFmtId="164" fontId="3" fillId="0" borderId="55" xfId="0" applyNumberFormat="1" applyFont="1" applyFill="1" applyBorder="1" applyAlignment="1">
      <alignment horizontal="right" vertical="top"/>
    </xf>
    <xf numFmtId="3" fontId="3" fillId="7" borderId="29" xfId="0" applyNumberFormat="1" applyFont="1" applyFill="1" applyBorder="1" applyAlignment="1">
      <alignment horizontal="center" wrapText="1"/>
    </xf>
    <xf numFmtId="164" fontId="3" fillId="0" borderId="84" xfId="0" applyNumberFormat="1" applyFont="1" applyFill="1" applyBorder="1" applyAlignment="1">
      <alignment horizontal="right" vertical="top"/>
    </xf>
    <xf numFmtId="0" fontId="5" fillId="3" borderId="30" xfId="0" applyFont="1" applyFill="1" applyBorder="1" applyAlignment="1">
      <alignment vertical="top" wrapText="1"/>
    </xf>
    <xf numFmtId="49" fontId="3" fillId="3" borderId="29" xfId="0" applyNumberFormat="1" applyFont="1" applyFill="1" applyBorder="1" applyAlignment="1">
      <alignment vertical="top" wrapText="1"/>
    </xf>
    <xf numFmtId="49" fontId="5" fillId="3" borderId="36" xfId="0" applyNumberFormat="1" applyFont="1" applyFill="1" applyBorder="1" applyAlignment="1">
      <alignment vertical="top"/>
    </xf>
    <xf numFmtId="0" fontId="3" fillId="0" borderId="55" xfId="0" applyFont="1" applyBorder="1" applyAlignment="1">
      <alignment horizontal="center" vertical="top"/>
    </xf>
    <xf numFmtId="164" fontId="3" fillId="3" borderId="81" xfId="0" applyNumberFormat="1" applyFont="1" applyFill="1" applyBorder="1" applyAlignment="1">
      <alignment horizontal="right" vertical="top"/>
    </xf>
    <xf numFmtId="164" fontId="3" fillId="3" borderId="55" xfId="0" applyNumberFormat="1" applyFont="1" applyFill="1" applyBorder="1" applyAlignment="1">
      <alignment horizontal="right" vertical="top"/>
    </xf>
    <xf numFmtId="0" fontId="3" fillId="3" borderId="39" xfId="0" applyFont="1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/>
    </xf>
    <xf numFmtId="49" fontId="9" fillId="0" borderId="23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3" fontId="3" fillId="3" borderId="17" xfId="0" applyNumberFormat="1" applyFont="1" applyFill="1" applyBorder="1" applyAlignment="1">
      <alignment horizontal="center" vertical="top" wrapText="1"/>
    </xf>
    <xf numFmtId="0" fontId="3" fillId="0" borderId="98" xfId="0" applyFont="1" applyFill="1" applyBorder="1" applyAlignment="1">
      <alignment horizontal="center" vertical="top" wrapText="1"/>
    </xf>
    <xf numFmtId="3" fontId="3" fillId="3" borderId="29" xfId="0" applyNumberFormat="1" applyFont="1" applyFill="1" applyBorder="1" applyAlignment="1">
      <alignment horizontal="center" vertical="center"/>
    </xf>
    <xf numFmtId="3" fontId="3" fillId="3" borderId="28" xfId="0" applyNumberFormat="1" applyFont="1" applyFill="1" applyBorder="1" applyAlignment="1">
      <alignment horizontal="center" vertical="center"/>
    </xf>
    <xf numFmtId="164" fontId="3" fillId="0" borderId="36" xfId="0" applyNumberFormat="1" applyFont="1" applyFill="1" applyBorder="1" applyAlignment="1">
      <alignment horizontal="right" vertical="top"/>
    </xf>
    <xf numFmtId="3" fontId="3" fillId="3" borderId="83" xfId="0" applyNumberFormat="1" applyFont="1" applyFill="1" applyBorder="1" applyAlignment="1">
      <alignment horizontal="center" vertical="top"/>
    </xf>
    <xf numFmtId="3" fontId="3" fillId="3" borderId="85" xfId="0" applyNumberFormat="1" applyFont="1" applyFill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10" borderId="11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49" fontId="5" fillId="3" borderId="29" xfId="0" applyNumberFormat="1" applyFont="1" applyFill="1" applyBorder="1" applyAlignment="1">
      <alignment horizontal="center" vertical="top"/>
    </xf>
    <xf numFmtId="0" fontId="3" fillId="0" borderId="30" xfId="0" applyFont="1" applyFill="1" applyBorder="1" applyAlignment="1">
      <alignment horizontal="center" vertical="center" textRotation="90" wrapText="1"/>
    </xf>
    <xf numFmtId="49" fontId="5" fillId="3" borderId="11" xfId="0" applyNumberFormat="1" applyFont="1" applyFill="1" applyBorder="1" applyAlignment="1">
      <alignment horizontal="center" vertical="top"/>
    </xf>
    <xf numFmtId="49" fontId="5" fillId="9" borderId="5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10" borderId="26" xfId="0" applyNumberFormat="1" applyFont="1" applyFill="1" applyBorder="1" applyAlignment="1">
      <alignment horizontal="center" vertical="top"/>
    </xf>
    <xf numFmtId="49" fontId="5" fillId="10" borderId="50" xfId="0" applyNumberFormat="1" applyFont="1" applyFill="1" applyBorder="1" applyAlignment="1">
      <alignment horizontal="center" vertical="top"/>
    </xf>
    <xf numFmtId="0" fontId="29" fillId="0" borderId="35" xfId="0" applyFont="1" applyFill="1" applyBorder="1" applyAlignment="1">
      <alignment horizontal="center" vertical="top" textRotation="90" wrapText="1"/>
    </xf>
    <xf numFmtId="0" fontId="7" fillId="3" borderId="12" xfId="0" applyFont="1" applyFill="1" applyBorder="1" applyAlignment="1">
      <alignment horizontal="center" vertical="center" textRotation="90" wrapText="1"/>
    </xf>
    <xf numFmtId="0" fontId="9" fillId="3" borderId="29" xfId="0" applyFont="1" applyFill="1" applyBorder="1" applyAlignment="1">
      <alignment horizontal="center" wrapText="1"/>
    </xf>
    <xf numFmtId="0" fontId="9" fillId="3" borderId="28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center" vertical="center" wrapText="1"/>
    </xf>
    <xf numFmtId="164" fontId="3" fillId="0" borderId="103" xfId="0" applyNumberFormat="1" applyFont="1" applyFill="1" applyBorder="1" applyAlignment="1">
      <alignment horizontal="right" vertical="top"/>
    </xf>
    <xf numFmtId="164" fontId="3" fillId="3" borderId="104" xfId="0" applyNumberFormat="1" applyFont="1" applyFill="1" applyBorder="1" applyAlignment="1">
      <alignment horizontal="right" vertical="top"/>
    </xf>
    <xf numFmtId="164" fontId="3" fillId="3" borderId="105" xfId="0" applyNumberFormat="1" applyFont="1" applyFill="1" applyBorder="1" applyAlignment="1">
      <alignment horizontal="right" vertical="top"/>
    </xf>
    <xf numFmtId="0" fontId="9" fillId="0" borderId="36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164" fontId="3" fillId="3" borderId="73" xfId="1" applyNumberFormat="1" applyFont="1" applyFill="1" applyBorder="1" applyAlignment="1">
      <alignment horizontal="right" vertical="top" wrapText="1"/>
    </xf>
    <xf numFmtId="0" fontId="18" fillId="0" borderId="11" xfId="0" applyNumberFormat="1" applyFont="1" applyFill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center" textRotation="90" wrapText="1"/>
    </xf>
    <xf numFmtId="0" fontId="7" fillId="0" borderId="46" xfId="0" applyFont="1" applyFill="1" applyBorder="1" applyAlignment="1">
      <alignment horizontal="center" vertical="center" textRotation="90" shrinkToFit="1"/>
    </xf>
    <xf numFmtId="0" fontId="7" fillId="0" borderId="7" xfId="0" applyFont="1" applyFill="1" applyBorder="1" applyAlignment="1">
      <alignment horizontal="center" vertical="center" textRotation="90" wrapText="1"/>
    </xf>
    <xf numFmtId="0" fontId="3" fillId="0" borderId="115" xfId="0" applyFont="1" applyFill="1" applyBorder="1" applyAlignment="1">
      <alignment horizontal="center" vertical="top"/>
    </xf>
    <xf numFmtId="164" fontId="3" fillId="7" borderId="116" xfId="0" applyNumberFormat="1" applyFont="1" applyFill="1" applyBorder="1" applyAlignment="1">
      <alignment horizontal="right" vertical="top"/>
    </xf>
    <xf numFmtId="0" fontId="3" fillId="0" borderId="103" xfId="0" applyFont="1" applyFill="1" applyBorder="1" applyAlignment="1">
      <alignment horizontal="center" vertical="top"/>
    </xf>
    <xf numFmtId="164" fontId="20" fillId="3" borderId="95" xfId="0" applyNumberFormat="1" applyFont="1" applyFill="1" applyBorder="1" applyAlignment="1">
      <alignment horizontal="right" vertical="top"/>
    </xf>
    <xf numFmtId="0" fontId="3" fillId="7" borderId="44" xfId="0" applyFont="1" applyFill="1" applyBorder="1" applyAlignment="1">
      <alignment horizontal="center" vertical="top"/>
    </xf>
    <xf numFmtId="0" fontId="3" fillId="7" borderId="107" xfId="0" applyFont="1" applyFill="1" applyBorder="1" applyAlignment="1">
      <alignment horizontal="center" vertical="top"/>
    </xf>
    <xf numFmtId="0" fontId="3" fillId="7" borderId="55" xfId="0" applyFont="1" applyFill="1" applyBorder="1" applyAlignment="1">
      <alignment horizontal="center" vertical="top"/>
    </xf>
    <xf numFmtId="164" fontId="3" fillId="8" borderId="24" xfId="0" applyNumberFormat="1" applyFont="1" applyFill="1" applyBorder="1" applyAlignment="1">
      <alignment horizontal="right" vertical="top"/>
    </xf>
    <xf numFmtId="164" fontId="3" fillId="7" borderId="24" xfId="0" applyNumberFormat="1" applyFont="1" applyFill="1" applyBorder="1" applyAlignment="1">
      <alignment horizontal="right" vertical="top"/>
    </xf>
    <xf numFmtId="164" fontId="5" fillId="8" borderId="24" xfId="0" applyNumberFormat="1" applyFont="1" applyFill="1" applyBorder="1" applyAlignment="1">
      <alignment horizontal="right" vertical="top"/>
    </xf>
    <xf numFmtId="164" fontId="5" fillId="10" borderId="0" xfId="0" applyNumberFormat="1" applyFont="1" applyFill="1" applyBorder="1" applyAlignment="1">
      <alignment horizontal="right" vertical="top"/>
    </xf>
    <xf numFmtId="164" fontId="3" fillId="3" borderId="8" xfId="0" applyNumberFormat="1" applyFont="1" applyFill="1" applyBorder="1" applyAlignment="1">
      <alignment horizontal="right" vertical="top"/>
    </xf>
    <xf numFmtId="164" fontId="3" fillId="3" borderId="108" xfId="0" applyNumberFormat="1" applyFont="1" applyFill="1" applyBorder="1" applyAlignment="1">
      <alignment horizontal="right" vertical="top"/>
    </xf>
    <xf numFmtId="164" fontId="3" fillId="3" borderId="100" xfId="0" applyNumberFormat="1" applyFont="1" applyFill="1" applyBorder="1" applyAlignment="1">
      <alignment horizontal="right" vertical="top"/>
    </xf>
    <xf numFmtId="164" fontId="3" fillId="0" borderId="81" xfId="0" applyNumberFormat="1" applyFont="1" applyFill="1" applyBorder="1" applyAlignment="1">
      <alignment horizontal="right" vertical="top"/>
    </xf>
    <xf numFmtId="164" fontId="5" fillId="10" borderId="7" xfId="0" applyNumberFormat="1" applyFont="1" applyFill="1" applyBorder="1" applyAlignment="1">
      <alignment horizontal="right" vertical="top"/>
    </xf>
    <xf numFmtId="164" fontId="3" fillId="8" borderId="117" xfId="0" applyNumberFormat="1" applyFont="1" applyFill="1" applyBorder="1" applyAlignment="1">
      <alignment horizontal="right" vertical="top"/>
    </xf>
    <xf numFmtId="165" fontId="9" fillId="0" borderId="30" xfId="0" applyNumberFormat="1" applyFont="1" applyFill="1" applyBorder="1" applyAlignment="1">
      <alignment vertical="top" wrapText="1"/>
    </xf>
    <xf numFmtId="164" fontId="5" fillId="2" borderId="56" xfId="0" applyNumberFormat="1" applyFont="1" applyFill="1" applyBorder="1" applyAlignment="1">
      <alignment horizontal="right" vertical="top"/>
    </xf>
    <xf numFmtId="49" fontId="5" fillId="10" borderId="11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9" borderId="35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3" borderId="29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9" borderId="5" xfId="0" applyNumberFormat="1" applyFont="1" applyFill="1" applyBorder="1" applyAlignment="1">
      <alignment horizontal="center" vertical="top"/>
    </xf>
    <xf numFmtId="49" fontId="5" fillId="10" borderId="26" xfId="0" applyNumberFormat="1" applyFont="1" applyFill="1" applyBorder="1" applyAlignment="1">
      <alignment horizontal="center" vertical="top"/>
    </xf>
    <xf numFmtId="49" fontId="3" fillId="0" borderId="45" xfId="0" applyNumberFormat="1" applyFont="1" applyBorder="1" applyAlignment="1">
      <alignment horizontal="center" vertical="top" wrapText="1"/>
    </xf>
    <xf numFmtId="164" fontId="3" fillId="7" borderId="55" xfId="0" applyNumberFormat="1" applyFont="1" applyFill="1" applyBorder="1" applyAlignment="1">
      <alignment horizontal="right" vertical="top"/>
    </xf>
    <xf numFmtId="0" fontId="3" fillId="7" borderId="36" xfId="0" applyFont="1" applyFill="1" applyBorder="1" applyAlignment="1">
      <alignment vertical="top" wrapText="1"/>
    </xf>
    <xf numFmtId="164" fontId="5" fillId="9" borderId="74" xfId="0" applyNumberFormat="1" applyFont="1" applyFill="1" applyBorder="1" applyAlignment="1">
      <alignment horizontal="right" vertical="top"/>
    </xf>
    <xf numFmtId="164" fontId="5" fillId="5" borderId="57" xfId="0" applyNumberFormat="1" applyFont="1" applyFill="1" applyBorder="1" applyAlignment="1">
      <alignment horizontal="right" vertical="top"/>
    </xf>
    <xf numFmtId="164" fontId="5" fillId="5" borderId="22" xfId="0" applyNumberFormat="1" applyFont="1" applyFill="1" applyBorder="1" applyAlignment="1">
      <alignment horizontal="right" vertical="top"/>
    </xf>
    <xf numFmtId="164" fontId="5" fillId="10" borderId="34" xfId="0" applyNumberFormat="1" applyFont="1" applyFill="1" applyBorder="1" applyAlignment="1">
      <alignment horizontal="right" vertical="top"/>
    </xf>
    <xf numFmtId="164" fontId="5" fillId="9" borderId="56" xfId="0" applyNumberFormat="1" applyFont="1" applyFill="1" applyBorder="1" applyAlignment="1">
      <alignment horizontal="right" vertical="top"/>
    </xf>
    <xf numFmtId="164" fontId="5" fillId="9" borderId="75" xfId="0" applyNumberFormat="1" applyFont="1" applyFill="1" applyBorder="1" applyAlignment="1">
      <alignment horizontal="right" vertical="top"/>
    </xf>
    <xf numFmtId="164" fontId="5" fillId="5" borderId="25" xfId="0" applyNumberFormat="1" applyFont="1" applyFill="1" applyBorder="1" applyAlignment="1">
      <alignment horizontal="right" vertical="top"/>
    </xf>
    <xf numFmtId="0" fontId="9" fillId="7" borderId="28" xfId="0" applyNumberFormat="1" applyFont="1" applyFill="1" applyBorder="1" applyAlignment="1">
      <alignment vertical="center" textRotation="90"/>
    </xf>
    <xf numFmtId="0" fontId="3" fillId="3" borderId="36" xfId="0" applyFont="1" applyFill="1" applyBorder="1" applyAlignment="1">
      <alignment horizontal="left" vertical="top" wrapText="1"/>
    </xf>
    <xf numFmtId="0" fontId="5" fillId="8" borderId="62" xfId="0" applyFont="1" applyFill="1" applyBorder="1" applyAlignment="1">
      <alignment horizontal="right" vertical="top"/>
    </xf>
    <xf numFmtId="0" fontId="5" fillId="8" borderId="76" xfId="0" applyFont="1" applyFill="1" applyBorder="1" applyAlignment="1">
      <alignment horizontal="right" vertical="top"/>
    </xf>
    <xf numFmtId="0" fontId="5" fillId="3" borderId="7" xfId="0" applyFont="1" applyFill="1" applyBorder="1" applyAlignment="1">
      <alignment vertical="top" wrapText="1"/>
    </xf>
    <xf numFmtId="49" fontId="5" fillId="3" borderId="50" xfId="0" applyNumberFormat="1" applyFont="1" applyFill="1" applyBorder="1" applyAlignment="1">
      <alignment vertical="top"/>
    </xf>
    <xf numFmtId="0" fontId="3" fillId="0" borderId="18" xfId="0" applyFont="1" applyBorder="1" applyAlignment="1">
      <alignment horizontal="left" vertical="top" wrapText="1"/>
    </xf>
    <xf numFmtId="3" fontId="3" fillId="3" borderId="31" xfId="0" applyNumberFormat="1" applyFont="1" applyFill="1" applyBorder="1" applyAlignment="1">
      <alignment horizontal="center" vertical="top"/>
    </xf>
    <xf numFmtId="3" fontId="3" fillId="3" borderId="31" xfId="0" applyNumberFormat="1" applyFont="1" applyFill="1" applyBorder="1" applyAlignment="1">
      <alignment horizontal="center" vertical="top" wrapText="1" shrinkToFit="1"/>
    </xf>
    <xf numFmtId="3" fontId="3" fillId="3" borderId="32" xfId="0" applyNumberFormat="1" applyFont="1" applyFill="1" applyBorder="1" applyAlignment="1">
      <alignment horizontal="center" vertical="center"/>
    </xf>
    <xf numFmtId="164" fontId="3" fillId="0" borderId="41" xfId="0" applyNumberFormat="1" applyFont="1" applyBorder="1" applyAlignment="1">
      <alignment vertical="top"/>
    </xf>
    <xf numFmtId="0" fontId="3" fillId="0" borderId="35" xfId="0" applyFont="1" applyFill="1" applyBorder="1" applyAlignment="1">
      <alignment horizontal="center" vertical="top"/>
    </xf>
    <xf numFmtId="0" fontId="3" fillId="0" borderId="120" xfId="0" applyFont="1" applyFill="1" applyBorder="1" applyAlignment="1">
      <alignment horizontal="center" vertical="top"/>
    </xf>
    <xf numFmtId="164" fontId="3" fillId="3" borderId="121" xfId="0" applyNumberFormat="1" applyFont="1" applyFill="1" applyBorder="1" applyAlignment="1">
      <alignment horizontal="right" vertical="top" wrapText="1"/>
    </xf>
    <xf numFmtId="0" fontId="3" fillId="0" borderId="119" xfId="0" applyFont="1" applyFill="1" applyBorder="1" applyAlignment="1">
      <alignment horizontal="center" vertical="top"/>
    </xf>
    <xf numFmtId="3" fontId="3" fillId="0" borderId="96" xfId="0" applyNumberFormat="1" applyFont="1" applyFill="1" applyBorder="1" applyAlignment="1">
      <alignment horizontal="center" vertical="top"/>
    </xf>
    <xf numFmtId="3" fontId="3" fillId="0" borderId="97" xfId="0" applyNumberFormat="1" applyFont="1" applyFill="1" applyBorder="1" applyAlignment="1">
      <alignment horizontal="center" vertical="top"/>
    </xf>
    <xf numFmtId="0" fontId="3" fillId="7" borderId="110" xfId="0" applyFont="1" applyFill="1" applyBorder="1" applyAlignment="1">
      <alignment horizontal="left" vertical="top" wrapText="1"/>
    </xf>
    <xf numFmtId="0" fontId="3" fillId="3" borderId="110" xfId="0" applyFont="1" applyFill="1" applyBorder="1" applyAlignment="1">
      <alignment horizontal="left" vertical="top" wrapText="1"/>
    </xf>
    <xf numFmtId="0" fontId="3" fillId="0" borderId="112" xfId="0" applyFont="1" applyFill="1" applyBorder="1" applyAlignment="1">
      <alignment horizontal="left" vertical="top" wrapText="1"/>
    </xf>
    <xf numFmtId="165" fontId="3" fillId="0" borderId="88" xfId="0" applyNumberFormat="1" applyFont="1" applyFill="1" applyBorder="1" applyAlignment="1">
      <alignment horizontal="center" vertical="center"/>
    </xf>
    <xf numFmtId="0" fontId="3" fillId="3" borderId="97" xfId="0" applyFont="1" applyFill="1" applyBorder="1" applyAlignment="1">
      <alignment vertical="top" wrapText="1"/>
    </xf>
    <xf numFmtId="0" fontId="3" fillId="3" borderId="89" xfId="0" applyFont="1" applyFill="1" applyBorder="1" applyAlignment="1">
      <alignment vertical="top" wrapText="1"/>
    </xf>
    <xf numFmtId="0" fontId="3" fillId="0" borderId="51" xfId="0" applyFont="1" applyFill="1" applyBorder="1" applyAlignment="1">
      <alignment horizontal="center" vertical="center" textRotation="90" wrapText="1"/>
    </xf>
    <xf numFmtId="0" fontId="3" fillId="7" borderId="90" xfId="0" applyFont="1" applyFill="1" applyBorder="1" applyAlignment="1">
      <alignment horizontal="center" vertical="top"/>
    </xf>
    <xf numFmtId="0" fontId="3" fillId="7" borderId="86" xfId="0" applyFont="1" applyFill="1" applyBorder="1" applyAlignment="1">
      <alignment horizontal="left" vertical="top" wrapText="1"/>
    </xf>
    <xf numFmtId="0" fontId="5" fillId="7" borderId="14" xfId="0" applyFont="1" applyFill="1" applyBorder="1" applyAlignment="1">
      <alignment vertical="top" wrapText="1"/>
    </xf>
    <xf numFmtId="49" fontId="5" fillId="0" borderId="43" xfId="0" applyNumberFormat="1" applyFont="1" applyBorder="1" applyAlignment="1">
      <alignment horizontal="center" vertical="top"/>
    </xf>
    <xf numFmtId="49" fontId="5" fillId="7" borderId="50" xfId="0" applyNumberFormat="1" applyFont="1" applyFill="1" applyBorder="1" applyAlignment="1">
      <alignment vertical="top"/>
    </xf>
    <xf numFmtId="49" fontId="5" fillId="7" borderId="58" xfId="0" applyNumberFormat="1" applyFont="1" applyFill="1" applyBorder="1" applyAlignment="1">
      <alignment vertical="top"/>
    </xf>
    <xf numFmtId="49" fontId="5" fillId="7" borderId="9" xfId="0" applyNumberFormat="1" applyFont="1" applyFill="1" applyBorder="1" applyAlignment="1">
      <alignment vertical="top"/>
    </xf>
    <xf numFmtId="49" fontId="5" fillId="7" borderId="34" xfId="0" applyNumberFormat="1" applyFont="1" applyFill="1" applyBorder="1" applyAlignment="1">
      <alignment vertical="top"/>
    </xf>
    <xf numFmtId="165" fontId="3" fillId="0" borderId="11" xfId="0" applyNumberFormat="1" applyFont="1" applyFill="1" applyBorder="1" applyAlignment="1">
      <alignment horizontal="center" vertical="top"/>
    </xf>
    <xf numFmtId="165" fontId="3" fillId="0" borderId="18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90" xfId="0" applyFont="1" applyFill="1" applyBorder="1" applyAlignment="1">
      <alignment horizontal="center" vertical="top"/>
    </xf>
    <xf numFmtId="49" fontId="5" fillId="7" borderId="32" xfId="0" applyNumberFormat="1" applyFont="1" applyFill="1" applyBorder="1" applyAlignment="1">
      <alignment vertical="top"/>
    </xf>
    <xf numFmtId="165" fontId="3" fillId="7" borderId="31" xfId="0" applyNumberFormat="1" applyFont="1" applyFill="1" applyBorder="1" applyAlignment="1">
      <alignment horizontal="center" vertical="top"/>
    </xf>
    <xf numFmtId="165" fontId="3" fillId="7" borderId="32" xfId="0" applyNumberFormat="1" applyFont="1" applyFill="1" applyBorder="1" applyAlignment="1">
      <alignment horizontal="center" vertical="top"/>
    </xf>
    <xf numFmtId="49" fontId="3" fillId="7" borderId="20" xfId="0" applyNumberFormat="1" applyFont="1" applyFill="1" applyBorder="1" applyAlignment="1">
      <alignment horizontal="center" vertical="top"/>
    </xf>
    <xf numFmtId="0" fontId="5" fillId="3" borderId="46" xfId="0" applyFont="1" applyFill="1" applyBorder="1" applyAlignment="1">
      <alignment horizontal="center" vertical="top"/>
    </xf>
    <xf numFmtId="0" fontId="3" fillId="0" borderId="71" xfId="0" applyFont="1" applyFill="1" applyBorder="1" applyAlignment="1">
      <alignment horizontal="center" vertical="top" wrapText="1"/>
    </xf>
    <xf numFmtId="0" fontId="3" fillId="0" borderId="119" xfId="0" applyFont="1" applyBorder="1" applyAlignment="1">
      <alignment horizontal="center" vertical="top"/>
    </xf>
    <xf numFmtId="0" fontId="3" fillId="0" borderId="35" xfId="0" applyFont="1" applyFill="1" applyBorder="1" applyAlignment="1">
      <alignment horizontal="center" vertical="top" wrapText="1"/>
    </xf>
    <xf numFmtId="0" fontId="3" fillId="0" borderId="98" xfId="0" applyFont="1" applyBorder="1" applyAlignment="1">
      <alignment horizontal="center" vertical="top"/>
    </xf>
    <xf numFmtId="0" fontId="3" fillId="0" borderId="101" xfId="0" applyFont="1" applyFill="1" applyBorder="1" applyAlignment="1">
      <alignment horizontal="center" vertical="top" wrapText="1"/>
    </xf>
    <xf numFmtId="0" fontId="3" fillId="0" borderId="68" xfId="0" applyFont="1" applyFill="1" applyBorder="1" applyAlignment="1">
      <alignment horizontal="center" vertical="top" wrapText="1"/>
    </xf>
    <xf numFmtId="0" fontId="3" fillId="0" borderId="120" xfId="0" applyFont="1" applyFill="1" applyBorder="1" applyAlignment="1">
      <alignment horizontal="center" vertical="top" wrapText="1"/>
    </xf>
    <xf numFmtId="43" fontId="3" fillId="0" borderId="46" xfId="1" applyFont="1" applyFill="1" applyBorder="1" applyAlignment="1">
      <alignment horizontal="center" vertical="top" wrapText="1"/>
    </xf>
    <xf numFmtId="0" fontId="5" fillId="8" borderId="69" xfId="0" applyFont="1" applyFill="1" applyBorder="1" applyAlignment="1">
      <alignment horizontal="center" vertical="top"/>
    </xf>
    <xf numFmtId="0" fontId="3" fillId="0" borderId="2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textRotation="90" wrapText="1"/>
    </xf>
    <xf numFmtId="0" fontId="11" fillId="0" borderId="31" xfId="0" applyFont="1" applyBorder="1" applyAlignment="1">
      <alignment vertical="center" textRotation="90" wrapText="1"/>
    </xf>
    <xf numFmtId="0" fontId="20" fillId="7" borderId="31" xfId="0" applyNumberFormat="1" applyFont="1" applyFill="1" applyBorder="1" applyAlignment="1">
      <alignment vertical="center" textRotation="90"/>
    </xf>
    <xf numFmtId="0" fontId="20" fillId="7" borderId="32" xfId="0" applyNumberFormat="1" applyFont="1" applyFill="1" applyBorder="1" applyAlignment="1">
      <alignment vertical="center" textRotation="90"/>
    </xf>
    <xf numFmtId="0" fontId="3" fillId="7" borderId="29" xfId="0" applyNumberFormat="1" applyFont="1" applyFill="1" applyBorder="1" applyAlignment="1">
      <alignment vertical="center" textRotation="90"/>
    </xf>
    <xf numFmtId="0" fontId="3" fillId="7" borderId="28" xfId="0" applyNumberFormat="1" applyFont="1" applyFill="1" applyBorder="1" applyAlignment="1">
      <alignment vertical="center" textRotation="90"/>
    </xf>
    <xf numFmtId="0" fontId="3" fillId="0" borderId="11" xfId="0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15" fillId="0" borderId="25" xfId="0" applyFont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10" borderId="11" xfId="0" applyNumberFormat="1" applyFont="1" applyFill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 wrapText="1"/>
    </xf>
    <xf numFmtId="49" fontId="5" fillId="0" borderId="18" xfId="0" applyNumberFormat="1" applyFont="1" applyBorder="1" applyAlignment="1">
      <alignment horizontal="center" vertical="top"/>
    </xf>
    <xf numFmtId="49" fontId="5" fillId="3" borderId="11" xfId="0" applyNumberFormat="1" applyFont="1" applyFill="1" applyBorder="1" applyAlignment="1">
      <alignment horizontal="center" vertical="top"/>
    </xf>
    <xf numFmtId="0" fontId="23" fillId="0" borderId="7" xfId="0" applyFont="1" applyBorder="1" applyAlignment="1">
      <alignment horizontal="center" vertical="top" wrapText="1"/>
    </xf>
    <xf numFmtId="49" fontId="5" fillId="0" borderId="58" xfId="0" applyNumberFormat="1" applyFont="1" applyBorder="1" applyAlignment="1">
      <alignment horizontal="center" vertical="top"/>
    </xf>
    <xf numFmtId="0" fontId="5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vertical="top"/>
    </xf>
    <xf numFmtId="0" fontId="11" fillId="0" borderId="34" xfId="0" applyFont="1" applyBorder="1" applyAlignment="1">
      <alignment vertical="top"/>
    </xf>
    <xf numFmtId="49" fontId="3" fillId="0" borderId="35" xfId="0" applyNumberFormat="1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/>
    </xf>
    <xf numFmtId="164" fontId="3" fillId="0" borderId="49" xfId="0" applyNumberFormat="1" applyFont="1" applyBorder="1" applyAlignment="1">
      <alignment horizontal="right" vertical="top"/>
    </xf>
    <xf numFmtId="49" fontId="3" fillId="0" borderId="1" xfId="0" applyNumberFormat="1" applyFont="1" applyBorder="1" applyAlignment="1">
      <alignment horizontal="center" vertical="top" wrapText="1"/>
    </xf>
    <xf numFmtId="49" fontId="5" fillId="0" borderId="18" xfId="0" applyNumberFormat="1" applyFont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49" fontId="3" fillId="0" borderId="24" xfId="0" applyNumberFormat="1" applyFont="1" applyBorder="1" applyAlignment="1">
      <alignment horizontal="center" vertical="top" wrapText="1"/>
    </xf>
    <xf numFmtId="0" fontId="3" fillId="3" borderId="18" xfId="0" applyFont="1" applyFill="1" applyBorder="1" applyAlignment="1">
      <alignment horizontal="left" vertical="top" wrapText="1"/>
    </xf>
    <xf numFmtId="49" fontId="3" fillId="0" borderId="50" xfId="0" applyNumberFormat="1" applyFont="1" applyBorder="1" applyAlignment="1">
      <alignment horizontal="center" vertical="top" wrapText="1"/>
    </xf>
    <xf numFmtId="49" fontId="3" fillId="0" borderId="58" xfId="0" applyNumberFormat="1" applyFont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3" fillId="0" borderId="76" xfId="0" applyFont="1" applyFill="1" applyBorder="1" applyAlignment="1">
      <alignment horizontal="center" vertical="center" textRotation="90" wrapText="1"/>
    </xf>
    <xf numFmtId="49" fontId="5" fillId="0" borderId="50" xfId="0" applyNumberFormat="1" applyFont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0" fontId="3" fillId="3" borderId="94" xfId="0" applyFont="1" applyFill="1" applyBorder="1" applyAlignment="1">
      <alignment vertical="top" wrapText="1"/>
    </xf>
    <xf numFmtId="164" fontId="3" fillId="0" borderId="91" xfId="0" applyNumberFormat="1" applyFont="1" applyFill="1" applyBorder="1" applyAlignment="1">
      <alignment horizontal="left" vertical="top" wrapText="1"/>
    </xf>
    <xf numFmtId="0" fontId="3" fillId="0" borderId="92" xfId="0" applyNumberFormat="1" applyFont="1" applyFill="1" applyBorder="1" applyAlignment="1">
      <alignment horizontal="center" vertical="top"/>
    </xf>
    <xf numFmtId="0" fontId="3" fillId="0" borderId="125" xfId="0" applyNumberFormat="1" applyFont="1" applyFill="1" applyBorder="1" applyAlignment="1">
      <alignment horizontal="center" vertical="top"/>
    </xf>
    <xf numFmtId="0" fontId="3" fillId="0" borderId="94" xfId="0" applyNumberFormat="1" applyFont="1" applyBorder="1" applyAlignment="1">
      <alignment horizontal="center" vertical="top"/>
    </xf>
    <xf numFmtId="3" fontId="18" fillId="0" borderId="29" xfId="0" applyNumberFormat="1" applyFont="1" applyFill="1" applyBorder="1" applyAlignment="1">
      <alignment horizontal="center" vertical="top"/>
    </xf>
    <xf numFmtId="0" fontId="3" fillId="0" borderId="126" xfId="0" applyFont="1" applyFill="1" applyBorder="1" applyAlignment="1">
      <alignment horizontal="center" vertical="center" textRotation="90" wrapText="1"/>
    </xf>
    <xf numFmtId="49" fontId="3" fillId="0" borderId="93" xfId="0" applyNumberFormat="1" applyFont="1" applyBorder="1" applyAlignment="1">
      <alignment horizontal="center" vertical="top" wrapText="1"/>
    </xf>
    <xf numFmtId="49" fontId="5" fillId="0" borderId="94" xfId="0" applyNumberFormat="1" applyFont="1" applyBorder="1" applyAlignment="1">
      <alignment horizontal="center" vertical="top"/>
    </xf>
    <xf numFmtId="0" fontId="3" fillId="0" borderId="90" xfId="0" applyFont="1" applyBorder="1" applyAlignment="1">
      <alignment horizontal="center" vertical="top" wrapText="1"/>
    </xf>
    <xf numFmtId="164" fontId="3" fillId="7" borderId="81" xfId="0" applyNumberFormat="1" applyFont="1" applyFill="1" applyBorder="1" applyAlignment="1">
      <alignment horizontal="right" vertical="top"/>
    </xf>
    <xf numFmtId="164" fontId="3" fillId="7" borderId="106" xfId="0" applyNumberFormat="1" applyFont="1" applyFill="1" applyBorder="1" applyAlignment="1">
      <alignment horizontal="right" vertical="top"/>
    </xf>
    <xf numFmtId="0" fontId="3" fillId="7" borderId="7" xfId="0" applyFont="1" applyFill="1" applyBorder="1" applyAlignment="1">
      <alignment horizontal="left" vertical="top" wrapText="1"/>
    </xf>
    <xf numFmtId="164" fontId="3" fillId="7" borderId="23" xfId="0" applyNumberFormat="1" applyFont="1" applyFill="1" applyBorder="1" applyAlignment="1">
      <alignment horizontal="right" vertical="top" wrapText="1"/>
    </xf>
    <xf numFmtId="164" fontId="3" fillId="7" borderId="95" xfId="0" applyNumberFormat="1" applyFont="1" applyFill="1" applyBorder="1" applyAlignment="1">
      <alignment horizontal="left" vertical="top" wrapText="1"/>
    </xf>
    <xf numFmtId="0" fontId="3" fillId="0" borderId="96" xfId="0" applyNumberFormat="1" applyFont="1" applyFill="1" applyBorder="1" applyAlignment="1">
      <alignment horizontal="center" vertical="top"/>
    </xf>
    <xf numFmtId="0" fontId="3" fillId="0" borderId="113" xfId="0" applyNumberFormat="1" applyFont="1" applyFill="1" applyBorder="1" applyAlignment="1">
      <alignment horizontal="center" vertical="top"/>
    </xf>
    <xf numFmtId="0" fontId="3" fillId="0" borderId="97" xfId="0" applyNumberFormat="1" applyFont="1" applyBorder="1" applyAlignment="1">
      <alignment horizontal="center" vertical="top"/>
    </xf>
    <xf numFmtId="49" fontId="5" fillId="0" borderId="11" xfId="0" applyNumberFormat="1" applyFont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 wrapText="1"/>
    </xf>
    <xf numFmtId="49" fontId="5" fillId="0" borderId="50" xfId="0" applyNumberFormat="1" applyFont="1" applyBorder="1" applyAlignment="1">
      <alignment horizontal="center" vertical="top"/>
    </xf>
    <xf numFmtId="164" fontId="3" fillId="7" borderId="117" xfId="0" applyNumberFormat="1" applyFont="1" applyFill="1" applyBorder="1" applyAlignment="1">
      <alignment horizontal="right" vertical="top"/>
    </xf>
    <xf numFmtId="164" fontId="3" fillId="0" borderId="88" xfId="0" applyNumberFormat="1" applyFont="1" applyBorder="1" applyAlignment="1">
      <alignment horizontal="right" vertical="top"/>
    </xf>
    <xf numFmtId="164" fontId="3" fillId="0" borderId="89" xfId="0" applyNumberFormat="1" applyFont="1" applyBorder="1" applyAlignment="1">
      <alignment horizontal="right" vertical="top"/>
    </xf>
    <xf numFmtId="164" fontId="3" fillId="3" borderId="120" xfId="0" applyNumberFormat="1" applyFont="1" applyFill="1" applyBorder="1" applyAlignment="1">
      <alignment horizontal="right" vertical="top" wrapText="1"/>
    </xf>
    <xf numFmtId="164" fontId="3" fillId="0" borderId="87" xfId="0" applyNumberFormat="1" applyFont="1" applyBorder="1" applyAlignment="1">
      <alignment horizontal="right" vertical="top"/>
    </xf>
    <xf numFmtId="0" fontId="3" fillId="0" borderId="95" xfId="0" applyFont="1" applyFill="1" applyBorder="1" applyAlignment="1">
      <alignment vertical="top" wrapText="1"/>
    </xf>
    <xf numFmtId="3" fontId="3" fillId="0" borderId="96" xfId="0" applyNumberFormat="1" applyFont="1" applyFill="1" applyBorder="1" applyAlignment="1">
      <alignment horizontal="center" vertical="center"/>
    </xf>
    <xf numFmtId="3" fontId="3" fillId="0" borderId="97" xfId="0" applyNumberFormat="1" applyFont="1" applyFill="1" applyBorder="1" applyAlignment="1">
      <alignment horizontal="center" vertical="center"/>
    </xf>
    <xf numFmtId="0" fontId="3" fillId="0" borderId="103" xfId="0" applyFont="1" applyBorder="1" applyAlignment="1">
      <alignment vertical="top"/>
    </xf>
    <xf numFmtId="0" fontId="3" fillId="7" borderId="6" xfId="0" applyFont="1" applyFill="1" applyBorder="1" applyAlignment="1">
      <alignment horizontal="center" vertical="top"/>
    </xf>
    <xf numFmtId="0" fontId="3" fillId="0" borderId="97" xfId="0" applyNumberFormat="1" applyFont="1" applyFill="1" applyBorder="1" applyAlignment="1">
      <alignment horizontal="center" vertical="top"/>
    </xf>
    <xf numFmtId="0" fontId="3" fillId="7" borderId="96" xfId="0" applyNumberFormat="1" applyFont="1" applyFill="1" applyBorder="1" applyAlignment="1">
      <alignment vertical="center"/>
    </xf>
    <xf numFmtId="0" fontId="3" fillId="7" borderId="97" xfId="0" applyNumberFormat="1" applyFont="1" applyFill="1" applyBorder="1" applyAlignment="1">
      <alignment vertical="center"/>
    </xf>
    <xf numFmtId="49" fontId="5" fillId="9" borderId="35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10" borderId="11" xfId="0" applyNumberFormat="1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left" vertical="top" wrapText="1"/>
    </xf>
    <xf numFmtId="3" fontId="3" fillId="0" borderId="11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0" fontId="11" fillId="0" borderId="9" xfId="0" applyFont="1" applyBorder="1" applyAlignment="1">
      <alignment horizontal="center" vertical="center" wrapText="1"/>
    </xf>
    <xf numFmtId="164" fontId="3" fillId="3" borderId="88" xfId="0" applyNumberFormat="1" applyFont="1" applyFill="1" applyBorder="1" applyAlignment="1">
      <alignment horizontal="right" vertical="top"/>
    </xf>
    <xf numFmtId="0" fontId="21" fillId="3" borderId="12" xfId="0" applyFont="1" applyFill="1" applyBorder="1" applyAlignment="1">
      <alignment horizontal="center" vertical="center" textRotation="90" wrapText="1"/>
    </xf>
    <xf numFmtId="0" fontId="5" fillId="0" borderId="119" xfId="0" applyFont="1" applyFill="1" applyBorder="1" applyAlignment="1">
      <alignment horizontal="center" vertical="top" wrapText="1"/>
    </xf>
    <xf numFmtId="49" fontId="5" fillId="0" borderId="97" xfId="0" applyNumberFormat="1" applyFont="1" applyBorder="1" applyAlignment="1">
      <alignment horizontal="center" vertical="top"/>
    </xf>
    <xf numFmtId="0" fontId="15" fillId="0" borderId="77" xfId="0" applyFont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top"/>
    </xf>
    <xf numFmtId="49" fontId="5" fillId="0" borderId="58" xfId="0" applyNumberFormat="1" applyFont="1" applyBorder="1" applyAlignment="1">
      <alignment horizontal="center" vertical="top" wrapText="1"/>
    </xf>
    <xf numFmtId="3" fontId="3" fillId="3" borderId="31" xfId="0" applyNumberFormat="1" applyFont="1" applyFill="1" applyBorder="1" applyAlignment="1">
      <alignment horizontal="center" vertical="top" wrapText="1"/>
    </xf>
    <xf numFmtId="0" fontId="21" fillId="0" borderId="46" xfId="0" applyFont="1" applyFill="1" applyBorder="1" applyAlignment="1">
      <alignment horizontal="center" vertical="top" textRotation="90" wrapText="1"/>
    </xf>
    <xf numFmtId="0" fontId="3" fillId="0" borderId="87" xfId="0" applyFont="1" applyFill="1" applyBorder="1" applyAlignment="1">
      <alignment horizontal="left" vertical="top" wrapText="1"/>
    </xf>
    <xf numFmtId="0" fontId="3" fillId="0" borderId="98" xfId="0" applyFont="1" applyBorder="1" applyAlignment="1">
      <alignment vertical="top"/>
    </xf>
    <xf numFmtId="0" fontId="3" fillId="0" borderId="83" xfId="0" applyFont="1" applyBorder="1" applyAlignment="1">
      <alignment vertical="top"/>
    </xf>
    <xf numFmtId="0" fontId="3" fillId="0" borderId="114" xfId="0" applyFont="1" applyBorder="1" applyAlignment="1">
      <alignment vertical="top"/>
    </xf>
    <xf numFmtId="0" fontId="3" fillId="0" borderId="85" xfId="0" applyFont="1" applyBorder="1" applyAlignment="1">
      <alignment vertical="top"/>
    </xf>
    <xf numFmtId="0" fontId="5" fillId="3" borderId="85" xfId="0" applyFont="1" applyFill="1" applyBorder="1" applyAlignment="1">
      <alignment vertical="top" wrapText="1"/>
    </xf>
    <xf numFmtId="164" fontId="3" fillId="0" borderId="109" xfId="0" applyNumberFormat="1" applyFont="1" applyBorder="1" applyAlignment="1">
      <alignment horizontal="right" vertical="top"/>
    </xf>
    <xf numFmtId="164" fontId="3" fillId="7" borderId="23" xfId="0" applyNumberFormat="1" applyFont="1" applyFill="1" applyBorder="1" applyAlignment="1">
      <alignment horizontal="right" vertical="top"/>
    </xf>
    <xf numFmtId="164" fontId="3" fillId="7" borderId="44" xfId="0" applyNumberFormat="1" applyFont="1" applyFill="1" applyBorder="1" applyAlignment="1">
      <alignment horizontal="right" vertical="top"/>
    </xf>
    <xf numFmtId="3" fontId="3" fillId="3" borderId="17" xfId="0" applyNumberFormat="1" applyFont="1" applyFill="1" applyBorder="1" applyAlignment="1">
      <alignment horizontal="center" vertical="top"/>
    </xf>
    <xf numFmtId="0" fontId="3" fillId="3" borderId="38" xfId="0" applyFont="1" applyFill="1" applyBorder="1" applyAlignment="1">
      <alignment horizontal="left" vertical="top" wrapText="1"/>
    </xf>
    <xf numFmtId="0" fontId="3" fillId="3" borderId="30" xfId="0" applyFont="1" applyFill="1" applyBorder="1" applyAlignment="1">
      <alignment horizontal="left" vertical="top" wrapText="1"/>
    </xf>
    <xf numFmtId="3" fontId="3" fillId="0" borderId="11" xfId="0" applyNumberFormat="1" applyFont="1" applyFill="1" applyBorder="1" applyAlignment="1">
      <alignment horizontal="center" wrapText="1"/>
    </xf>
    <xf numFmtId="3" fontId="3" fillId="0" borderId="18" xfId="0" applyNumberFormat="1" applyFont="1" applyFill="1" applyBorder="1" applyAlignment="1">
      <alignment horizontal="center" wrapText="1"/>
    </xf>
    <xf numFmtId="0" fontId="3" fillId="3" borderId="82" xfId="0" applyFont="1" applyFill="1" applyBorder="1" applyAlignment="1">
      <alignment horizontal="left" vertical="top" wrapText="1"/>
    </xf>
    <xf numFmtId="3" fontId="3" fillId="3" borderId="83" xfId="0" applyNumberFormat="1" applyFont="1" applyFill="1" applyBorder="1" applyAlignment="1">
      <alignment horizontal="center" vertical="top" wrapText="1"/>
    </xf>
    <xf numFmtId="3" fontId="3" fillId="0" borderId="83" xfId="0" applyNumberFormat="1" applyFont="1" applyFill="1" applyBorder="1" applyAlignment="1">
      <alignment horizontal="center" vertical="top" wrapText="1"/>
    </xf>
    <xf numFmtId="3" fontId="3" fillId="0" borderId="85" xfId="0" applyNumberFormat="1" applyFont="1" applyFill="1" applyBorder="1" applyAlignment="1">
      <alignment horizontal="center" vertical="top" wrapText="1"/>
    </xf>
    <xf numFmtId="0" fontId="3" fillId="0" borderId="83" xfId="0" applyFont="1" applyFill="1" applyBorder="1" applyAlignment="1">
      <alignment horizontal="center" vertical="center" wrapText="1"/>
    </xf>
    <xf numFmtId="0" fontId="3" fillId="0" borderId="115" xfId="0" applyFont="1" applyBorder="1" applyAlignment="1">
      <alignment horizontal="center" vertical="top"/>
    </xf>
    <xf numFmtId="0" fontId="3" fillId="0" borderId="97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center" vertical="top"/>
    </xf>
    <xf numFmtId="49" fontId="3" fillId="3" borderId="29" xfId="0" applyNumberFormat="1" applyFont="1" applyFill="1" applyBorder="1" applyAlignment="1">
      <alignment horizontal="center" vertical="top"/>
    </xf>
    <xf numFmtId="0" fontId="3" fillId="3" borderId="95" xfId="0" applyFont="1" applyFill="1" applyBorder="1" applyAlignment="1">
      <alignment horizontal="left" vertical="top" wrapText="1"/>
    </xf>
    <xf numFmtId="3" fontId="3" fillId="3" borderId="96" xfId="0" applyNumberFormat="1" applyFont="1" applyFill="1" applyBorder="1" applyAlignment="1">
      <alignment horizontal="center" vertical="top"/>
    </xf>
    <xf numFmtId="49" fontId="3" fillId="3" borderId="96" xfId="0" applyNumberFormat="1" applyFont="1" applyFill="1" applyBorder="1" applyAlignment="1">
      <alignment horizontal="center" vertical="top"/>
    </xf>
    <xf numFmtId="3" fontId="3" fillId="3" borderId="97" xfId="0" applyNumberFormat="1" applyFont="1" applyFill="1" applyBorder="1" applyAlignment="1">
      <alignment horizontal="center" vertical="top"/>
    </xf>
    <xf numFmtId="164" fontId="5" fillId="8" borderId="38" xfId="0" applyNumberFormat="1" applyFont="1" applyFill="1" applyBorder="1" applyAlignment="1">
      <alignment horizontal="right" vertical="top"/>
    </xf>
    <xf numFmtId="164" fontId="5" fillId="8" borderId="20" xfId="0" applyNumberFormat="1" applyFont="1" applyFill="1" applyBorder="1" applyAlignment="1">
      <alignment horizontal="right" vertical="top"/>
    </xf>
    <xf numFmtId="164" fontId="5" fillId="8" borderId="21" xfId="0" applyNumberFormat="1" applyFont="1" applyFill="1" applyBorder="1" applyAlignment="1">
      <alignment horizontal="right" vertical="top"/>
    </xf>
    <xf numFmtId="0" fontId="21" fillId="0" borderId="30" xfId="0" applyFont="1" applyFill="1" applyBorder="1" applyAlignment="1">
      <alignment horizontal="center" vertical="center" textRotation="90" wrapText="1"/>
    </xf>
    <xf numFmtId="49" fontId="5" fillId="3" borderId="20" xfId="0" applyNumberFormat="1" applyFont="1" applyFill="1" applyBorder="1" applyAlignment="1">
      <alignment horizontal="center" vertical="top"/>
    </xf>
    <xf numFmtId="49" fontId="5" fillId="3" borderId="29" xfId="0" applyNumberFormat="1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left" vertical="top" wrapText="1"/>
    </xf>
    <xf numFmtId="49" fontId="5" fillId="3" borderId="11" xfId="0" applyNumberFormat="1" applyFont="1" applyFill="1" applyBorder="1" applyAlignment="1">
      <alignment horizontal="center" vertical="top"/>
    </xf>
    <xf numFmtId="0" fontId="3" fillId="3" borderId="30" xfId="0" applyFont="1" applyFill="1" applyBorder="1" applyAlignment="1">
      <alignment horizontal="left" vertical="top" wrapText="1"/>
    </xf>
    <xf numFmtId="49" fontId="5" fillId="0" borderId="18" xfId="0" applyNumberFormat="1" applyFont="1" applyBorder="1" applyAlignment="1">
      <alignment horizontal="center" vertical="top"/>
    </xf>
    <xf numFmtId="49" fontId="5" fillId="10" borderId="11" xfId="0" applyNumberFormat="1" applyFont="1" applyFill="1" applyBorder="1" applyAlignment="1">
      <alignment horizontal="center" vertical="top"/>
    </xf>
    <xf numFmtId="49" fontId="5" fillId="0" borderId="29" xfId="0" applyNumberFormat="1" applyFont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0" borderId="11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 vertical="top" wrapText="1"/>
    </xf>
    <xf numFmtId="0" fontId="3" fillId="0" borderId="38" xfId="0" applyFont="1" applyFill="1" applyBorder="1" applyAlignment="1">
      <alignment horizontal="left" vertical="top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top"/>
    </xf>
    <xf numFmtId="164" fontId="3" fillId="7" borderId="81" xfId="0" applyNumberFormat="1" applyFont="1" applyFill="1" applyBorder="1" applyAlignment="1">
      <alignment horizontal="right" vertical="top" wrapText="1"/>
    </xf>
    <xf numFmtId="0" fontId="3" fillId="7" borderId="48" xfId="0" applyFont="1" applyFill="1" applyBorder="1" applyAlignment="1">
      <alignment horizontal="left" vertical="top" wrapText="1"/>
    </xf>
    <xf numFmtId="164" fontId="3" fillId="7" borderId="8" xfId="0" applyNumberFormat="1" applyFont="1" applyFill="1" applyBorder="1" applyAlignment="1">
      <alignment horizontal="right" vertical="top" wrapText="1"/>
    </xf>
    <xf numFmtId="0" fontId="3" fillId="7" borderId="17" xfId="0" applyFont="1" applyFill="1" applyBorder="1" applyAlignment="1">
      <alignment horizontal="left" vertical="top" wrapText="1"/>
    </xf>
    <xf numFmtId="164" fontId="3" fillId="7" borderId="66" xfId="0" applyNumberFormat="1" applyFont="1" applyFill="1" applyBorder="1" applyAlignment="1">
      <alignment horizontal="right" vertical="top" wrapText="1"/>
    </xf>
    <xf numFmtId="0" fontId="3" fillId="7" borderId="16" xfId="0" applyFont="1" applyFill="1" applyBorder="1" applyAlignment="1">
      <alignment horizontal="left" vertical="top" wrapText="1"/>
    </xf>
    <xf numFmtId="0" fontId="18" fillId="0" borderId="71" xfId="0" applyFont="1" applyFill="1" applyBorder="1" applyAlignment="1">
      <alignment vertical="top" wrapText="1"/>
    </xf>
    <xf numFmtId="0" fontId="18" fillId="0" borderId="39" xfId="0" applyFont="1" applyFill="1" applyBorder="1" applyAlignment="1">
      <alignment horizontal="center" vertical="top" wrapText="1"/>
    </xf>
    <xf numFmtId="3" fontId="18" fillId="0" borderId="1" xfId="0" applyNumberFormat="1" applyFont="1" applyFill="1" applyBorder="1" applyAlignment="1">
      <alignment horizontal="center" vertical="top"/>
    </xf>
    <xf numFmtId="0" fontId="18" fillId="0" borderId="120" xfId="0" applyFont="1" applyFill="1" applyBorder="1" applyAlignment="1">
      <alignment vertical="top" wrapText="1"/>
    </xf>
    <xf numFmtId="0" fontId="18" fillId="0" borderId="117" xfId="0" applyFont="1" applyFill="1" applyBorder="1" applyAlignment="1">
      <alignment horizontal="center" vertical="top" wrapText="1"/>
    </xf>
    <xf numFmtId="3" fontId="3" fillId="3" borderId="124" xfId="0" applyNumberFormat="1" applyFont="1" applyFill="1" applyBorder="1" applyAlignment="1">
      <alignment horizontal="center" vertical="top" wrapText="1"/>
    </xf>
    <xf numFmtId="3" fontId="3" fillId="0" borderId="124" xfId="0" applyNumberFormat="1" applyFont="1" applyFill="1" applyBorder="1" applyAlignment="1">
      <alignment horizontal="center" vertical="top" wrapText="1"/>
    </xf>
    <xf numFmtId="3" fontId="3" fillId="0" borderId="129" xfId="0" applyNumberFormat="1" applyFont="1" applyFill="1" applyBorder="1" applyAlignment="1">
      <alignment horizontal="center" vertical="top" wrapText="1"/>
    </xf>
    <xf numFmtId="0" fontId="18" fillId="0" borderId="36" xfId="0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18" fillId="0" borderId="88" xfId="0" applyNumberFormat="1" applyFont="1" applyFill="1" applyBorder="1" applyAlignment="1">
      <alignment horizontal="center" vertical="top"/>
    </xf>
    <xf numFmtId="49" fontId="5" fillId="7" borderId="21" xfId="0" applyNumberFormat="1" applyFont="1" applyFill="1" applyBorder="1" applyAlignment="1">
      <alignment horizontal="center" vertical="top"/>
    </xf>
    <xf numFmtId="0" fontId="3" fillId="7" borderId="8" xfId="0" applyFont="1" applyFill="1" applyBorder="1" applyAlignment="1">
      <alignment horizontal="center" vertical="top"/>
    </xf>
    <xf numFmtId="49" fontId="3" fillId="7" borderId="11" xfId="0" applyNumberFormat="1" applyFont="1" applyFill="1" applyBorder="1" applyAlignment="1">
      <alignment horizontal="center" vertical="top"/>
    </xf>
    <xf numFmtId="49" fontId="5" fillId="7" borderId="18" xfId="0" applyNumberFormat="1" applyFont="1" applyFill="1" applyBorder="1" applyAlignment="1">
      <alignment horizontal="center" vertical="top"/>
    </xf>
    <xf numFmtId="164" fontId="3" fillId="7" borderId="108" xfId="0" applyNumberFormat="1" applyFont="1" applyFill="1" applyBorder="1" applyAlignment="1">
      <alignment horizontal="right" vertical="top" wrapText="1"/>
    </xf>
    <xf numFmtId="49" fontId="3" fillId="7" borderId="29" xfId="0" applyNumberFormat="1" applyFont="1" applyFill="1" applyBorder="1" applyAlignment="1">
      <alignment horizontal="center" vertical="top"/>
    </xf>
    <xf numFmtId="49" fontId="5" fillId="7" borderId="28" xfId="0" applyNumberFormat="1" applyFont="1" applyFill="1" applyBorder="1" applyAlignment="1">
      <alignment horizontal="center" vertical="top"/>
    </xf>
    <xf numFmtId="0" fontId="3" fillId="7" borderId="24" xfId="0" applyFont="1" applyFill="1" applyBorder="1" applyAlignment="1">
      <alignment horizontal="center" vertical="top" wrapText="1"/>
    </xf>
    <xf numFmtId="164" fontId="3" fillId="7" borderId="24" xfId="0" applyNumberFormat="1" applyFont="1" applyFill="1" applyBorder="1" applyAlignment="1">
      <alignment horizontal="right" vertical="top" wrapText="1"/>
    </xf>
    <xf numFmtId="0" fontId="18" fillId="7" borderId="97" xfId="0" applyFont="1" applyFill="1" applyBorder="1" applyAlignment="1">
      <alignment vertical="top" wrapText="1"/>
    </xf>
    <xf numFmtId="0" fontId="3" fillId="7" borderId="35" xfId="0" applyFont="1" applyFill="1" applyBorder="1" applyAlignment="1">
      <alignment horizontal="center" vertical="center" textRotation="90" wrapText="1"/>
    </xf>
    <xf numFmtId="49" fontId="3" fillId="7" borderId="50" xfId="0" applyNumberFormat="1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top"/>
    </xf>
    <xf numFmtId="164" fontId="3" fillId="0" borderId="5" xfId="0" applyNumberFormat="1" applyFont="1" applyBorder="1" applyAlignment="1">
      <alignment vertical="top"/>
    </xf>
    <xf numFmtId="0" fontId="18" fillId="7" borderId="55" xfId="0" applyFont="1" applyFill="1" applyBorder="1" applyAlignment="1">
      <alignment vertical="top" wrapText="1"/>
    </xf>
    <xf numFmtId="0" fontId="3" fillId="0" borderId="87" xfId="0" applyFont="1" applyFill="1" applyBorder="1" applyAlignment="1">
      <alignment horizontal="center" vertical="center" textRotation="90" wrapText="1"/>
    </xf>
    <xf numFmtId="0" fontId="3" fillId="0" borderId="87" xfId="0" applyFont="1" applyFill="1" applyBorder="1" applyAlignment="1">
      <alignment horizontal="left" vertical="center" wrapText="1"/>
    </xf>
    <xf numFmtId="3" fontId="3" fillId="0" borderId="88" xfId="0" applyNumberFormat="1" applyFont="1" applyFill="1" applyBorder="1" applyAlignment="1">
      <alignment horizontal="center" vertical="top" wrapText="1"/>
    </xf>
    <xf numFmtId="3" fontId="3" fillId="0" borderId="88" xfId="0" applyNumberFormat="1" applyFont="1" applyFill="1" applyBorder="1" applyAlignment="1">
      <alignment horizontal="center" wrapText="1"/>
    </xf>
    <xf numFmtId="3" fontId="3" fillId="0" borderId="89" xfId="0" applyNumberFormat="1" applyFont="1" applyFill="1" applyBorder="1" applyAlignment="1">
      <alignment horizontal="center" wrapText="1"/>
    </xf>
    <xf numFmtId="0" fontId="5" fillId="0" borderId="38" xfId="0" applyFont="1" applyBorder="1" applyAlignment="1">
      <alignment horizontal="center" vertical="top"/>
    </xf>
    <xf numFmtId="0" fontId="10" fillId="7" borderId="45" xfId="0" applyFont="1" applyFill="1" applyBorder="1" applyAlignment="1">
      <alignment vertical="top" wrapText="1"/>
    </xf>
    <xf numFmtId="164" fontId="3" fillId="0" borderId="112" xfId="0" applyNumberFormat="1" applyFont="1" applyBorder="1" applyAlignment="1">
      <alignment horizontal="right" vertical="top"/>
    </xf>
    <xf numFmtId="164" fontId="3" fillId="3" borderId="117" xfId="0" applyNumberFormat="1" applyFont="1" applyFill="1" applyBorder="1" applyAlignment="1">
      <alignment horizontal="right" vertical="top"/>
    </xf>
    <xf numFmtId="164" fontId="3" fillId="8" borderId="87" xfId="0" applyNumberFormat="1" applyFont="1" applyFill="1" applyBorder="1" applyAlignment="1">
      <alignment horizontal="right" vertical="top"/>
    </xf>
    <xf numFmtId="164" fontId="24" fillId="0" borderId="49" xfId="0" applyNumberFormat="1" applyFont="1" applyFill="1" applyBorder="1" applyAlignment="1">
      <alignment horizontal="right" vertical="top"/>
    </xf>
    <xf numFmtId="164" fontId="24" fillId="0" borderId="11" xfId="0" applyNumberFormat="1" applyFont="1" applyFill="1" applyBorder="1" applyAlignment="1">
      <alignment horizontal="right" vertical="top"/>
    </xf>
    <xf numFmtId="0" fontId="3" fillId="0" borderId="1" xfId="0" applyNumberFormat="1" applyFont="1" applyFill="1" applyBorder="1" applyAlignment="1">
      <alignment vertical="center" textRotation="90"/>
    </xf>
    <xf numFmtId="0" fontId="3" fillId="0" borderId="17" xfId="0" applyNumberFormat="1" applyFont="1" applyFill="1" applyBorder="1" applyAlignment="1">
      <alignment vertical="center" textRotation="90"/>
    </xf>
    <xf numFmtId="3" fontId="3" fillId="0" borderId="11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0" fontId="3" fillId="7" borderId="38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center" vertical="center" wrapText="1"/>
    </xf>
    <xf numFmtId="164" fontId="3" fillId="0" borderId="46" xfId="0" applyNumberFormat="1" applyFont="1" applyBorder="1" applyAlignment="1">
      <alignment vertical="top"/>
    </xf>
    <xf numFmtId="164" fontId="3" fillId="3" borderId="122" xfId="0" applyNumberFormat="1" applyFont="1" applyFill="1" applyBorder="1" applyAlignment="1">
      <alignment horizontal="right" vertical="top" wrapText="1"/>
    </xf>
    <xf numFmtId="164" fontId="3" fillId="0" borderId="42" xfId="0" applyNumberFormat="1" applyFont="1" applyBorder="1" applyAlignment="1">
      <alignment vertical="top"/>
    </xf>
    <xf numFmtId="164" fontId="3" fillId="8" borderId="66" xfId="0" applyNumberFormat="1" applyFont="1" applyFill="1" applyBorder="1" applyAlignment="1">
      <alignment vertical="top"/>
    </xf>
    <xf numFmtId="164" fontId="3" fillId="8" borderId="79" xfId="0" applyNumberFormat="1" applyFont="1" applyFill="1" applyBorder="1" applyAlignment="1">
      <alignment vertical="top"/>
    </xf>
    <xf numFmtId="164" fontId="3" fillId="8" borderId="0" xfId="0" applyNumberFormat="1" applyFont="1" applyFill="1" applyBorder="1" applyAlignment="1">
      <alignment vertical="top"/>
    </xf>
    <xf numFmtId="164" fontId="3" fillId="8" borderId="130" xfId="0" applyNumberFormat="1" applyFont="1" applyFill="1" applyBorder="1" applyAlignment="1">
      <alignment horizontal="right" vertical="top"/>
    </xf>
    <xf numFmtId="164" fontId="3" fillId="0" borderId="118" xfId="0" applyNumberFormat="1" applyFont="1" applyBorder="1" applyAlignment="1">
      <alignment horizontal="right" vertical="top"/>
    </xf>
    <xf numFmtId="164" fontId="5" fillId="2" borderId="75" xfId="0" applyNumberFormat="1" applyFont="1" applyFill="1" applyBorder="1" applyAlignment="1">
      <alignment horizontal="right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10" borderId="11" xfId="0" applyNumberFormat="1" applyFont="1" applyFill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3" fillId="3" borderId="50" xfId="0" applyNumberFormat="1" applyFont="1" applyFill="1" applyBorder="1" applyAlignment="1">
      <alignment horizontal="center" vertical="top" wrapText="1"/>
    </xf>
    <xf numFmtId="0" fontId="5" fillId="3" borderId="35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164" fontId="3" fillId="0" borderId="89" xfId="0" applyNumberFormat="1" applyFont="1" applyFill="1" applyBorder="1" applyAlignment="1">
      <alignment horizontal="right" vertical="top"/>
    </xf>
    <xf numFmtId="164" fontId="3" fillId="3" borderId="115" xfId="0" applyNumberFormat="1" applyFont="1" applyFill="1" applyBorder="1" applyAlignment="1">
      <alignment horizontal="right" vertical="top"/>
    </xf>
    <xf numFmtId="164" fontId="3" fillId="3" borderId="121" xfId="0" applyNumberFormat="1" applyFont="1" applyFill="1" applyBorder="1" applyAlignment="1">
      <alignment horizontal="right" vertical="top"/>
    </xf>
    <xf numFmtId="3" fontId="3" fillId="3" borderId="18" xfId="0" applyNumberFormat="1" applyFont="1" applyFill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9" borderId="5" xfId="0" applyNumberFormat="1" applyFont="1" applyFill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10" borderId="11" xfId="0" applyNumberFormat="1" applyFont="1" applyFill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9" borderId="35" xfId="0" applyNumberFormat="1" applyFont="1" applyFill="1" applyBorder="1" applyAlignment="1">
      <alignment horizontal="center" vertical="top"/>
    </xf>
    <xf numFmtId="49" fontId="5" fillId="10" borderId="26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11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49" fontId="3" fillId="0" borderId="50" xfId="0" applyNumberFormat="1" applyFont="1" applyBorder="1" applyAlignment="1">
      <alignment horizontal="center" vertical="top" wrapText="1"/>
    </xf>
    <xf numFmtId="49" fontId="5" fillId="3" borderId="29" xfId="0" applyNumberFormat="1" applyFont="1" applyFill="1" applyBorder="1" applyAlignment="1">
      <alignment horizontal="center" vertical="top"/>
    </xf>
    <xf numFmtId="0" fontId="3" fillId="7" borderId="21" xfId="0" applyFont="1" applyFill="1" applyBorder="1" applyAlignment="1">
      <alignment horizontal="left" vertical="top" wrapText="1"/>
    </xf>
    <xf numFmtId="0" fontId="3" fillId="7" borderId="28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7" borderId="36" xfId="0" applyFont="1" applyFill="1" applyBorder="1" applyAlignment="1">
      <alignment horizontal="left" vertical="top" wrapText="1"/>
    </xf>
    <xf numFmtId="0" fontId="3" fillId="7" borderId="18" xfId="0" applyFont="1" applyFill="1" applyBorder="1" applyAlignment="1">
      <alignment horizontal="left" vertical="top" wrapText="1"/>
    </xf>
    <xf numFmtId="0" fontId="3" fillId="7" borderId="97" xfId="0" applyFont="1" applyFill="1" applyBorder="1" applyAlignment="1">
      <alignment horizontal="left" vertical="top" wrapText="1"/>
    </xf>
    <xf numFmtId="0" fontId="11" fillId="7" borderId="28" xfId="0" applyFont="1" applyFill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center" vertical="top"/>
    </xf>
    <xf numFmtId="49" fontId="5" fillId="0" borderId="20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top"/>
    </xf>
    <xf numFmtId="49" fontId="3" fillId="0" borderId="29" xfId="0" applyNumberFormat="1" applyFont="1" applyBorder="1" applyAlignment="1">
      <alignment horizontal="center" vertical="top"/>
    </xf>
    <xf numFmtId="49" fontId="3" fillId="0" borderId="48" xfId="0" applyNumberFormat="1" applyFont="1" applyBorder="1" applyAlignment="1">
      <alignment horizontal="center" vertical="top" wrapText="1"/>
    </xf>
    <xf numFmtId="49" fontId="3" fillId="0" borderId="20" xfId="0" applyNumberFormat="1" applyFont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 wrapText="1"/>
    </xf>
    <xf numFmtId="164" fontId="5" fillId="0" borderId="38" xfId="0" applyNumberFormat="1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left" vertical="center" textRotation="90" wrapText="1"/>
    </xf>
    <xf numFmtId="0" fontId="0" fillId="0" borderId="32" xfId="0" applyBorder="1" applyAlignment="1">
      <alignment vertical="top" wrapText="1"/>
    </xf>
    <xf numFmtId="0" fontId="3" fillId="3" borderId="54" xfId="0" applyFont="1" applyFill="1" applyBorder="1" applyAlignment="1">
      <alignment horizontal="left" vertical="top" wrapText="1"/>
    </xf>
    <xf numFmtId="49" fontId="5" fillId="0" borderId="14" xfId="0" applyNumberFormat="1" applyFont="1" applyBorder="1" applyAlignment="1">
      <alignment horizontal="center" vertical="top"/>
    </xf>
    <xf numFmtId="0" fontId="5" fillId="8" borderId="70" xfId="0" applyFont="1" applyFill="1" applyBorder="1" applyAlignment="1">
      <alignment horizontal="right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49" fontId="5" fillId="10" borderId="50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right" vertical="top"/>
    </xf>
    <xf numFmtId="164" fontId="3" fillId="3" borderId="17" xfId="0" applyNumberFormat="1" applyFont="1" applyFill="1" applyBorder="1" applyAlignment="1">
      <alignment horizontal="right" vertical="top"/>
    </xf>
    <xf numFmtId="0" fontId="3" fillId="7" borderId="94" xfId="0" applyFont="1" applyFill="1" applyBorder="1" applyAlignment="1">
      <alignment vertical="top" wrapText="1"/>
    </xf>
    <xf numFmtId="164" fontId="22" fillId="7" borderId="1" xfId="0" applyNumberFormat="1" applyFont="1" applyFill="1" applyBorder="1" applyAlignment="1">
      <alignment horizontal="right" vertical="top"/>
    </xf>
    <xf numFmtId="164" fontId="22" fillId="8" borderId="1" xfId="0" applyNumberFormat="1" applyFont="1" applyFill="1" applyBorder="1" applyAlignment="1">
      <alignment horizontal="right" vertical="top"/>
    </xf>
    <xf numFmtId="0" fontId="10" fillId="3" borderId="43" xfId="0" applyFont="1" applyFill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26" fillId="0" borderId="16" xfId="0" applyFont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top" wrapText="1"/>
    </xf>
    <xf numFmtId="164" fontId="22" fillId="7" borderId="38" xfId="0" applyNumberFormat="1" applyFont="1" applyFill="1" applyBorder="1" applyAlignment="1">
      <alignment horizontal="right" vertical="top"/>
    </xf>
    <xf numFmtId="164" fontId="22" fillId="7" borderId="21" xfId="0" applyNumberFormat="1" applyFont="1" applyFill="1" applyBorder="1" applyAlignment="1">
      <alignment horizontal="right" vertical="top"/>
    </xf>
    <xf numFmtId="164" fontId="22" fillId="7" borderId="95" xfId="0" applyNumberFormat="1" applyFont="1" applyFill="1" applyBorder="1" applyAlignment="1">
      <alignment horizontal="right" vertical="top"/>
    </xf>
    <xf numFmtId="164" fontId="22" fillId="7" borderId="28" xfId="0" applyNumberFormat="1" applyFont="1" applyFill="1" applyBorder="1" applyAlignment="1">
      <alignment horizontal="right" vertical="top"/>
    </xf>
    <xf numFmtId="164" fontId="22" fillId="7" borderId="16" xfId="0" applyNumberFormat="1" applyFont="1" applyFill="1" applyBorder="1" applyAlignment="1">
      <alignment horizontal="right" vertical="top"/>
    </xf>
    <xf numFmtId="164" fontId="22" fillId="7" borderId="17" xfId="0" applyNumberFormat="1" applyFont="1" applyFill="1" applyBorder="1" applyAlignment="1">
      <alignment horizontal="right" vertical="top"/>
    </xf>
    <xf numFmtId="164" fontId="22" fillId="8" borderId="37" xfId="0" applyNumberFormat="1" applyFont="1" applyFill="1" applyBorder="1" applyAlignment="1">
      <alignment horizontal="right" vertical="top"/>
    </xf>
    <xf numFmtId="164" fontId="22" fillId="8" borderId="39" xfId="0" applyNumberFormat="1" applyFont="1" applyFill="1" applyBorder="1" applyAlignment="1">
      <alignment horizontal="right" vertical="top"/>
    </xf>
    <xf numFmtId="0" fontId="3" fillId="7" borderId="83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3" fontId="3" fillId="7" borderId="83" xfId="0" applyNumberFormat="1" applyFont="1" applyFill="1" applyBorder="1" applyAlignment="1">
      <alignment horizontal="center" vertical="top" wrapText="1"/>
    </xf>
    <xf numFmtId="164" fontId="3" fillId="7" borderId="6" xfId="0" applyNumberFormat="1" applyFont="1" applyFill="1" applyBorder="1" applyAlignment="1">
      <alignment horizontal="right" vertical="top"/>
    </xf>
    <xf numFmtId="164" fontId="3" fillId="7" borderId="0" xfId="0" applyNumberFormat="1" applyFont="1" applyFill="1" applyBorder="1" applyAlignment="1">
      <alignment horizontal="right" vertical="top"/>
    </xf>
    <xf numFmtId="0" fontId="18" fillId="7" borderId="68" xfId="0" applyFont="1" applyFill="1" applyBorder="1" applyAlignment="1">
      <alignment vertical="top" wrapText="1"/>
    </xf>
    <xf numFmtId="0" fontId="3" fillId="0" borderId="23" xfId="0" applyFont="1" applyBorder="1" applyAlignment="1">
      <alignment horizontal="center" vertical="top" wrapText="1"/>
    </xf>
    <xf numFmtId="0" fontId="18" fillId="7" borderId="17" xfId="0" applyFont="1" applyFill="1" applyBorder="1" applyAlignment="1">
      <alignment vertical="top" wrapText="1"/>
    </xf>
    <xf numFmtId="0" fontId="23" fillId="0" borderId="16" xfId="0" applyFont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wrapText="1"/>
    </xf>
    <xf numFmtId="3" fontId="3" fillId="0" borderId="17" xfId="0" applyNumberFormat="1" applyFont="1" applyFill="1" applyBorder="1" applyAlignment="1">
      <alignment horizontal="center" wrapText="1"/>
    </xf>
    <xf numFmtId="0" fontId="10" fillId="0" borderId="17" xfId="0" applyFont="1" applyBorder="1" applyAlignment="1">
      <alignment vertical="top" wrapText="1"/>
    </xf>
    <xf numFmtId="0" fontId="3" fillId="0" borderId="23" xfId="0" applyFont="1" applyBorder="1" applyAlignment="1">
      <alignment horizontal="center" vertical="top"/>
    </xf>
    <xf numFmtId="49" fontId="5" fillId="3" borderId="21" xfId="0" applyNumberFormat="1" applyFont="1" applyFill="1" applyBorder="1" applyAlignment="1">
      <alignment horizontal="center" vertical="top"/>
    </xf>
    <xf numFmtId="0" fontId="3" fillId="0" borderId="38" xfId="0" applyFont="1" applyBorder="1" applyAlignment="1">
      <alignment horizontal="left" vertical="top" wrapText="1"/>
    </xf>
    <xf numFmtId="3" fontId="3" fillId="3" borderId="8" xfId="0" applyNumberFormat="1" applyFont="1" applyFill="1" applyBorder="1" applyAlignment="1">
      <alignment horizontal="right" vertical="top" wrapText="1"/>
    </xf>
    <xf numFmtId="3" fontId="3" fillId="3" borderId="24" xfId="0" applyNumberFormat="1" applyFont="1" applyFill="1" applyBorder="1" applyAlignment="1">
      <alignment horizontal="right" vertical="top" wrapText="1"/>
    </xf>
    <xf numFmtId="3" fontId="3" fillId="3" borderId="55" xfId="0" applyNumberFormat="1" applyFont="1" applyFill="1" applyBorder="1" applyAlignment="1">
      <alignment horizontal="right" vertical="top" wrapText="1"/>
    </xf>
    <xf numFmtId="3" fontId="3" fillId="8" borderId="24" xfId="0" applyNumberFormat="1" applyFont="1" applyFill="1" applyBorder="1" applyAlignment="1">
      <alignment horizontal="right" vertical="top"/>
    </xf>
    <xf numFmtId="3" fontId="3" fillId="8" borderId="6" xfId="0" applyNumberFormat="1" applyFont="1" applyFill="1" applyBorder="1" applyAlignment="1">
      <alignment horizontal="right" vertical="top"/>
    </xf>
    <xf numFmtId="3" fontId="5" fillId="8" borderId="70" xfId="0" applyNumberFormat="1" applyFont="1" applyFill="1" applyBorder="1" applyAlignment="1">
      <alignment horizontal="right" vertical="top"/>
    </xf>
    <xf numFmtId="3" fontId="5" fillId="8" borderId="33" xfId="0" applyNumberFormat="1" applyFont="1" applyFill="1" applyBorder="1" applyAlignment="1">
      <alignment horizontal="right" vertical="top"/>
    </xf>
    <xf numFmtId="3" fontId="3" fillId="3" borderId="6" xfId="0" applyNumberFormat="1" applyFont="1" applyFill="1" applyBorder="1" applyAlignment="1">
      <alignment horizontal="right" vertical="top" wrapText="1"/>
    </xf>
    <xf numFmtId="3" fontId="3" fillId="3" borderId="23" xfId="0" applyNumberFormat="1" applyFont="1" applyFill="1" applyBorder="1" applyAlignment="1">
      <alignment horizontal="right" vertical="top" wrapText="1"/>
    </xf>
    <xf numFmtId="3" fontId="5" fillId="8" borderId="61" xfId="0" applyNumberFormat="1" applyFont="1" applyFill="1" applyBorder="1" applyAlignment="1">
      <alignment horizontal="right" vertical="top"/>
    </xf>
    <xf numFmtId="3" fontId="5" fillId="8" borderId="59" xfId="0" applyNumberFormat="1" applyFont="1" applyFill="1" applyBorder="1" applyAlignment="1">
      <alignment horizontal="right" vertical="top"/>
    </xf>
    <xf numFmtId="3" fontId="3" fillId="3" borderId="45" xfId="0" applyNumberFormat="1" applyFont="1" applyFill="1" applyBorder="1" applyAlignment="1">
      <alignment horizontal="right" vertical="top" wrapText="1"/>
    </xf>
    <xf numFmtId="3" fontId="5" fillId="8" borderId="65" xfId="0" applyNumberFormat="1" applyFont="1" applyFill="1" applyBorder="1" applyAlignment="1">
      <alignment horizontal="right" vertical="top"/>
    </xf>
    <xf numFmtId="3" fontId="5" fillId="2" borderId="25" xfId="0" applyNumberFormat="1" applyFont="1" applyFill="1" applyBorder="1" applyAlignment="1">
      <alignment horizontal="right" vertical="top"/>
    </xf>
    <xf numFmtId="3" fontId="3" fillId="8" borderId="66" xfId="0" applyNumberFormat="1" applyFont="1" applyFill="1" applyBorder="1" applyAlignment="1">
      <alignment horizontal="right" vertical="top"/>
    </xf>
    <xf numFmtId="3" fontId="3" fillId="8" borderId="79" xfId="0" applyNumberFormat="1" applyFont="1" applyFill="1" applyBorder="1" applyAlignment="1">
      <alignment horizontal="right" vertical="top"/>
    </xf>
    <xf numFmtId="3" fontId="3" fillId="8" borderId="125" xfId="0" applyNumberFormat="1" applyFont="1" applyFill="1" applyBorder="1" applyAlignment="1">
      <alignment horizontal="right" vertical="top"/>
    </xf>
    <xf numFmtId="3" fontId="3" fillId="3" borderId="90" xfId="0" applyNumberFormat="1" applyFont="1" applyFill="1" applyBorder="1" applyAlignment="1">
      <alignment horizontal="right" vertical="top" wrapText="1"/>
    </xf>
    <xf numFmtId="3" fontId="3" fillId="3" borderId="107" xfId="0" applyNumberFormat="1" applyFont="1" applyFill="1" applyBorder="1" applyAlignment="1">
      <alignment horizontal="right" vertical="top" wrapText="1"/>
    </xf>
    <xf numFmtId="3" fontId="3" fillId="8" borderId="0" xfId="0" applyNumberFormat="1" applyFont="1" applyFill="1" applyBorder="1" applyAlignment="1">
      <alignment horizontal="right" vertical="top"/>
    </xf>
    <xf numFmtId="3" fontId="5" fillId="2" borderId="22" xfId="0" applyNumberFormat="1" applyFont="1" applyFill="1" applyBorder="1" applyAlignment="1">
      <alignment horizontal="right" vertical="top"/>
    </xf>
    <xf numFmtId="3" fontId="3" fillId="8" borderId="53" xfId="0" applyNumberFormat="1" applyFont="1" applyFill="1" applyBorder="1" applyAlignment="1">
      <alignment horizontal="right" vertical="top"/>
    </xf>
    <xf numFmtId="3" fontId="3" fillId="8" borderId="10" xfId="0" applyNumberFormat="1" applyFont="1" applyFill="1" applyBorder="1" applyAlignment="1">
      <alignment horizontal="right" vertical="top"/>
    </xf>
    <xf numFmtId="3" fontId="3" fillId="8" borderId="66" xfId="0" applyNumberFormat="1" applyFont="1" applyFill="1" applyBorder="1" applyAlignment="1">
      <alignment vertical="top"/>
    </xf>
    <xf numFmtId="3" fontId="5" fillId="5" borderId="10" xfId="0" applyNumberFormat="1" applyFont="1" applyFill="1" applyBorder="1" applyAlignment="1">
      <alignment horizontal="right" vertical="top"/>
    </xf>
    <xf numFmtId="3" fontId="5" fillId="8" borderId="24" xfId="0" applyNumberFormat="1" applyFont="1" applyFill="1" applyBorder="1" applyAlignment="1">
      <alignment horizontal="right" vertical="top"/>
    </xf>
    <xf numFmtId="3" fontId="3" fillId="7" borderId="24" xfId="0" applyNumberFormat="1" applyFont="1" applyFill="1" applyBorder="1" applyAlignment="1">
      <alignment horizontal="right" vertical="top"/>
    </xf>
    <xf numFmtId="3" fontId="3" fillId="0" borderId="24" xfId="0" applyNumberFormat="1" applyFont="1" applyBorder="1" applyAlignment="1">
      <alignment horizontal="right" vertical="top"/>
    </xf>
    <xf numFmtId="3" fontId="5" fillId="5" borderId="24" xfId="0" applyNumberFormat="1" applyFont="1" applyFill="1" applyBorder="1" applyAlignment="1">
      <alignment horizontal="right" vertical="top"/>
    </xf>
    <xf numFmtId="3" fontId="5" fillId="4" borderId="70" xfId="0" applyNumberFormat="1" applyFont="1" applyFill="1" applyBorder="1" applyAlignment="1">
      <alignment horizontal="right" vertical="top"/>
    </xf>
    <xf numFmtId="49" fontId="5" fillId="3" borderId="50" xfId="0" applyNumberFormat="1" applyFont="1" applyFill="1" applyBorder="1" applyAlignment="1">
      <alignment horizontal="center" vertical="top"/>
    </xf>
    <xf numFmtId="0" fontId="5" fillId="3" borderId="35" xfId="0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/>
    </xf>
    <xf numFmtId="49" fontId="3" fillId="3" borderId="50" xfId="0" applyNumberFormat="1" applyFont="1" applyFill="1" applyBorder="1" applyAlignment="1">
      <alignment horizontal="center" vertical="top" wrapText="1"/>
    </xf>
    <xf numFmtId="0" fontId="3" fillId="3" borderId="87" xfId="0" applyFont="1" applyFill="1" applyBorder="1" applyAlignment="1">
      <alignment horizontal="left" vertical="top" wrapText="1"/>
    </xf>
    <xf numFmtId="3" fontId="3" fillId="3" borderId="88" xfId="0" applyNumberFormat="1" applyFont="1" applyFill="1" applyBorder="1" applyAlignment="1">
      <alignment horizontal="center" vertical="top" wrapText="1"/>
    </xf>
    <xf numFmtId="3" fontId="3" fillId="3" borderId="88" xfId="0" applyNumberFormat="1" applyFont="1" applyFill="1" applyBorder="1" applyAlignment="1">
      <alignment horizontal="center" vertical="top"/>
    </xf>
    <xf numFmtId="3" fontId="3" fillId="3" borderId="89" xfId="0" applyNumberFormat="1" applyFont="1" applyFill="1" applyBorder="1" applyAlignment="1">
      <alignment horizontal="center" vertical="top"/>
    </xf>
    <xf numFmtId="49" fontId="5" fillId="9" borderId="35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10" borderId="11" xfId="0" applyNumberFormat="1" applyFont="1" applyFill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 wrapText="1"/>
    </xf>
    <xf numFmtId="49" fontId="3" fillId="7" borderId="24" xfId="0" applyNumberFormat="1" applyFont="1" applyFill="1" applyBorder="1" applyAlignment="1">
      <alignment horizontal="center" vertical="top" wrapText="1"/>
    </xf>
    <xf numFmtId="49" fontId="5" fillId="9" borderId="35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0" fontId="5" fillId="0" borderId="30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vertical="top" wrapText="1"/>
    </xf>
    <xf numFmtId="49" fontId="5" fillId="0" borderId="11" xfId="0" applyNumberFormat="1" applyFont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 wrapText="1"/>
    </xf>
    <xf numFmtId="49" fontId="5" fillId="10" borderId="11" xfId="0" applyNumberFormat="1" applyFont="1" applyFill="1" applyBorder="1" applyAlignment="1">
      <alignment horizontal="center" vertical="top"/>
    </xf>
    <xf numFmtId="49" fontId="5" fillId="0" borderId="20" xfId="0" applyNumberFormat="1" applyFont="1" applyBorder="1" applyAlignment="1">
      <alignment horizontal="center" vertical="top"/>
    </xf>
    <xf numFmtId="0" fontId="11" fillId="0" borderId="7" xfId="0" applyFont="1" applyBorder="1" applyAlignment="1">
      <alignment horizontal="center" textRotation="90" wrapText="1"/>
    </xf>
    <xf numFmtId="49" fontId="5" fillId="3" borderId="29" xfId="0" applyNumberFormat="1" applyFont="1" applyFill="1" applyBorder="1" applyAlignment="1">
      <alignment horizontal="center" vertical="top"/>
    </xf>
    <xf numFmtId="0" fontId="0" fillId="0" borderId="35" xfId="0" applyBorder="1" applyAlignment="1">
      <alignment horizontal="center" vertical="center" textRotation="90" wrapText="1"/>
    </xf>
    <xf numFmtId="0" fontId="26" fillId="0" borderId="38" xfId="0" applyFont="1" applyBorder="1" applyAlignment="1">
      <alignment horizontal="center" vertical="top" wrapText="1"/>
    </xf>
    <xf numFmtId="49" fontId="3" fillId="0" borderId="20" xfId="0" applyNumberFormat="1" applyFont="1" applyBorder="1" applyAlignment="1">
      <alignment horizontal="center" vertical="top" wrapText="1"/>
    </xf>
    <xf numFmtId="0" fontId="3" fillId="0" borderId="28" xfId="0" applyNumberFormat="1" applyFont="1" applyFill="1" applyBorder="1" applyAlignment="1">
      <alignment horizontal="center" vertical="top"/>
    </xf>
    <xf numFmtId="0" fontId="3" fillId="0" borderId="88" xfId="0" applyFont="1" applyFill="1" applyBorder="1" applyAlignment="1">
      <alignment horizontal="center" vertical="top"/>
    </xf>
    <xf numFmtId="164" fontId="3" fillId="7" borderId="128" xfId="0" applyNumberFormat="1" applyFont="1" applyFill="1" applyBorder="1" applyAlignment="1">
      <alignment horizontal="right" vertical="top"/>
    </xf>
    <xf numFmtId="164" fontId="3" fillId="0" borderId="115" xfId="0" applyNumberFormat="1" applyFont="1" applyFill="1" applyBorder="1" applyAlignment="1">
      <alignment horizontal="right" vertical="top"/>
    </xf>
    <xf numFmtId="164" fontId="3" fillId="3" borderId="128" xfId="0" applyNumberFormat="1" applyFont="1" applyFill="1" applyBorder="1" applyAlignment="1">
      <alignment horizontal="right" vertical="top"/>
    </xf>
    <xf numFmtId="0" fontId="3" fillId="0" borderId="88" xfId="0" applyFont="1" applyBorder="1" applyAlignment="1">
      <alignment vertical="top"/>
    </xf>
    <xf numFmtId="0" fontId="3" fillId="0" borderId="121" xfId="0" applyFont="1" applyBorder="1" applyAlignment="1">
      <alignment vertical="top"/>
    </xf>
    <xf numFmtId="0" fontId="18" fillId="0" borderId="87" xfId="0" applyFont="1" applyFill="1" applyBorder="1" applyAlignment="1">
      <alignment horizontal="left" vertical="top" wrapText="1"/>
    </xf>
    <xf numFmtId="49" fontId="3" fillId="7" borderId="88" xfId="0" applyNumberFormat="1" applyFont="1" applyFill="1" applyBorder="1" applyAlignment="1">
      <alignment horizontal="center" vertical="top"/>
    </xf>
    <xf numFmtId="164" fontId="3" fillId="7" borderId="104" xfId="0" applyNumberFormat="1" applyFont="1" applyFill="1" applyBorder="1" applyAlignment="1">
      <alignment horizontal="right" vertical="top"/>
    </xf>
    <xf numFmtId="164" fontId="3" fillId="7" borderId="118" xfId="0" applyNumberFormat="1" applyFont="1" applyFill="1" applyBorder="1" applyAlignment="1">
      <alignment horizontal="right" vertical="top"/>
    </xf>
    <xf numFmtId="164" fontId="3" fillId="0" borderId="100" xfId="0" applyNumberFormat="1" applyFont="1" applyFill="1" applyBorder="1" applyAlignment="1">
      <alignment horizontal="right" vertical="top"/>
    </xf>
    <xf numFmtId="164" fontId="3" fillId="3" borderId="122" xfId="0" applyNumberFormat="1" applyFont="1" applyFill="1" applyBorder="1" applyAlignment="1">
      <alignment horizontal="right" vertical="top"/>
    </xf>
    <xf numFmtId="0" fontId="3" fillId="0" borderId="102" xfId="0" applyFont="1" applyBorder="1" applyAlignment="1">
      <alignment vertical="top"/>
    </xf>
    <xf numFmtId="0" fontId="3" fillId="0" borderId="105" xfId="0" applyFont="1" applyBorder="1" applyAlignment="1">
      <alignment vertical="top"/>
    </xf>
    <xf numFmtId="0" fontId="3" fillId="0" borderId="7" xfId="0" applyFont="1" applyFill="1" applyBorder="1" applyAlignment="1">
      <alignment vertical="top" wrapText="1"/>
    </xf>
    <xf numFmtId="0" fontId="3" fillId="7" borderId="30" xfId="0" applyFont="1" applyFill="1" applyBorder="1" applyAlignment="1">
      <alignment horizontal="left" vertical="top" wrapText="1"/>
    </xf>
    <xf numFmtId="0" fontId="0" fillId="0" borderId="9" xfId="0" applyBorder="1" applyAlignment="1">
      <alignment vertical="top"/>
    </xf>
    <xf numFmtId="164" fontId="3" fillId="7" borderId="91" xfId="0" applyNumberFormat="1" applyFont="1" applyFill="1" applyBorder="1" applyAlignment="1">
      <alignment horizontal="center" vertical="top"/>
    </xf>
    <xf numFmtId="164" fontId="3" fillId="7" borderId="92" xfId="0" applyNumberFormat="1" applyFont="1" applyFill="1" applyBorder="1" applyAlignment="1">
      <alignment horizontal="center" vertical="top"/>
    </xf>
    <xf numFmtId="164" fontId="3" fillId="0" borderId="92" xfId="0" applyNumberFormat="1" applyFont="1" applyBorder="1" applyAlignment="1">
      <alignment horizontal="center" vertical="top"/>
    </xf>
    <xf numFmtId="164" fontId="3" fillId="0" borderId="94" xfId="0" applyNumberFormat="1" applyFont="1" applyBorder="1" applyAlignment="1">
      <alignment horizontal="center" vertical="top"/>
    </xf>
    <xf numFmtId="164" fontId="3" fillId="7" borderId="30" xfId="0" applyNumberFormat="1" applyFont="1" applyFill="1" applyBorder="1" applyAlignment="1">
      <alignment horizontal="center" vertical="top"/>
    </xf>
    <xf numFmtId="164" fontId="3" fillId="7" borderId="29" xfId="0" applyNumberFormat="1" applyFont="1" applyFill="1" applyBorder="1" applyAlignment="1">
      <alignment horizontal="center" vertical="top"/>
    </xf>
    <xf numFmtId="164" fontId="3" fillId="0" borderId="29" xfId="0" applyNumberFormat="1" applyFont="1" applyBorder="1" applyAlignment="1">
      <alignment horizontal="center" vertical="top"/>
    </xf>
    <xf numFmtId="164" fontId="3" fillId="0" borderId="28" xfId="0" applyNumberFormat="1" applyFont="1" applyBorder="1" applyAlignment="1">
      <alignment horizontal="center" vertical="top"/>
    </xf>
    <xf numFmtId="164" fontId="3" fillId="7" borderId="7" xfId="0" applyNumberFormat="1" applyFont="1" applyFill="1" applyBorder="1" applyAlignment="1">
      <alignment horizontal="center" vertical="top"/>
    </xf>
    <xf numFmtId="164" fontId="3" fillId="7" borderId="11" xfId="0" applyNumberFormat="1" applyFont="1" applyFill="1" applyBorder="1" applyAlignment="1">
      <alignment horizontal="center" vertical="top"/>
    </xf>
    <xf numFmtId="164" fontId="3" fillId="7" borderId="18" xfId="0" applyNumberFormat="1" applyFont="1" applyFill="1" applyBorder="1" applyAlignment="1">
      <alignment horizontal="center" vertical="top"/>
    </xf>
    <xf numFmtId="164" fontId="3" fillId="7" borderId="16" xfId="0" applyNumberFormat="1" applyFont="1" applyFill="1" applyBorder="1" applyAlignment="1">
      <alignment horizontal="center" vertical="top"/>
    </xf>
    <xf numFmtId="164" fontId="3" fillId="7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164" fontId="3" fillId="0" borderId="17" xfId="0" applyNumberFormat="1" applyFont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164" fontId="3" fillId="0" borderId="17" xfId="0" applyNumberFormat="1" applyFont="1" applyFill="1" applyBorder="1" applyAlignment="1">
      <alignment horizontal="center" vertical="top"/>
    </xf>
    <xf numFmtId="164" fontId="3" fillId="0" borderId="71" xfId="0" applyNumberFormat="1" applyFont="1" applyFill="1" applyBorder="1" applyAlignment="1">
      <alignment horizontal="right" vertical="top"/>
    </xf>
    <xf numFmtId="164" fontId="3" fillId="0" borderId="68" xfId="0" applyNumberFormat="1" applyFont="1" applyFill="1" applyBorder="1" applyAlignment="1">
      <alignment horizontal="right" vertical="top"/>
    </xf>
    <xf numFmtId="164" fontId="3" fillId="0" borderId="35" xfId="0" applyNumberFormat="1" applyFont="1" applyFill="1" applyBorder="1" applyAlignment="1">
      <alignment horizontal="right" vertical="top"/>
    </xf>
    <xf numFmtId="0" fontId="3" fillId="0" borderId="55" xfId="0" applyFont="1" applyBorder="1" applyAlignment="1">
      <alignment vertical="top"/>
    </xf>
    <xf numFmtId="164" fontId="3" fillId="7" borderId="100" xfId="0" applyNumberFormat="1" applyFont="1" applyFill="1" applyBorder="1" applyAlignment="1">
      <alignment horizontal="right" vertical="top" wrapText="1"/>
    </xf>
    <xf numFmtId="164" fontId="3" fillId="7" borderId="79" xfId="0" applyNumberFormat="1" applyFont="1" applyFill="1" applyBorder="1" applyAlignment="1">
      <alignment horizontal="right" vertical="top" wrapText="1"/>
    </xf>
    <xf numFmtId="164" fontId="3" fillId="7" borderId="114" xfId="0" applyNumberFormat="1" applyFont="1" applyFill="1" applyBorder="1" applyAlignment="1">
      <alignment horizontal="right" vertical="top" wrapText="1"/>
    </xf>
    <xf numFmtId="164" fontId="3" fillId="7" borderId="46" xfId="0" applyNumberFormat="1" applyFont="1" applyFill="1" applyBorder="1" applyAlignment="1">
      <alignment horizontal="right" vertical="top"/>
    </xf>
    <xf numFmtId="164" fontId="3" fillId="7" borderId="41" xfId="0" applyNumberFormat="1" applyFont="1" applyFill="1" applyBorder="1" applyAlignment="1">
      <alignment horizontal="right" vertical="top"/>
    </xf>
    <xf numFmtId="0" fontId="21" fillId="0" borderId="35" xfId="0" applyFont="1" applyFill="1" applyBorder="1" applyAlignment="1">
      <alignment horizontal="center" vertical="top" textRotation="90" wrapText="1"/>
    </xf>
    <xf numFmtId="3" fontId="3" fillId="8" borderId="112" xfId="0" applyNumberFormat="1" applyFont="1" applyFill="1" applyBorder="1" applyAlignment="1">
      <alignment horizontal="right" vertical="top"/>
    </xf>
    <xf numFmtId="3" fontId="3" fillId="3" borderId="115" xfId="0" applyNumberFormat="1" applyFont="1" applyFill="1" applyBorder="1" applyAlignment="1">
      <alignment horizontal="right" vertical="top" wrapText="1"/>
    </xf>
    <xf numFmtId="3" fontId="3" fillId="3" borderId="121" xfId="0" applyNumberFormat="1" applyFont="1" applyFill="1" applyBorder="1" applyAlignment="1">
      <alignment horizontal="right" vertical="top" wrapText="1"/>
    </xf>
    <xf numFmtId="3" fontId="3" fillId="8" borderId="110" xfId="0" applyNumberFormat="1" applyFont="1" applyFill="1" applyBorder="1" applyAlignment="1">
      <alignment horizontal="right" vertical="top"/>
    </xf>
    <xf numFmtId="3" fontId="3" fillId="3" borderId="108" xfId="0" applyNumberFormat="1" applyFont="1" applyFill="1" applyBorder="1" applyAlignment="1">
      <alignment horizontal="right" vertical="top" wrapText="1"/>
    </xf>
    <xf numFmtId="3" fontId="3" fillId="3" borderId="111" xfId="0" applyNumberFormat="1" applyFont="1" applyFill="1" applyBorder="1" applyAlignment="1">
      <alignment horizontal="right" vertical="top" wrapText="1"/>
    </xf>
    <xf numFmtId="3" fontId="3" fillId="8" borderId="19" xfId="0" applyNumberFormat="1" applyFont="1" applyFill="1" applyBorder="1" applyAlignment="1">
      <alignment horizontal="right" vertical="top"/>
    </xf>
    <xf numFmtId="3" fontId="3" fillId="3" borderId="79" xfId="0" applyNumberFormat="1" applyFont="1" applyFill="1" applyBorder="1" applyAlignment="1">
      <alignment horizontal="right" vertical="top" wrapText="1"/>
    </xf>
    <xf numFmtId="3" fontId="3" fillId="8" borderId="49" xfId="0" applyNumberFormat="1" applyFont="1" applyFill="1" applyBorder="1" applyAlignment="1">
      <alignment horizontal="right" vertical="top"/>
    </xf>
    <xf numFmtId="3" fontId="3" fillId="7" borderId="6" xfId="0" applyNumberFormat="1" applyFont="1" applyFill="1" applyBorder="1" applyAlignment="1">
      <alignment horizontal="right" vertical="top"/>
    </xf>
    <xf numFmtId="3" fontId="3" fillId="3" borderId="0" xfId="0" applyNumberFormat="1" applyFont="1" applyFill="1" applyBorder="1" applyAlignment="1">
      <alignment horizontal="right" vertical="top"/>
    </xf>
    <xf numFmtId="3" fontId="3" fillId="8" borderId="86" xfId="0" applyNumberFormat="1" applyFont="1" applyFill="1" applyBorder="1" applyAlignment="1">
      <alignment horizontal="right" vertical="top"/>
    </xf>
    <xf numFmtId="3" fontId="3" fillId="3" borderId="81" xfId="0" applyNumberFormat="1" applyFont="1" applyFill="1" applyBorder="1" applyAlignment="1">
      <alignment horizontal="right" vertical="top" wrapText="1"/>
    </xf>
    <xf numFmtId="3" fontId="3" fillId="3" borderId="106" xfId="0" applyNumberFormat="1" applyFont="1" applyFill="1" applyBorder="1" applyAlignment="1">
      <alignment horizontal="right" vertical="top" wrapText="1"/>
    </xf>
    <xf numFmtId="3" fontId="3" fillId="8" borderId="47" xfId="0" applyNumberFormat="1" applyFont="1" applyFill="1" applyBorder="1" applyAlignment="1">
      <alignment horizontal="right" vertical="top"/>
    </xf>
    <xf numFmtId="3" fontId="3" fillId="3" borderId="63" xfId="0" applyNumberFormat="1" applyFont="1" applyFill="1" applyBorder="1" applyAlignment="1">
      <alignment horizontal="right" vertical="top" wrapText="1"/>
    </xf>
    <xf numFmtId="3" fontId="3" fillId="8" borderId="23" xfId="0" applyNumberFormat="1" applyFont="1" applyFill="1" applyBorder="1" applyAlignment="1">
      <alignment horizontal="right" vertical="top"/>
    </xf>
    <xf numFmtId="3" fontId="3" fillId="3" borderId="44" xfId="0" applyNumberFormat="1" applyFont="1" applyFill="1" applyBorder="1" applyAlignment="1">
      <alignment horizontal="right" vertical="top" wrapText="1"/>
    </xf>
    <xf numFmtId="3" fontId="3" fillId="3" borderId="66" xfId="0" applyNumberFormat="1" applyFont="1" applyFill="1" applyBorder="1" applyAlignment="1">
      <alignment horizontal="right" vertical="top" wrapText="1"/>
    </xf>
    <xf numFmtId="3" fontId="3" fillId="3" borderId="0" xfId="0" applyNumberFormat="1" applyFont="1" applyFill="1" applyBorder="1" applyAlignment="1">
      <alignment horizontal="right" vertical="top" wrapText="1"/>
    </xf>
    <xf numFmtId="3" fontId="3" fillId="8" borderId="108" xfId="0" applyNumberFormat="1" applyFont="1" applyFill="1" applyBorder="1" applyAlignment="1">
      <alignment horizontal="right" vertical="top"/>
    </xf>
    <xf numFmtId="3" fontId="3" fillId="0" borderId="113" xfId="0" applyNumberFormat="1" applyFont="1" applyFill="1" applyBorder="1" applyAlignment="1">
      <alignment horizontal="right" vertical="top"/>
    </xf>
    <xf numFmtId="3" fontId="3" fillId="0" borderId="108" xfId="0" applyNumberFormat="1" applyFont="1" applyFill="1" applyBorder="1" applyAlignment="1">
      <alignment horizontal="right" vertical="top"/>
    </xf>
    <xf numFmtId="3" fontId="3" fillId="8" borderId="100" xfId="0" applyNumberFormat="1" applyFont="1" applyFill="1" applyBorder="1" applyAlignment="1">
      <alignment horizontal="right" vertical="top"/>
    </xf>
    <xf numFmtId="3" fontId="3" fillId="0" borderId="122" xfId="0" applyNumberFormat="1" applyFont="1" applyFill="1" applyBorder="1" applyAlignment="1">
      <alignment horizontal="right" vertical="top"/>
    </xf>
    <xf numFmtId="3" fontId="3" fillId="0" borderId="100" xfId="0" applyNumberFormat="1" applyFont="1" applyFill="1" applyBorder="1" applyAlignment="1">
      <alignment horizontal="right" vertical="top"/>
    </xf>
    <xf numFmtId="3" fontId="3" fillId="8" borderId="81" xfId="0" applyNumberFormat="1" applyFont="1" applyFill="1" applyBorder="1" applyAlignment="1">
      <alignment horizontal="right" vertical="top"/>
    </xf>
    <xf numFmtId="3" fontId="5" fillId="8" borderId="60" xfId="0" applyNumberFormat="1" applyFont="1" applyFill="1" applyBorder="1" applyAlignment="1">
      <alignment horizontal="right" vertical="top"/>
    </xf>
    <xf numFmtId="3" fontId="5" fillId="8" borderId="10" xfId="0" applyNumberFormat="1" applyFont="1" applyFill="1" applyBorder="1" applyAlignment="1">
      <alignment horizontal="right" vertical="top"/>
    </xf>
    <xf numFmtId="3" fontId="5" fillId="3" borderId="52" xfId="0" applyNumberFormat="1" applyFont="1" applyFill="1" applyBorder="1" applyAlignment="1">
      <alignment horizontal="right" vertical="top"/>
    </xf>
    <xf numFmtId="3" fontId="3" fillId="0" borderId="8" xfId="0" applyNumberFormat="1" applyFont="1" applyFill="1" applyBorder="1" applyAlignment="1">
      <alignment horizontal="right" vertical="top"/>
    </xf>
    <xf numFmtId="3" fontId="3" fillId="0" borderId="81" xfId="0" applyNumberFormat="1" applyFont="1" applyFill="1" applyBorder="1" applyAlignment="1">
      <alignment horizontal="right" vertical="top"/>
    </xf>
    <xf numFmtId="3" fontId="3" fillId="0" borderId="106" xfId="0" applyNumberFormat="1" applyFont="1" applyFill="1" applyBorder="1" applyAlignment="1">
      <alignment horizontal="right" vertical="top"/>
    </xf>
    <xf numFmtId="3" fontId="3" fillId="0" borderId="24" xfId="0" applyNumberFormat="1" applyFont="1" applyFill="1" applyBorder="1" applyAlignment="1">
      <alignment horizontal="right" vertical="top"/>
    </xf>
    <xf numFmtId="3" fontId="3" fillId="0" borderId="55" xfId="0" applyNumberFormat="1" applyFont="1" applyFill="1" applyBorder="1" applyAlignment="1">
      <alignment horizontal="right" vertical="top"/>
    </xf>
    <xf numFmtId="3" fontId="3" fillId="8" borderId="37" xfId="0" applyNumberFormat="1" applyFont="1" applyFill="1" applyBorder="1" applyAlignment="1">
      <alignment horizontal="right" vertical="top"/>
    </xf>
    <xf numFmtId="3" fontId="3" fillId="0" borderId="23" xfId="0" applyNumberFormat="1" applyFont="1" applyFill="1" applyBorder="1" applyAlignment="1">
      <alignment horizontal="right" vertical="top"/>
    </xf>
    <xf numFmtId="3" fontId="3" fillId="0" borderId="44" xfId="0" applyNumberFormat="1" applyFont="1" applyFill="1" applyBorder="1" applyAlignment="1">
      <alignment horizontal="right" vertical="top"/>
    </xf>
    <xf numFmtId="3" fontId="3" fillId="3" borderId="6" xfId="0" applyNumberFormat="1" applyFont="1" applyFill="1" applyBorder="1" applyAlignment="1">
      <alignment horizontal="right" vertical="top"/>
    </xf>
    <xf numFmtId="3" fontId="3" fillId="3" borderId="45" xfId="0" applyNumberFormat="1" applyFont="1" applyFill="1" applyBorder="1" applyAlignment="1">
      <alignment horizontal="right" vertical="top"/>
    </xf>
    <xf numFmtId="3" fontId="5" fillId="8" borderId="41" xfId="0" applyNumberFormat="1" applyFont="1" applyFill="1" applyBorder="1" applyAlignment="1">
      <alignment horizontal="right" vertical="top"/>
    </xf>
    <xf numFmtId="3" fontId="5" fillId="3" borderId="77" xfId="0" applyNumberFormat="1" applyFont="1" applyFill="1" applyBorder="1" applyAlignment="1">
      <alignment horizontal="right" vertical="top"/>
    </xf>
    <xf numFmtId="3" fontId="5" fillId="3" borderId="10" xfId="0" applyNumberFormat="1" applyFont="1" applyFill="1" applyBorder="1" applyAlignment="1">
      <alignment horizontal="right" vertical="top"/>
    </xf>
    <xf numFmtId="3" fontId="3" fillId="8" borderId="8" xfId="0" applyNumberFormat="1" applyFont="1" applyFill="1" applyBorder="1" applyAlignment="1">
      <alignment horizontal="right" vertical="top"/>
    </xf>
    <xf numFmtId="3" fontId="3" fillId="3" borderId="113" xfId="0" applyNumberFormat="1" applyFont="1" applyFill="1" applyBorder="1" applyAlignment="1">
      <alignment horizontal="right" vertical="top" wrapText="1"/>
    </xf>
    <xf numFmtId="3" fontId="3" fillId="3" borderId="81" xfId="0" applyNumberFormat="1" applyFont="1" applyFill="1" applyBorder="1" applyAlignment="1">
      <alignment horizontal="right" vertical="top"/>
    </xf>
    <xf numFmtId="3" fontId="3" fillId="3" borderId="114" xfId="0" applyNumberFormat="1" applyFont="1" applyFill="1" applyBorder="1" applyAlignment="1">
      <alignment horizontal="right" vertical="top" wrapText="1"/>
    </xf>
    <xf numFmtId="3" fontId="3" fillId="3" borderId="100" xfId="0" applyNumberFormat="1" applyFont="1" applyFill="1" applyBorder="1" applyAlignment="1">
      <alignment horizontal="right" vertical="top"/>
    </xf>
    <xf numFmtId="3" fontId="5" fillId="3" borderId="73" xfId="0" applyNumberFormat="1" applyFont="1" applyFill="1" applyBorder="1" applyAlignment="1">
      <alignment horizontal="right" vertical="top"/>
    </xf>
    <xf numFmtId="3" fontId="3" fillId="3" borderId="10" xfId="0" applyNumberFormat="1" applyFont="1" applyFill="1" applyBorder="1" applyAlignment="1">
      <alignment horizontal="right" vertical="top"/>
    </xf>
    <xf numFmtId="3" fontId="3" fillId="3" borderId="106" xfId="0" applyNumberFormat="1" applyFont="1" applyFill="1" applyBorder="1" applyAlignment="1">
      <alignment horizontal="right" vertical="top"/>
    </xf>
    <xf numFmtId="3" fontId="3" fillId="0" borderId="45" xfId="0" applyNumberFormat="1" applyFont="1" applyFill="1" applyBorder="1" applyAlignment="1">
      <alignment horizontal="right" vertical="top"/>
    </xf>
    <xf numFmtId="3" fontId="3" fillId="0" borderId="105" xfId="0" applyNumberFormat="1" applyFont="1" applyFill="1" applyBorder="1" applyAlignment="1">
      <alignment horizontal="right" vertical="top"/>
    </xf>
    <xf numFmtId="3" fontId="5" fillId="8" borderId="6" xfId="0" applyNumberFormat="1" applyFont="1" applyFill="1" applyBorder="1" applyAlignment="1">
      <alignment horizontal="right" vertical="top"/>
    </xf>
    <xf numFmtId="3" fontId="5" fillId="8" borderId="49" xfId="0" applyNumberFormat="1" applyFont="1" applyFill="1" applyBorder="1" applyAlignment="1">
      <alignment horizontal="right" vertical="top"/>
    </xf>
    <xf numFmtId="3" fontId="5" fillId="8" borderId="7" xfId="0" applyNumberFormat="1" applyFont="1" applyFill="1" applyBorder="1" applyAlignment="1">
      <alignment horizontal="right" vertical="top"/>
    </xf>
    <xf numFmtId="3" fontId="3" fillId="8" borderId="115" xfId="0" applyNumberFormat="1" applyFont="1" applyFill="1" applyBorder="1" applyAlignment="1">
      <alignment horizontal="right" vertical="top"/>
    </xf>
    <xf numFmtId="3" fontId="3" fillId="8" borderId="41" xfId="1" applyNumberFormat="1" applyFont="1" applyFill="1" applyBorder="1" applyAlignment="1">
      <alignment horizontal="right" vertical="top"/>
    </xf>
    <xf numFmtId="3" fontId="3" fillId="7" borderId="41" xfId="1" applyNumberFormat="1" applyFont="1" applyFill="1" applyBorder="1" applyAlignment="1">
      <alignment horizontal="right" vertical="top"/>
    </xf>
    <xf numFmtId="3" fontId="3" fillId="8" borderId="41" xfId="0" applyNumberFormat="1" applyFont="1" applyFill="1" applyBorder="1" applyAlignment="1">
      <alignment horizontal="right" vertical="top"/>
    </xf>
    <xf numFmtId="3" fontId="3" fillId="0" borderId="41" xfId="0" applyNumberFormat="1" applyFont="1" applyBorder="1" applyAlignment="1">
      <alignment horizontal="right" vertical="top"/>
    </xf>
    <xf numFmtId="3" fontId="3" fillId="0" borderId="23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3" fontId="3" fillId="0" borderId="45" xfId="0" applyNumberFormat="1" applyFont="1" applyBorder="1" applyAlignment="1">
      <alignment horizontal="right" vertical="top"/>
    </xf>
    <xf numFmtId="3" fontId="3" fillId="3" borderId="10" xfId="0" applyNumberFormat="1" applyFont="1" applyFill="1" applyBorder="1" applyAlignment="1">
      <alignment horizontal="right" vertical="top" wrapText="1"/>
    </xf>
    <xf numFmtId="3" fontId="3" fillId="8" borderId="114" xfId="0" applyNumberFormat="1" applyFont="1" applyFill="1" applyBorder="1" applyAlignment="1">
      <alignment horizontal="right" vertical="top"/>
    </xf>
    <xf numFmtId="3" fontId="3" fillId="7" borderId="23" xfId="0" applyNumberFormat="1" applyFont="1" applyFill="1" applyBorder="1" applyAlignment="1">
      <alignment horizontal="right" vertical="top" wrapText="1"/>
    </xf>
    <xf numFmtId="3" fontId="3" fillId="7" borderId="66" xfId="0" applyNumberFormat="1" applyFont="1" applyFill="1" applyBorder="1" applyAlignment="1">
      <alignment horizontal="right" vertical="top" wrapText="1"/>
    </xf>
    <xf numFmtId="3" fontId="3" fillId="7" borderId="44" xfId="0" applyNumberFormat="1" applyFont="1" applyFill="1" applyBorder="1" applyAlignment="1">
      <alignment horizontal="right" vertical="top" wrapText="1"/>
    </xf>
    <xf numFmtId="3" fontId="5" fillId="8" borderId="63" xfId="0" applyNumberFormat="1" applyFont="1" applyFill="1" applyBorder="1" applyAlignment="1">
      <alignment horizontal="right" vertical="top"/>
    </xf>
    <xf numFmtId="3" fontId="3" fillId="0" borderId="6" xfId="0" applyNumberFormat="1" applyFont="1" applyFill="1" applyBorder="1" applyAlignment="1">
      <alignment horizontal="right" vertical="top"/>
    </xf>
    <xf numFmtId="3" fontId="5" fillId="8" borderId="62" xfId="0" applyNumberFormat="1" applyFont="1" applyFill="1" applyBorder="1" applyAlignment="1">
      <alignment horizontal="right" vertical="top"/>
    </xf>
    <xf numFmtId="3" fontId="3" fillId="0" borderId="41" xfId="0" applyNumberFormat="1" applyFont="1" applyFill="1" applyBorder="1" applyAlignment="1">
      <alignment horizontal="right" vertical="top"/>
    </xf>
    <xf numFmtId="3" fontId="3" fillId="3" borderId="53" xfId="0" applyNumberFormat="1" applyFont="1" applyFill="1" applyBorder="1" applyAlignment="1">
      <alignment horizontal="right" vertical="top"/>
    </xf>
    <xf numFmtId="3" fontId="3" fillId="3" borderId="55" xfId="0" applyNumberFormat="1" applyFont="1" applyFill="1" applyBorder="1" applyAlignment="1">
      <alignment horizontal="right" vertical="top"/>
    </xf>
    <xf numFmtId="3" fontId="3" fillId="7" borderId="23" xfId="0" applyNumberFormat="1" applyFont="1" applyFill="1" applyBorder="1" applyAlignment="1">
      <alignment horizontal="right" vertical="top"/>
    </xf>
    <xf numFmtId="3" fontId="3" fillId="3" borderId="73" xfId="0" applyNumberFormat="1" applyFont="1" applyFill="1" applyBorder="1" applyAlignment="1">
      <alignment horizontal="right" vertical="top" wrapText="1"/>
    </xf>
    <xf numFmtId="3" fontId="3" fillId="3" borderId="77" xfId="0" applyNumberFormat="1" applyFont="1" applyFill="1" applyBorder="1" applyAlignment="1">
      <alignment horizontal="right" vertical="top" wrapText="1"/>
    </xf>
    <xf numFmtId="3" fontId="3" fillId="0" borderId="79" xfId="0" applyNumberFormat="1" applyFont="1" applyFill="1" applyBorder="1" applyAlignment="1">
      <alignment horizontal="right" vertical="top"/>
    </xf>
    <xf numFmtId="3" fontId="3" fillId="3" borderId="24" xfId="0" applyNumberFormat="1" applyFont="1" applyFill="1" applyBorder="1" applyAlignment="1">
      <alignment horizontal="right" vertical="top"/>
    </xf>
    <xf numFmtId="3" fontId="3" fillId="7" borderId="66" xfId="0" applyNumberFormat="1" applyFont="1" applyFill="1" applyBorder="1" applyAlignment="1">
      <alignment horizontal="right" vertical="top"/>
    </xf>
    <xf numFmtId="164" fontId="3" fillId="8" borderId="77" xfId="0" applyNumberFormat="1" applyFont="1" applyFill="1" applyBorder="1" applyAlignment="1">
      <alignment vertical="top"/>
    </xf>
    <xf numFmtId="164" fontId="3" fillId="3" borderId="10" xfId="0" applyNumberFormat="1" applyFont="1" applyFill="1" applyBorder="1" applyAlignment="1">
      <alignment vertical="top" wrapText="1"/>
    </xf>
    <xf numFmtId="3" fontId="3" fillId="8" borderId="0" xfId="0" applyNumberFormat="1" applyFont="1" applyFill="1" applyBorder="1" applyAlignment="1">
      <alignment vertical="top"/>
    </xf>
    <xf numFmtId="3" fontId="3" fillId="3" borderId="6" xfId="0" applyNumberFormat="1" applyFont="1" applyFill="1" applyBorder="1" applyAlignment="1">
      <alignment vertical="top" wrapText="1"/>
    </xf>
    <xf numFmtId="3" fontId="3" fillId="3" borderId="23" xfId="0" applyNumberFormat="1" applyFont="1" applyFill="1" applyBorder="1" applyAlignment="1">
      <alignment vertical="top" wrapText="1"/>
    </xf>
    <xf numFmtId="3" fontId="5" fillId="8" borderId="33" xfId="0" applyNumberFormat="1" applyFont="1" applyFill="1" applyBorder="1" applyAlignment="1">
      <alignment vertical="top"/>
    </xf>
    <xf numFmtId="3" fontId="5" fillId="8" borderId="70" xfId="0" applyNumberFormat="1" applyFont="1" applyFill="1" applyBorder="1" applyAlignment="1">
      <alignment vertical="top"/>
    </xf>
    <xf numFmtId="3" fontId="3" fillId="8" borderId="53" xfId="0" applyNumberFormat="1" applyFont="1" applyFill="1" applyBorder="1" applyAlignment="1">
      <alignment vertical="top"/>
    </xf>
    <xf numFmtId="3" fontId="3" fillId="3" borderId="41" xfId="0" applyNumberFormat="1" applyFont="1" applyFill="1" applyBorder="1" applyAlignment="1">
      <alignment vertical="top" wrapText="1"/>
    </xf>
    <xf numFmtId="3" fontId="3" fillId="3" borderId="52" xfId="0" applyNumberFormat="1" applyFont="1" applyFill="1" applyBorder="1" applyAlignment="1">
      <alignment vertical="top" wrapText="1"/>
    </xf>
    <xf numFmtId="3" fontId="3" fillId="8" borderId="79" xfId="0" applyNumberFormat="1" applyFont="1" applyFill="1" applyBorder="1" applyAlignment="1">
      <alignment vertical="top"/>
    </xf>
    <xf numFmtId="3" fontId="3" fillId="3" borderId="24" xfId="0" applyNumberFormat="1" applyFont="1" applyFill="1" applyBorder="1" applyAlignment="1">
      <alignment vertical="top" wrapText="1"/>
    </xf>
    <xf numFmtId="3" fontId="3" fillId="3" borderId="55" xfId="0" applyNumberFormat="1" applyFont="1" applyFill="1" applyBorder="1" applyAlignment="1">
      <alignment vertical="top" wrapText="1"/>
    </xf>
    <xf numFmtId="3" fontId="3" fillId="3" borderId="45" xfId="0" applyNumberFormat="1" applyFont="1" applyFill="1" applyBorder="1" applyAlignment="1">
      <alignment vertical="top" wrapText="1"/>
    </xf>
    <xf numFmtId="3" fontId="5" fillId="8" borderId="54" xfId="0" applyNumberFormat="1" applyFont="1" applyFill="1" applyBorder="1" applyAlignment="1">
      <alignment vertical="top"/>
    </xf>
    <xf numFmtId="3" fontId="5" fillId="8" borderId="69" xfId="0" applyNumberFormat="1" applyFont="1" applyFill="1" applyBorder="1" applyAlignment="1">
      <alignment vertical="top"/>
    </xf>
    <xf numFmtId="3" fontId="5" fillId="8" borderId="61" xfId="0" applyNumberFormat="1" applyFont="1" applyFill="1" applyBorder="1" applyAlignment="1">
      <alignment vertical="top"/>
    </xf>
    <xf numFmtId="3" fontId="5" fillId="8" borderId="65" xfId="0" applyNumberFormat="1" applyFont="1" applyFill="1" applyBorder="1" applyAlignment="1">
      <alignment vertical="top"/>
    </xf>
    <xf numFmtId="3" fontId="3" fillId="8" borderId="125" xfId="0" applyNumberFormat="1" applyFont="1" applyFill="1" applyBorder="1" applyAlignment="1">
      <alignment vertical="top"/>
    </xf>
    <xf numFmtId="3" fontId="3" fillId="3" borderId="90" xfId="0" applyNumberFormat="1" applyFont="1" applyFill="1" applyBorder="1" applyAlignment="1">
      <alignment vertical="top" wrapText="1"/>
    </xf>
    <xf numFmtId="3" fontId="3" fillId="3" borderId="107" xfId="0" applyNumberFormat="1" applyFont="1" applyFill="1" applyBorder="1" applyAlignment="1">
      <alignment vertical="top" wrapText="1"/>
    </xf>
    <xf numFmtId="3" fontId="5" fillId="8" borderId="59" xfId="0" applyNumberFormat="1" applyFont="1" applyFill="1" applyBorder="1" applyAlignment="1">
      <alignment vertical="top"/>
    </xf>
    <xf numFmtId="3" fontId="5" fillId="2" borderId="57" xfId="0" applyNumberFormat="1" applyFont="1" applyFill="1" applyBorder="1" applyAlignment="1">
      <alignment vertical="top"/>
    </xf>
    <xf numFmtId="3" fontId="5" fillId="2" borderId="25" xfId="0" applyNumberFormat="1" applyFont="1" applyFill="1" applyBorder="1" applyAlignment="1">
      <alignment vertical="top"/>
    </xf>
    <xf numFmtId="3" fontId="5" fillId="2" borderId="22" xfId="0" applyNumberFormat="1" applyFont="1" applyFill="1" applyBorder="1" applyAlignment="1">
      <alignment vertical="top"/>
    </xf>
    <xf numFmtId="3" fontId="5" fillId="9" borderId="74" xfId="0" applyNumberFormat="1" applyFont="1" applyFill="1" applyBorder="1" applyAlignment="1">
      <alignment vertical="top"/>
    </xf>
    <xf numFmtId="3" fontId="5" fillId="9" borderId="25" xfId="0" applyNumberFormat="1" applyFont="1" applyFill="1" applyBorder="1" applyAlignment="1">
      <alignment vertical="top"/>
    </xf>
    <xf numFmtId="3" fontId="5" fillId="9" borderId="22" xfId="0" applyNumberFormat="1" applyFont="1" applyFill="1" applyBorder="1" applyAlignment="1">
      <alignment vertical="top"/>
    </xf>
    <xf numFmtId="3" fontId="5" fillId="5" borderId="57" xfId="0" applyNumberFormat="1" applyFont="1" applyFill="1" applyBorder="1" applyAlignment="1">
      <alignment vertical="top"/>
    </xf>
    <xf numFmtId="3" fontId="5" fillId="5" borderId="25" xfId="0" applyNumberFormat="1" applyFont="1" applyFill="1" applyBorder="1" applyAlignment="1">
      <alignment vertical="top"/>
    </xf>
    <xf numFmtId="3" fontId="5" fillId="5" borderId="22" xfId="0" applyNumberFormat="1" applyFont="1" applyFill="1" applyBorder="1" applyAlignment="1">
      <alignment vertical="top"/>
    </xf>
    <xf numFmtId="3" fontId="3" fillId="7" borderId="0" xfId="0" applyNumberFormat="1" applyFont="1" applyFill="1" applyAlignment="1">
      <alignment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164" fontId="3" fillId="0" borderId="7" xfId="0" applyNumberFormat="1" applyFont="1" applyFill="1" applyBorder="1" applyAlignment="1">
      <alignment horizontal="left" vertical="center" textRotation="90" wrapText="1"/>
    </xf>
    <xf numFmtId="164" fontId="3" fillId="0" borderId="30" xfId="0" applyNumberFormat="1" applyFont="1" applyFill="1" applyBorder="1" applyAlignment="1">
      <alignment horizontal="left" vertical="center" textRotation="90" wrapText="1"/>
    </xf>
    <xf numFmtId="0" fontId="3" fillId="0" borderId="30" xfId="0" applyFont="1" applyFill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center" vertical="top"/>
    </xf>
    <xf numFmtId="0" fontId="3" fillId="0" borderId="7" xfId="0" applyFont="1" applyFill="1" applyBorder="1" applyAlignment="1">
      <alignment vertical="top" wrapText="1"/>
    </xf>
    <xf numFmtId="49" fontId="5" fillId="0" borderId="29" xfId="0" applyNumberFormat="1" applyFont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 wrapText="1"/>
    </xf>
    <xf numFmtId="49" fontId="5" fillId="10" borderId="50" xfId="0" applyNumberFormat="1" applyFont="1" applyFill="1" applyBorder="1" applyAlignment="1">
      <alignment horizontal="center" vertical="top"/>
    </xf>
    <xf numFmtId="49" fontId="5" fillId="7" borderId="43" xfId="0" applyNumberFormat="1" applyFont="1" applyFill="1" applyBorder="1" applyAlignment="1">
      <alignment vertical="top"/>
    </xf>
    <xf numFmtId="0" fontId="3" fillId="3" borderId="16" xfId="0" applyFont="1" applyFill="1" applyBorder="1" applyAlignment="1">
      <alignment horizontal="left" vertical="top" wrapText="1"/>
    </xf>
    <xf numFmtId="49" fontId="5" fillId="0" borderId="39" xfId="0" applyNumberFormat="1" applyFont="1" applyBorder="1" applyAlignment="1">
      <alignment horizontal="center" vertical="top"/>
    </xf>
    <xf numFmtId="3" fontId="3" fillId="3" borderId="1" xfId="0" applyNumberFormat="1" applyFont="1" applyFill="1" applyBorder="1" applyAlignment="1">
      <alignment horizontal="center" wrapText="1"/>
    </xf>
    <xf numFmtId="3" fontId="3" fillId="3" borderId="128" xfId="0" applyNumberFormat="1" applyFont="1" applyFill="1" applyBorder="1" applyAlignment="1">
      <alignment horizontal="right" vertical="top"/>
    </xf>
    <xf numFmtId="3" fontId="3" fillId="3" borderId="115" xfId="0" applyNumberFormat="1" applyFont="1" applyFill="1" applyBorder="1" applyAlignment="1">
      <alignment horizontal="right" vertical="top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11" xfId="0" applyNumberFormat="1" applyFont="1" applyFill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127" xfId="0" applyFont="1" applyFill="1" applyBorder="1" applyAlignment="1">
      <alignment horizontal="center" vertical="top"/>
    </xf>
    <xf numFmtId="3" fontId="3" fillId="3" borderId="127" xfId="0" applyNumberFormat="1" applyFont="1" applyFill="1" applyBorder="1" applyAlignment="1">
      <alignment horizontal="right" vertical="top" wrapText="1"/>
    </xf>
    <xf numFmtId="0" fontId="3" fillId="0" borderId="97" xfId="0" applyFont="1" applyBorder="1" applyAlignment="1">
      <alignment vertical="top" wrapText="1"/>
    </xf>
    <xf numFmtId="164" fontId="22" fillId="7" borderId="7" xfId="0" applyNumberFormat="1" applyFont="1" applyFill="1" applyBorder="1" applyAlignment="1">
      <alignment horizontal="right" vertical="top"/>
    </xf>
    <xf numFmtId="164" fontId="22" fillId="7" borderId="18" xfId="0" applyNumberFormat="1" applyFont="1" applyFill="1" applyBorder="1" applyAlignment="1">
      <alignment horizontal="right" vertical="top"/>
    </xf>
    <xf numFmtId="164" fontId="22" fillId="0" borderId="7" xfId="0" applyNumberFormat="1" applyFont="1" applyBorder="1" applyAlignment="1">
      <alignment horizontal="right" vertical="top"/>
    </xf>
    <xf numFmtId="164" fontId="22" fillId="0" borderId="11" xfId="0" applyNumberFormat="1" applyFont="1" applyBorder="1" applyAlignment="1">
      <alignment horizontal="right" vertical="top"/>
    </xf>
    <xf numFmtId="164" fontId="22" fillId="0" borderId="18" xfId="0" applyNumberFormat="1" applyFont="1" applyBorder="1" applyAlignment="1">
      <alignment horizontal="right" vertical="top"/>
    </xf>
    <xf numFmtId="0" fontId="3" fillId="3" borderId="97" xfId="0" applyFont="1" applyFill="1" applyBorder="1" applyAlignment="1">
      <alignment horizontal="left" vertical="top" wrapText="1"/>
    </xf>
    <xf numFmtId="0" fontId="5" fillId="0" borderId="120" xfId="0" applyFont="1" applyFill="1" applyBorder="1" applyAlignment="1">
      <alignment horizontal="center" vertical="top" wrapText="1"/>
    </xf>
    <xf numFmtId="0" fontId="7" fillId="0" borderId="72" xfId="0" applyFont="1" applyFill="1" applyBorder="1" applyAlignment="1">
      <alignment horizontal="center" vertical="center" wrapText="1"/>
    </xf>
    <xf numFmtId="3" fontId="3" fillId="8" borderId="77" xfId="0" applyNumberFormat="1" applyFont="1" applyFill="1" applyBorder="1" applyAlignment="1">
      <alignment horizontal="right" vertical="top"/>
    </xf>
    <xf numFmtId="3" fontId="3" fillId="8" borderId="131" xfId="0" applyNumberFormat="1" applyFont="1" applyFill="1" applyBorder="1" applyAlignment="1">
      <alignment horizontal="right" vertical="top"/>
    </xf>
    <xf numFmtId="3" fontId="3" fillId="3" borderId="132" xfId="0" applyNumberFormat="1" applyFont="1" applyFill="1" applyBorder="1" applyAlignment="1">
      <alignment horizontal="right" vertical="top" wrapText="1"/>
    </xf>
    <xf numFmtId="0" fontId="3" fillId="7" borderId="127" xfId="0" applyFont="1" applyFill="1" applyBorder="1" applyAlignment="1">
      <alignment horizontal="center" vertical="top"/>
    </xf>
    <xf numFmtId="0" fontId="3" fillId="0" borderId="123" xfId="0" applyFont="1" applyFill="1" applyBorder="1" applyAlignment="1">
      <alignment horizontal="left" vertical="top" wrapText="1"/>
    </xf>
    <xf numFmtId="3" fontId="3" fillId="0" borderId="124" xfId="0" applyNumberFormat="1" applyFont="1" applyFill="1" applyBorder="1" applyAlignment="1">
      <alignment horizontal="center" vertical="top"/>
    </xf>
    <xf numFmtId="3" fontId="3" fillId="0" borderId="129" xfId="0" applyNumberFormat="1" applyFont="1" applyFill="1" applyBorder="1" applyAlignment="1">
      <alignment horizontal="center" vertical="top"/>
    </xf>
    <xf numFmtId="0" fontId="3" fillId="7" borderId="84" xfId="0" applyFont="1" applyFill="1" applyBorder="1" applyAlignment="1">
      <alignment vertical="top" wrapText="1"/>
    </xf>
    <xf numFmtId="0" fontId="5" fillId="0" borderId="82" xfId="0" applyFont="1" applyFill="1" applyBorder="1" applyAlignment="1">
      <alignment horizontal="center" vertical="top" wrapText="1"/>
    </xf>
    <xf numFmtId="49" fontId="5" fillId="0" borderId="85" xfId="0" applyNumberFormat="1" applyFont="1" applyBorder="1" applyAlignment="1">
      <alignment horizontal="center" vertical="top"/>
    </xf>
    <xf numFmtId="0" fontId="3" fillId="7" borderId="106" xfId="0" applyFont="1" applyFill="1" applyBorder="1" applyAlignment="1">
      <alignment horizontal="center" vertical="top"/>
    </xf>
    <xf numFmtId="0" fontId="18" fillId="0" borderId="82" xfId="0" applyFont="1" applyFill="1" applyBorder="1" applyAlignment="1">
      <alignment horizontal="left" vertical="top" wrapText="1"/>
    </xf>
    <xf numFmtId="0" fontId="3" fillId="7" borderId="83" xfId="0" applyNumberFormat="1" applyFont="1" applyFill="1" applyBorder="1" applyAlignment="1">
      <alignment horizontal="center" vertical="top"/>
    </xf>
    <xf numFmtId="0" fontId="3" fillId="7" borderId="83" xfId="0" applyNumberFormat="1" applyFont="1" applyFill="1" applyBorder="1" applyAlignment="1">
      <alignment vertical="center" textRotation="90"/>
    </xf>
    <xf numFmtId="0" fontId="3" fillId="7" borderId="85" xfId="0" applyNumberFormat="1" applyFont="1" applyFill="1" applyBorder="1" applyAlignment="1">
      <alignment vertical="center" textRotation="90"/>
    </xf>
    <xf numFmtId="3" fontId="3" fillId="8" borderId="133" xfId="0" applyNumberFormat="1" applyFont="1" applyFill="1" applyBorder="1" applyAlignment="1">
      <alignment horizontal="right" vertical="top"/>
    </xf>
    <xf numFmtId="3" fontId="3" fillId="8" borderId="20" xfId="0" applyNumberFormat="1" applyFont="1" applyFill="1" applyBorder="1" applyAlignment="1">
      <alignment horizontal="right" vertical="top"/>
    </xf>
    <xf numFmtId="3" fontId="3" fillId="7" borderId="8" xfId="0" applyNumberFormat="1" applyFont="1" applyFill="1" applyBorder="1" applyAlignment="1">
      <alignment horizontal="right" vertical="top"/>
    </xf>
    <xf numFmtId="3" fontId="3" fillId="7" borderId="40" xfId="0" applyNumberFormat="1" applyFont="1" applyFill="1" applyBorder="1" applyAlignment="1">
      <alignment horizontal="right" vertical="top"/>
    </xf>
    <xf numFmtId="3" fontId="3" fillId="8" borderId="99" xfId="0" applyNumberFormat="1" applyFont="1" applyFill="1" applyBorder="1" applyAlignment="1">
      <alignment horizontal="right" vertical="top"/>
    </xf>
    <xf numFmtId="0" fontId="3" fillId="7" borderId="91" xfId="0" applyFont="1" applyFill="1" applyBorder="1" applyAlignment="1">
      <alignment vertical="top" wrapText="1"/>
    </xf>
    <xf numFmtId="3" fontId="3" fillId="7" borderId="92" xfId="0" applyNumberFormat="1" applyFont="1" applyFill="1" applyBorder="1" applyAlignment="1">
      <alignment horizontal="center" vertical="top"/>
    </xf>
    <xf numFmtId="3" fontId="3" fillId="7" borderId="94" xfId="0" applyNumberFormat="1" applyFont="1" applyFill="1" applyBorder="1" applyAlignment="1">
      <alignment horizontal="center" vertical="top"/>
    </xf>
    <xf numFmtId="49" fontId="3" fillId="7" borderId="83" xfId="0" applyNumberFormat="1" applyFont="1" applyFill="1" applyBorder="1" applyAlignment="1">
      <alignment horizontal="center" vertical="top"/>
    </xf>
    <xf numFmtId="0" fontId="3" fillId="0" borderId="83" xfId="0" applyNumberFormat="1" applyFont="1" applyFill="1" applyBorder="1" applyAlignment="1">
      <alignment horizontal="center" vertical="top"/>
    </xf>
    <xf numFmtId="0" fontId="3" fillId="0" borderId="85" xfId="0" applyNumberFormat="1" applyFont="1" applyFill="1" applyBorder="1" applyAlignment="1">
      <alignment horizontal="center" vertical="top"/>
    </xf>
    <xf numFmtId="3" fontId="3" fillId="7" borderId="90" xfId="0" applyNumberFormat="1" applyFont="1" applyFill="1" applyBorder="1" applyAlignment="1">
      <alignment vertical="top"/>
    </xf>
    <xf numFmtId="3" fontId="3" fillId="7" borderId="107" xfId="0" applyNumberFormat="1" applyFont="1" applyFill="1" applyBorder="1" applyAlignment="1">
      <alignment vertical="top"/>
    </xf>
    <xf numFmtId="3" fontId="3" fillId="7" borderId="6" xfId="0" applyNumberFormat="1" applyFont="1" applyFill="1" applyBorder="1" applyAlignment="1">
      <alignment vertical="top"/>
    </xf>
    <xf numFmtId="3" fontId="3" fillId="7" borderId="0" xfId="0" applyNumberFormat="1" applyFont="1" applyFill="1" applyBorder="1" applyAlignment="1">
      <alignment vertical="top"/>
    </xf>
    <xf numFmtId="0" fontId="5" fillId="3" borderId="27" xfId="0" applyFont="1" applyFill="1" applyBorder="1" applyAlignment="1">
      <alignment vertical="top" wrapText="1"/>
    </xf>
    <xf numFmtId="49" fontId="5" fillId="0" borderId="11" xfId="0" applyNumberFormat="1" applyFont="1" applyBorder="1" applyAlignment="1">
      <alignment horizontal="center" vertical="top"/>
    </xf>
    <xf numFmtId="0" fontId="0" fillId="0" borderId="7" xfId="0" applyBorder="1" applyAlignment="1">
      <alignment horizontal="center" vertical="center" textRotation="90" wrapText="1"/>
    </xf>
    <xf numFmtId="0" fontId="0" fillId="0" borderId="30" xfId="0" applyBorder="1" applyAlignment="1">
      <alignment horizontal="center" vertical="center" textRotation="90" wrapText="1"/>
    </xf>
    <xf numFmtId="49" fontId="3" fillId="0" borderId="50" xfId="0" applyNumberFormat="1" applyFont="1" applyBorder="1" applyAlignment="1">
      <alignment horizontal="center" vertical="top" wrapText="1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0" fontId="15" fillId="0" borderId="7" xfId="0" applyFont="1" applyFill="1" applyBorder="1" applyAlignment="1">
      <alignment horizontal="center" vertical="top" wrapText="1"/>
    </xf>
    <xf numFmtId="0" fontId="5" fillId="0" borderId="0" xfId="0" applyNumberFormat="1" applyFont="1" applyAlignment="1">
      <alignment horizontal="center" vertical="top"/>
    </xf>
    <xf numFmtId="3" fontId="5" fillId="8" borderId="72" xfId="0" applyNumberFormat="1" applyFont="1" applyFill="1" applyBorder="1" applyAlignment="1">
      <alignment horizontal="right" vertical="top"/>
    </xf>
    <xf numFmtId="3" fontId="3" fillId="8" borderId="63" xfId="0" applyNumberFormat="1" applyFont="1" applyFill="1" applyBorder="1" applyAlignment="1">
      <alignment horizontal="right" vertical="top"/>
    </xf>
    <xf numFmtId="3" fontId="3" fillId="8" borderId="113" xfId="0" applyNumberFormat="1" applyFont="1" applyFill="1" applyBorder="1" applyAlignment="1">
      <alignment horizontal="right" vertical="top"/>
    </xf>
    <xf numFmtId="3" fontId="3" fillId="8" borderId="128" xfId="0" applyNumberFormat="1" applyFont="1" applyFill="1" applyBorder="1" applyAlignment="1">
      <alignment horizontal="right" vertical="top"/>
    </xf>
    <xf numFmtId="3" fontId="5" fillId="8" borderId="69" xfId="0" applyNumberFormat="1" applyFont="1" applyFill="1" applyBorder="1" applyAlignment="1">
      <alignment horizontal="right" vertical="top"/>
    </xf>
    <xf numFmtId="3" fontId="3" fillId="8" borderId="48" xfId="0" applyNumberFormat="1" applyFont="1" applyFill="1" applyBorder="1" applyAlignment="1">
      <alignment horizontal="right" vertical="top"/>
    </xf>
    <xf numFmtId="3" fontId="3" fillId="8" borderId="72" xfId="0" applyNumberFormat="1" applyFont="1" applyFill="1" applyBorder="1" applyAlignment="1">
      <alignment horizontal="right" vertical="top"/>
    </xf>
    <xf numFmtId="3" fontId="3" fillId="8" borderId="98" xfId="0" applyNumberFormat="1" applyFont="1" applyFill="1" applyBorder="1" applyAlignment="1">
      <alignment horizontal="right" vertical="top"/>
    </xf>
    <xf numFmtId="3" fontId="3" fillId="8" borderId="120" xfId="0" applyNumberFormat="1" applyFont="1" applyFill="1" applyBorder="1" applyAlignment="1">
      <alignment horizontal="right" vertical="top"/>
    </xf>
    <xf numFmtId="3" fontId="3" fillId="8" borderId="68" xfId="0" applyNumberFormat="1" applyFont="1" applyFill="1" applyBorder="1" applyAlignment="1">
      <alignment horizontal="right" vertical="top"/>
    </xf>
    <xf numFmtId="3" fontId="3" fillId="8" borderId="71" xfId="0" applyNumberFormat="1" applyFont="1" applyFill="1" applyBorder="1" applyAlignment="1">
      <alignment horizontal="right" vertical="top"/>
    </xf>
    <xf numFmtId="3" fontId="5" fillId="8" borderId="76" xfId="0" applyNumberFormat="1" applyFont="1" applyFill="1" applyBorder="1" applyAlignment="1">
      <alignment horizontal="right" vertical="top"/>
    </xf>
    <xf numFmtId="3" fontId="5" fillId="2" borderId="74" xfId="0" applyNumberFormat="1" applyFont="1" applyFill="1" applyBorder="1" applyAlignment="1">
      <alignment horizontal="right" vertical="top"/>
    </xf>
    <xf numFmtId="3" fontId="5" fillId="8" borderId="8" xfId="0" applyNumberFormat="1" applyFont="1" applyFill="1" applyBorder="1" applyAlignment="1">
      <alignment horizontal="right" vertical="top"/>
    </xf>
    <xf numFmtId="3" fontId="3" fillId="3" borderId="44" xfId="0" applyNumberFormat="1" applyFont="1" applyFill="1" applyBorder="1" applyAlignment="1">
      <alignment vertical="top" wrapText="1"/>
    </xf>
    <xf numFmtId="3" fontId="3" fillId="8" borderId="35" xfId="0" applyNumberFormat="1" applyFont="1" applyFill="1" applyBorder="1" applyAlignment="1">
      <alignment horizontal="right" vertical="top"/>
    </xf>
    <xf numFmtId="3" fontId="3" fillId="8" borderId="119" xfId="0" applyNumberFormat="1" applyFont="1" applyFill="1" applyBorder="1" applyAlignment="1">
      <alignment horizontal="right" vertical="top"/>
    </xf>
    <xf numFmtId="3" fontId="3" fillId="8" borderId="101" xfId="0" applyNumberFormat="1" applyFont="1" applyFill="1" applyBorder="1" applyAlignment="1">
      <alignment horizontal="right" vertical="top"/>
    </xf>
    <xf numFmtId="3" fontId="5" fillId="8" borderId="46" xfId="0" applyNumberFormat="1" applyFont="1" applyFill="1" applyBorder="1" applyAlignment="1">
      <alignment horizontal="right" vertical="top"/>
    </xf>
    <xf numFmtId="3" fontId="5" fillId="8" borderId="35" xfId="0" applyNumberFormat="1" applyFont="1" applyFill="1" applyBorder="1" applyAlignment="1">
      <alignment horizontal="right" vertical="top"/>
    </xf>
    <xf numFmtId="3" fontId="3" fillId="8" borderId="46" xfId="1" applyNumberFormat="1" applyFont="1" applyFill="1" applyBorder="1" applyAlignment="1">
      <alignment horizontal="right" vertical="top"/>
    </xf>
    <xf numFmtId="3" fontId="5" fillId="2" borderId="57" xfId="0" applyNumberFormat="1" applyFont="1" applyFill="1" applyBorder="1" applyAlignment="1">
      <alignment horizontal="right" vertical="top"/>
    </xf>
    <xf numFmtId="3" fontId="3" fillId="7" borderId="52" xfId="1" applyNumberFormat="1" applyFont="1" applyFill="1" applyBorder="1" applyAlignment="1">
      <alignment horizontal="right" vertical="top"/>
    </xf>
    <xf numFmtId="0" fontId="10" fillId="0" borderId="28" xfId="0" applyFont="1" applyBorder="1" applyAlignment="1">
      <alignment vertical="top" wrapText="1"/>
    </xf>
    <xf numFmtId="164" fontId="3" fillId="8" borderId="79" xfId="0" applyNumberFormat="1" applyFont="1" applyFill="1" applyBorder="1" applyAlignment="1">
      <alignment horizontal="right" vertical="top"/>
    </xf>
    <xf numFmtId="164" fontId="3" fillId="7" borderId="55" xfId="0" applyNumberFormat="1" applyFont="1" applyFill="1" applyBorder="1" applyAlignment="1">
      <alignment horizontal="right" vertical="top" wrapText="1"/>
    </xf>
    <xf numFmtId="3" fontId="3" fillId="7" borderId="115" xfId="0" applyNumberFormat="1" applyFont="1" applyFill="1" applyBorder="1" applyAlignment="1">
      <alignment horizontal="right" vertical="top"/>
    </xf>
    <xf numFmtId="3" fontId="3" fillId="7" borderId="121" xfId="0" applyNumberFormat="1" applyFont="1" applyFill="1" applyBorder="1" applyAlignment="1">
      <alignment horizontal="right" vertical="top" wrapText="1"/>
    </xf>
    <xf numFmtId="3" fontId="3" fillId="7" borderId="108" xfId="0" applyNumberFormat="1" applyFont="1" applyFill="1" applyBorder="1" applyAlignment="1">
      <alignment horizontal="right" vertical="top"/>
    </xf>
    <xf numFmtId="3" fontId="3" fillId="7" borderId="111" xfId="0" applyNumberFormat="1" applyFont="1" applyFill="1" applyBorder="1" applyAlignment="1">
      <alignment horizontal="right" vertical="top" wrapText="1"/>
    </xf>
    <xf numFmtId="3" fontId="3" fillId="7" borderId="81" xfId="0" applyNumberFormat="1" applyFont="1" applyFill="1" applyBorder="1" applyAlignment="1">
      <alignment horizontal="right" vertical="top"/>
    </xf>
    <xf numFmtId="3" fontId="3" fillId="7" borderId="106" xfId="0" applyNumberFormat="1" applyFont="1" applyFill="1" applyBorder="1" applyAlignment="1">
      <alignment horizontal="right" vertical="top" wrapText="1"/>
    </xf>
    <xf numFmtId="3" fontId="3" fillId="7" borderId="40" xfId="0" applyNumberFormat="1" applyFont="1" applyFill="1" applyBorder="1" applyAlignment="1">
      <alignment horizontal="right" vertical="top" wrapText="1"/>
    </xf>
    <xf numFmtId="3" fontId="3" fillId="7" borderId="100" xfId="0" applyNumberFormat="1" applyFont="1" applyFill="1" applyBorder="1" applyAlignment="1">
      <alignment horizontal="right" vertical="top"/>
    </xf>
    <xf numFmtId="3" fontId="3" fillId="7" borderId="105" xfId="0" applyNumberFormat="1" applyFont="1" applyFill="1" applyBorder="1" applyAlignment="1">
      <alignment horizontal="right" vertical="top"/>
    </xf>
    <xf numFmtId="3" fontId="5" fillId="7" borderId="10" xfId="0" applyNumberFormat="1" applyFont="1" applyFill="1" applyBorder="1" applyAlignment="1">
      <alignment horizontal="right" vertical="top"/>
    </xf>
    <xf numFmtId="3" fontId="5" fillId="7" borderId="52" xfId="0" applyNumberFormat="1" applyFont="1" applyFill="1" applyBorder="1" applyAlignment="1">
      <alignment horizontal="right" vertical="top"/>
    </xf>
    <xf numFmtId="3" fontId="3" fillId="7" borderId="55" xfId="0" applyNumberFormat="1" applyFont="1" applyFill="1" applyBorder="1" applyAlignment="1">
      <alignment horizontal="right" vertical="top" wrapText="1"/>
    </xf>
    <xf numFmtId="3" fontId="3" fillId="7" borderId="106" xfId="0" applyNumberFormat="1" applyFont="1" applyFill="1" applyBorder="1" applyAlignment="1">
      <alignment horizontal="right" vertical="top"/>
    </xf>
    <xf numFmtId="3" fontId="3" fillId="7" borderId="55" xfId="0" applyNumberFormat="1" applyFont="1" applyFill="1" applyBorder="1" applyAlignment="1">
      <alignment horizontal="right" vertical="top"/>
    </xf>
    <xf numFmtId="3" fontId="3" fillId="7" borderId="45" xfId="0" applyNumberFormat="1" applyFont="1" applyFill="1" applyBorder="1" applyAlignment="1">
      <alignment horizontal="right" vertical="top"/>
    </xf>
    <xf numFmtId="3" fontId="5" fillId="7" borderId="41" xfId="0" applyNumberFormat="1" applyFont="1" applyFill="1" applyBorder="1" applyAlignment="1">
      <alignment horizontal="right" vertical="top"/>
    </xf>
    <xf numFmtId="3" fontId="5" fillId="7" borderId="73" xfId="0" applyNumberFormat="1" applyFont="1" applyFill="1" applyBorder="1" applyAlignment="1">
      <alignment horizontal="right" vertical="top"/>
    </xf>
    <xf numFmtId="3" fontId="3" fillId="7" borderId="45" xfId="0" applyNumberFormat="1" applyFont="1" applyFill="1" applyBorder="1" applyAlignment="1">
      <alignment horizontal="right" vertical="top" wrapText="1"/>
    </xf>
    <xf numFmtId="3" fontId="3" fillId="7" borderId="41" xfId="0" applyNumberFormat="1" applyFont="1" applyFill="1" applyBorder="1" applyAlignment="1">
      <alignment horizontal="right" vertical="top"/>
    </xf>
    <xf numFmtId="3" fontId="3" fillId="7" borderId="10" xfId="0" applyNumberFormat="1" applyFont="1" applyFill="1" applyBorder="1" applyAlignment="1">
      <alignment horizontal="right" vertical="top"/>
    </xf>
    <xf numFmtId="3" fontId="3" fillId="7" borderId="127" xfId="0" applyNumberFormat="1" applyFont="1" applyFill="1" applyBorder="1" applyAlignment="1">
      <alignment horizontal="right" vertical="top"/>
    </xf>
    <xf numFmtId="3" fontId="3" fillId="7" borderId="90" xfId="0" applyNumberFormat="1" applyFont="1" applyFill="1" applyBorder="1" applyAlignment="1">
      <alignment horizontal="right" vertical="top"/>
    </xf>
    <xf numFmtId="3" fontId="3" fillId="7" borderId="107" xfId="0" applyNumberFormat="1" applyFont="1" applyFill="1" applyBorder="1" applyAlignment="1">
      <alignment horizontal="right" vertical="top" wrapText="1"/>
    </xf>
    <xf numFmtId="3" fontId="3" fillId="7" borderId="23" xfId="0" applyNumberFormat="1" applyFont="1" applyFill="1" applyBorder="1" applyAlignment="1">
      <alignment vertical="top"/>
    </xf>
    <xf numFmtId="3" fontId="3" fillId="7" borderId="41" xfId="0" applyNumberFormat="1" applyFont="1" applyFill="1" applyBorder="1" applyAlignment="1">
      <alignment vertical="top"/>
    </xf>
    <xf numFmtId="3" fontId="3" fillId="7" borderId="24" xfId="0" applyNumberFormat="1" applyFont="1" applyFill="1" applyBorder="1" applyAlignment="1">
      <alignment vertical="top"/>
    </xf>
    <xf numFmtId="0" fontId="5" fillId="8" borderId="70" xfId="0" applyFont="1" applyFill="1" applyBorder="1" applyAlignment="1">
      <alignment horizontal="center" vertical="top"/>
    </xf>
    <xf numFmtId="3" fontId="5" fillId="9" borderId="57" xfId="0" applyNumberFormat="1" applyFont="1" applyFill="1" applyBorder="1" applyAlignment="1">
      <alignment vertical="top"/>
    </xf>
    <xf numFmtId="0" fontId="5" fillId="3" borderId="72" xfId="0" applyFont="1" applyFill="1" applyBorder="1" applyAlignment="1">
      <alignment horizontal="center" vertical="top"/>
    </xf>
    <xf numFmtId="0" fontId="5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5" fillId="10" borderId="61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center" textRotation="90" wrapText="1"/>
    </xf>
    <xf numFmtId="49" fontId="3" fillId="0" borderId="13" xfId="0" applyNumberFormat="1" applyFont="1" applyBorder="1" applyAlignment="1">
      <alignment vertical="top" wrapText="1"/>
    </xf>
    <xf numFmtId="0" fontId="3" fillId="0" borderId="72" xfId="0" applyFont="1" applyFill="1" applyBorder="1" applyAlignment="1">
      <alignment horizontal="center" vertical="top"/>
    </xf>
    <xf numFmtId="164" fontId="3" fillId="0" borderId="10" xfId="0" applyNumberFormat="1" applyFont="1" applyBorder="1" applyAlignment="1">
      <alignment vertical="top"/>
    </xf>
    <xf numFmtId="0" fontId="3" fillId="0" borderId="72" xfId="0" applyFont="1" applyBorder="1" applyAlignment="1">
      <alignment vertical="top"/>
    </xf>
    <xf numFmtId="0" fontId="3" fillId="0" borderId="7" xfId="0" applyFont="1" applyFill="1" applyBorder="1" applyAlignment="1">
      <alignment horizontal="center" vertical="top" wrapText="1"/>
    </xf>
    <xf numFmtId="0" fontId="15" fillId="0" borderId="72" xfId="0" applyFont="1" applyFill="1" applyBorder="1" applyAlignment="1">
      <alignment horizontal="center" vertical="top" wrapText="1"/>
    </xf>
    <xf numFmtId="0" fontId="15" fillId="0" borderId="72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left" vertical="top" wrapText="1"/>
    </xf>
    <xf numFmtId="0" fontId="0" fillId="10" borderId="9" xfId="0" applyFill="1" applyBorder="1" applyAlignment="1">
      <alignment vertical="top" wrapText="1"/>
    </xf>
    <xf numFmtId="0" fontId="18" fillId="0" borderId="30" xfId="0" applyFont="1" applyFill="1" applyBorder="1" applyAlignment="1">
      <alignment horizontal="left" vertical="top" wrapText="1"/>
    </xf>
    <xf numFmtId="0" fontId="5" fillId="10" borderId="34" xfId="0" applyFont="1" applyFill="1" applyBorder="1" applyAlignment="1">
      <alignment horizontal="center" vertical="top"/>
    </xf>
    <xf numFmtId="0" fontId="3" fillId="10" borderId="33" xfId="0" applyFont="1" applyFill="1" applyBorder="1" applyAlignment="1">
      <alignment vertical="top" wrapText="1"/>
    </xf>
    <xf numFmtId="0" fontId="3" fillId="10" borderId="33" xfId="0" applyFont="1" applyFill="1" applyBorder="1" applyAlignment="1">
      <alignment horizontal="center" vertical="center" textRotation="90" wrapText="1"/>
    </xf>
    <xf numFmtId="49" fontId="3" fillId="10" borderId="33" xfId="0" applyNumberFormat="1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horizontal="center" vertical="top" wrapText="1"/>
    </xf>
    <xf numFmtId="0" fontId="11" fillId="10" borderId="33" xfId="0" applyFont="1" applyFill="1" applyBorder="1" applyAlignment="1">
      <alignment vertical="top" wrapText="1"/>
    </xf>
    <xf numFmtId="0" fontId="11" fillId="10" borderId="33" xfId="0" applyFont="1" applyFill="1" applyBorder="1" applyAlignment="1">
      <alignment horizontal="center" vertical="top" textRotation="90" wrapText="1"/>
    </xf>
    <xf numFmtId="0" fontId="5" fillId="3" borderId="28" xfId="0" applyFont="1" applyFill="1" applyBorder="1" applyAlignment="1">
      <alignment vertical="top" wrapText="1"/>
    </xf>
    <xf numFmtId="0" fontId="9" fillId="7" borderId="9" xfId="0" applyFont="1" applyFill="1" applyBorder="1" applyAlignment="1">
      <alignment vertical="top" wrapText="1"/>
    </xf>
    <xf numFmtId="3" fontId="3" fillId="7" borderId="99" xfId="0" applyNumberFormat="1" applyFont="1" applyFill="1" applyBorder="1" applyAlignment="1">
      <alignment horizontal="center" vertical="top"/>
    </xf>
    <xf numFmtId="3" fontId="3" fillId="7" borderId="19" xfId="0" applyNumberFormat="1" applyFont="1" applyFill="1" applyBorder="1" applyAlignment="1">
      <alignment horizontal="center" vertical="top"/>
    </xf>
    <xf numFmtId="3" fontId="3" fillId="7" borderId="49" xfId="0" applyNumberFormat="1" applyFont="1" applyFill="1" applyBorder="1" applyAlignment="1">
      <alignment horizontal="center" vertical="top"/>
    </xf>
    <xf numFmtId="3" fontId="3" fillId="7" borderId="37" xfId="0" applyNumberFormat="1" applyFont="1" applyFill="1" applyBorder="1" applyAlignment="1">
      <alignment horizontal="center" vertical="top"/>
    </xf>
    <xf numFmtId="3" fontId="5" fillId="5" borderId="10" xfId="0" applyNumberFormat="1" applyFont="1" applyFill="1" applyBorder="1" applyAlignment="1">
      <alignment horizontal="center" vertical="top" wrapText="1"/>
    </xf>
    <xf numFmtId="3" fontId="3" fillId="7" borderId="23" xfId="0" applyNumberFormat="1" applyFont="1" applyFill="1" applyBorder="1" applyAlignment="1">
      <alignment horizontal="center" vertical="top" wrapText="1"/>
    </xf>
    <xf numFmtId="3" fontId="3" fillId="0" borderId="23" xfId="0" applyNumberFormat="1" applyFont="1" applyBorder="1" applyAlignment="1">
      <alignment horizontal="center" vertical="top" wrapText="1"/>
    </xf>
    <xf numFmtId="3" fontId="5" fillId="5" borderId="23" xfId="0" applyNumberFormat="1" applyFont="1" applyFill="1" applyBorder="1" applyAlignment="1">
      <alignment horizontal="center" vertical="top" wrapText="1"/>
    </xf>
    <xf numFmtId="3" fontId="5" fillId="11" borderId="70" xfId="0" applyNumberFormat="1" applyFont="1" applyFill="1" applyBorder="1" applyAlignment="1">
      <alignment horizontal="center" vertical="top" wrapText="1"/>
    </xf>
    <xf numFmtId="0" fontId="3" fillId="0" borderId="85" xfId="0" applyFont="1" applyFill="1" applyBorder="1" applyAlignment="1">
      <alignment horizontal="center" vertical="center" wrapText="1"/>
    </xf>
    <xf numFmtId="3" fontId="3" fillId="3" borderId="85" xfId="0" applyNumberFormat="1" applyFont="1" applyFill="1" applyBorder="1" applyAlignment="1">
      <alignment horizontal="center" vertical="top" wrapText="1"/>
    </xf>
    <xf numFmtId="3" fontId="3" fillId="3" borderId="129" xfId="0" applyNumberFormat="1" applyFont="1" applyFill="1" applyBorder="1" applyAlignment="1">
      <alignment horizontal="center" vertical="top" wrapText="1"/>
    </xf>
    <xf numFmtId="0" fontId="18" fillId="0" borderId="89" xfId="0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center" vertical="top" wrapText="1"/>
    </xf>
    <xf numFmtId="0" fontId="9" fillId="0" borderId="18" xfId="0" applyFont="1" applyFill="1" applyBorder="1" applyAlignment="1">
      <alignment horizontal="center" vertical="top" wrapText="1"/>
    </xf>
    <xf numFmtId="3" fontId="3" fillId="7" borderId="40" xfId="0" applyNumberFormat="1" applyFont="1" applyFill="1" applyBorder="1" applyAlignment="1">
      <alignment horizontal="center" vertical="top" wrapText="1"/>
    </xf>
    <xf numFmtId="3" fontId="3" fillId="7" borderId="121" xfId="0" applyNumberFormat="1" applyFont="1" applyFill="1" applyBorder="1" applyAlignment="1">
      <alignment horizontal="center" vertical="top" wrapText="1"/>
    </xf>
    <xf numFmtId="3" fontId="3" fillId="7" borderId="55" xfId="0" applyNumberFormat="1" applyFont="1" applyFill="1" applyBorder="1" applyAlignment="1">
      <alignment horizontal="center" vertical="top" wrapText="1"/>
    </xf>
    <xf numFmtId="3" fontId="3" fillId="0" borderId="89" xfId="0" applyNumberFormat="1" applyFont="1" applyFill="1" applyBorder="1" applyAlignment="1">
      <alignment horizontal="center" vertical="top" wrapText="1"/>
    </xf>
    <xf numFmtId="0" fontId="18" fillId="0" borderId="28" xfId="0" applyFont="1" applyFill="1" applyBorder="1" applyAlignment="1">
      <alignment horizontal="center" vertical="top" wrapText="1"/>
    </xf>
    <xf numFmtId="0" fontId="18" fillId="0" borderId="17" xfId="0" applyFont="1" applyFill="1" applyBorder="1" applyAlignment="1">
      <alignment horizontal="center" vertical="top" wrapText="1"/>
    </xf>
    <xf numFmtId="3" fontId="3" fillId="3" borderId="18" xfId="0" applyNumberFormat="1" applyFont="1" applyFill="1" applyBorder="1" applyAlignment="1">
      <alignment horizontal="center" wrapText="1"/>
    </xf>
    <xf numFmtId="3" fontId="3" fillId="3" borderId="21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vertical="top"/>
    </xf>
    <xf numFmtId="0" fontId="3" fillId="0" borderId="118" xfId="0" applyFont="1" applyBorder="1" applyAlignment="1">
      <alignment vertical="top"/>
    </xf>
    <xf numFmtId="0" fontId="3" fillId="7" borderId="17" xfId="0" applyNumberFormat="1" applyFont="1" applyFill="1" applyBorder="1" applyAlignment="1">
      <alignment horizontal="center" vertical="top"/>
    </xf>
    <xf numFmtId="0" fontId="17" fillId="10" borderId="32" xfId="0" applyFont="1" applyFill="1" applyBorder="1" applyAlignment="1">
      <alignment horizontal="center" vertical="top" textRotation="90" wrapText="1"/>
    </xf>
    <xf numFmtId="0" fontId="3" fillId="7" borderId="28" xfId="0" applyNumberFormat="1" applyFont="1" applyFill="1" applyBorder="1" applyAlignment="1">
      <alignment horizontal="center" vertical="top"/>
    </xf>
    <xf numFmtId="0" fontId="18" fillId="0" borderId="18" xfId="0" applyNumberFormat="1" applyFont="1" applyFill="1" applyBorder="1" applyAlignment="1">
      <alignment horizontal="center" vertical="top"/>
    </xf>
    <xf numFmtId="0" fontId="19" fillId="0" borderId="28" xfId="0" applyNumberFormat="1" applyFont="1" applyFill="1" applyBorder="1" applyAlignment="1">
      <alignment horizontal="center" vertical="top"/>
    </xf>
    <xf numFmtId="0" fontId="9" fillId="10" borderId="32" xfId="0" applyFont="1" applyFill="1" applyBorder="1" applyAlignment="1">
      <alignment horizontal="center" vertical="top" wrapText="1"/>
    </xf>
    <xf numFmtId="49" fontId="3" fillId="7" borderId="89" xfId="0" applyNumberFormat="1" applyFont="1" applyFill="1" applyBorder="1" applyAlignment="1">
      <alignment horizontal="center" vertical="top"/>
    </xf>
    <xf numFmtId="49" fontId="3" fillId="7" borderId="28" xfId="0" applyNumberFormat="1" applyFont="1" applyFill="1" applyBorder="1" applyAlignment="1">
      <alignment horizontal="center" vertical="top"/>
    </xf>
    <xf numFmtId="0" fontId="9" fillId="7" borderId="32" xfId="0" applyFont="1" applyFill="1" applyBorder="1" applyAlignment="1">
      <alignment horizontal="center" vertical="top" wrapText="1"/>
    </xf>
    <xf numFmtId="0" fontId="3" fillId="0" borderId="94" xfId="0" applyNumberFormat="1" applyFont="1" applyFill="1" applyBorder="1" applyAlignment="1">
      <alignment horizontal="center" vertical="top"/>
    </xf>
    <xf numFmtId="3" fontId="20" fillId="7" borderId="24" xfId="0" applyNumberFormat="1" applyFont="1" applyFill="1" applyBorder="1" applyAlignment="1">
      <alignment horizontal="right" vertical="top"/>
    </xf>
    <xf numFmtId="164" fontId="3" fillId="7" borderId="86" xfId="0" applyNumberFormat="1" applyFont="1" applyFill="1" applyBorder="1" applyAlignment="1">
      <alignment horizontal="center" vertical="top"/>
    </xf>
    <xf numFmtId="3" fontId="3" fillId="7" borderId="112" xfId="0" applyNumberFormat="1" applyFont="1" applyFill="1" applyBorder="1" applyAlignment="1">
      <alignment horizontal="center" vertical="top"/>
    </xf>
    <xf numFmtId="3" fontId="3" fillId="7" borderId="86" xfId="0" applyNumberFormat="1" applyFont="1" applyFill="1" applyBorder="1" applyAlignment="1">
      <alignment horizontal="center" vertical="top"/>
    </xf>
    <xf numFmtId="3" fontId="3" fillId="0" borderId="19" xfId="0" applyNumberFormat="1" applyFont="1" applyBorder="1" applyAlignment="1">
      <alignment horizontal="center" vertical="top"/>
    </xf>
    <xf numFmtId="3" fontId="3" fillId="7" borderId="47" xfId="0" applyNumberFormat="1" applyFont="1" applyFill="1" applyBorder="1" applyAlignment="1">
      <alignment horizontal="center" vertical="top"/>
    </xf>
    <xf numFmtId="3" fontId="3" fillId="7" borderId="110" xfId="0" applyNumberFormat="1" applyFont="1" applyFill="1" applyBorder="1" applyAlignment="1">
      <alignment horizontal="center" vertical="top"/>
    </xf>
    <xf numFmtId="3" fontId="3" fillId="0" borderId="86" xfId="0" applyNumberFormat="1" applyFont="1" applyBorder="1" applyAlignment="1">
      <alignment horizontal="center" vertical="top"/>
    </xf>
    <xf numFmtId="3" fontId="3" fillId="7" borderId="130" xfId="0" applyNumberFormat="1" applyFont="1" applyFill="1" applyBorder="1" applyAlignment="1">
      <alignment horizontal="center" vertical="top"/>
    </xf>
    <xf numFmtId="3" fontId="5" fillId="10" borderId="60" xfId="0" applyNumberFormat="1" applyFont="1" applyFill="1" applyBorder="1" applyAlignment="1">
      <alignment horizontal="center" vertical="top"/>
    </xf>
    <xf numFmtId="3" fontId="5" fillId="7" borderId="42" xfId="0" applyNumberFormat="1" applyFont="1" applyFill="1" applyBorder="1" applyAlignment="1">
      <alignment horizontal="center" vertical="top"/>
    </xf>
    <xf numFmtId="3" fontId="3" fillId="0" borderId="108" xfId="0" applyNumberFormat="1" applyFont="1" applyBorder="1" applyAlignment="1">
      <alignment horizontal="center" vertical="top"/>
    </xf>
    <xf numFmtId="3" fontId="3" fillId="0" borderId="112" xfId="0" applyNumberFormat="1" applyFont="1" applyBorder="1" applyAlignment="1">
      <alignment horizontal="center" vertical="top"/>
    </xf>
    <xf numFmtId="3" fontId="5" fillId="3" borderId="42" xfId="0" applyNumberFormat="1" applyFont="1" applyFill="1" applyBorder="1" applyAlignment="1">
      <alignment horizontal="center" vertical="top"/>
    </xf>
    <xf numFmtId="3" fontId="3" fillId="0" borderId="37" xfId="0" applyNumberFormat="1" applyFont="1" applyBorder="1" applyAlignment="1">
      <alignment horizontal="center" vertical="top"/>
    </xf>
    <xf numFmtId="3" fontId="3" fillId="0" borderId="47" xfId="0" applyNumberFormat="1" applyFont="1" applyBorder="1" applyAlignment="1">
      <alignment horizontal="center" vertical="top"/>
    </xf>
    <xf numFmtId="3" fontId="3" fillId="0" borderId="110" xfId="0" applyNumberFormat="1" applyFont="1" applyBorder="1" applyAlignment="1">
      <alignment horizontal="center" vertical="top"/>
    </xf>
    <xf numFmtId="3" fontId="5" fillId="10" borderId="49" xfId="0" applyNumberFormat="1" applyFont="1" applyFill="1" applyBorder="1" applyAlignment="1">
      <alignment horizontal="center" vertical="top"/>
    </xf>
    <xf numFmtId="3" fontId="5" fillId="3" borderId="10" xfId="0" applyNumberFormat="1" applyFont="1" applyFill="1" applyBorder="1" applyAlignment="1">
      <alignment horizontal="center" vertical="top"/>
    </xf>
    <xf numFmtId="3" fontId="3" fillId="7" borderId="24" xfId="0" applyNumberFormat="1" applyFont="1" applyFill="1" applyBorder="1" applyAlignment="1">
      <alignment horizontal="center" vertical="top"/>
    </xf>
    <xf numFmtId="3" fontId="3" fillId="0" borderId="81" xfId="0" applyNumberFormat="1" applyFont="1" applyBorder="1" applyAlignment="1">
      <alignment horizontal="center" vertical="top"/>
    </xf>
    <xf numFmtId="3" fontId="3" fillId="0" borderId="6" xfId="0" applyNumberFormat="1" applyFont="1" applyBorder="1" applyAlignment="1">
      <alignment horizontal="center" vertical="top"/>
    </xf>
    <xf numFmtId="3" fontId="3" fillId="0" borderId="24" xfId="0" applyNumberFormat="1" applyFont="1" applyBorder="1" applyAlignment="1">
      <alignment horizontal="center" vertical="top"/>
    </xf>
    <xf numFmtId="3" fontId="5" fillId="10" borderId="70" xfId="0" applyNumberFormat="1" applyFont="1" applyFill="1" applyBorder="1" applyAlignment="1">
      <alignment horizontal="center" vertical="top"/>
    </xf>
    <xf numFmtId="3" fontId="3" fillId="3" borderId="47" xfId="0" applyNumberFormat="1" applyFont="1" applyFill="1" applyBorder="1" applyAlignment="1">
      <alignment horizontal="center" vertical="top"/>
    </xf>
    <xf numFmtId="3" fontId="3" fillId="3" borderId="19" xfId="0" applyNumberFormat="1" applyFont="1" applyFill="1" applyBorder="1" applyAlignment="1">
      <alignment horizontal="center" vertical="top"/>
    </xf>
    <xf numFmtId="3" fontId="22" fillId="0" borderId="49" xfId="0" applyNumberFormat="1" applyFont="1" applyBorder="1" applyAlignment="1">
      <alignment horizontal="center" vertical="top"/>
    </xf>
    <xf numFmtId="3" fontId="3" fillId="3" borderId="37" xfId="0" applyNumberFormat="1" applyFont="1" applyFill="1" applyBorder="1" applyAlignment="1">
      <alignment horizontal="center" vertical="top"/>
    </xf>
    <xf numFmtId="3" fontId="5" fillId="10" borderId="54" xfId="0" applyNumberFormat="1" applyFont="1" applyFill="1" applyBorder="1" applyAlignment="1">
      <alignment horizontal="center" vertical="top"/>
    </xf>
    <xf numFmtId="3" fontId="5" fillId="2" borderId="22" xfId="0" applyNumberFormat="1" applyFont="1" applyFill="1" applyBorder="1" applyAlignment="1">
      <alignment horizontal="center" vertical="top"/>
    </xf>
    <xf numFmtId="3" fontId="3" fillId="0" borderId="100" xfId="0" applyNumberFormat="1" applyFont="1" applyBorder="1" applyAlignment="1">
      <alignment horizontal="center" vertical="top"/>
    </xf>
    <xf numFmtId="3" fontId="3" fillId="7" borderId="23" xfId="0" applyNumberFormat="1" applyFont="1" applyFill="1" applyBorder="1" applyAlignment="1">
      <alignment horizontal="center" vertical="top"/>
    </xf>
    <xf numFmtId="3" fontId="3" fillId="3" borderId="81" xfId="0" applyNumberFormat="1" applyFont="1" applyFill="1" applyBorder="1" applyAlignment="1">
      <alignment horizontal="center" vertical="top"/>
    </xf>
    <xf numFmtId="3" fontId="5" fillId="10" borderId="61" xfId="0" applyNumberFormat="1" applyFont="1" applyFill="1" applyBorder="1" applyAlignment="1">
      <alignment horizontal="center" vertical="top"/>
    </xf>
    <xf numFmtId="3" fontId="5" fillId="2" borderId="56" xfId="0" applyNumberFormat="1" applyFont="1" applyFill="1" applyBorder="1" applyAlignment="1">
      <alignment horizontal="center" vertical="top"/>
    </xf>
    <xf numFmtId="3" fontId="5" fillId="10" borderId="59" xfId="0" applyNumberFormat="1" applyFont="1" applyFill="1" applyBorder="1" applyAlignment="1">
      <alignment horizontal="center" vertical="top"/>
    </xf>
    <xf numFmtId="3" fontId="3" fillId="0" borderId="42" xfId="0" applyNumberFormat="1" applyFont="1" applyBorder="1" applyAlignment="1">
      <alignment horizontal="center" vertical="top"/>
    </xf>
    <xf numFmtId="3" fontId="3" fillId="0" borderId="64" xfId="0" applyNumberFormat="1" applyFont="1" applyBorder="1" applyAlignment="1">
      <alignment horizontal="center" vertical="top"/>
    </xf>
    <xf numFmtId="3" fontId="5" fillId="10" borderId="9" xfId="0" applyNumberFormat="1" applyFont="1" applyFill="1" applyBorder="1" applyAlignment="1">
      <alignment horizontal="center" vertical="top"/>
    </xf>
    <xf numFmtId="3" fontId="3" fillId="0" borderId="49" xfId="0" applyNumberFormat="1" applyFont="1" applyBorder="1" applyAlignment="1">
      <alignment horizontal="center" vertical="top"/>
    </xf>
    <xf numFmtId="3" fontId="5" fillId="10" borderId="38" xfId="0" applyNumberFormat="1" applyFont="1" applyFill="1" applyBorder="1" applyAlignment="1">
      <alignment horizontal="center" vertical="top"/>
    </xf>
    <xf numFmtId="3" fontId="3" fillId="3" borderId="64" xfId="0" applyNumberFormat="1" applyFont="1" applyFill="1" applyBorder="1" applyAlignment="1">
      <alignment horizontal="center" vertical="top"/>
    </xf>
    <xf numFmtId="3" fontId="3" fillId="3" borderId="49" xfId="0" applyNumberFormat="1" applyFont="1" applyFill="1" applyBorder="1" applyAlignment="1">
      <alignment horizontal="center" vertical="top"/>
    </xf>
    <xf numFmtId="3" fontId="3" fillId="0" borderId="99" xfId="0" applyNumberFormat="1" applyFont="1" applyBorder="1" applyAlignment="1">
      <alignment horizontal="center" vertical="top"/>
    </xf>
    <xf numFmtId="3" fontId="5" fillId="9" borderId="56" xfId="0" applyNumberFormat="1" applyFont="1" applyFill="1" applyBorder="1" applyAlignment="1">
      <alignment horizontal="center" vertical="top"/>
    </xf>
    <xf numFmtId="3" fontId="5" fillId="5" borderId="56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7" borderId="11" xfId="0" applyNumberFormat="1" applyFont="1" applyFill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49" fontId="5" fillId="0" borderId="89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0" fontId="3" fillId="3" borderId="18" xfId="0" applyFont="1" applyFill="1" applyBorder="1" applyAlignment="1">
      <alignment horizontal="left" vertical="top" wrapText="1"/>
    </xf>
    <xf numFmtId="49" fontId="5" fillId="9" borderId="7" xfId="0" applyNumberFormat="1" applyFont="1" applyFill="1" applyBorder="1" applyAlignment="1">
      <alignment horizontal="center" vertical="top"/>
    </xf>
    <xf numFmtId="0" fontId="23" fillId="0" borderId="7" xfId="0" applyFont="1" applyBorder="1" applyAlignment="1">
      <alignment horizontal="center" vertical="top" wrapText="1"/>
    </xf>
    <xf numFmtId="49" fontId="5" fillId="0" borderId="28" xfId="0" applyNumberFormat="1" applyFont="1" applyBorder="1" applyAlignment="1">
      <alignment horizontal="center" vertical="top"/>
    </xf>
    <xf numFmtId="0" fontId="3" fillId="3" borderId="28" xfId="0" applyFont="1" applyFill="1" applyBorder="1" applyAlignment="1">
      <alignment horizontal="left" vertical="top" wrapText="1"/>
    </xf>
    <xf numFmtId="0" fontId="5" fillId="0" borderId="38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49" fontId="5" fillId="9" borderId="9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7" borderId="31" xfId="0" applyNumberFormat="1" applyFont="1" applyFill="1" applyBorder="1" applyAlignment="1">
      <alignment horizontal="center" vertical="top"/>
    </xf>
    <xf numFmtId="49" fontId="5" fillId="9" borderId="5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7" borderId="26" xfId="0" applyNumberFormat="1" applyFont="1" applyFill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3" fillId="7" borderId="18" xfId="0" applyFont="1" applyFill="1" applyBorder="1" applyAlignment="1">
      <alignment vertical="top" wrapText="1"/>
    </xf>
    <xf numFmtId="49" fontId="5" fillId="7" borderId="50" xfId="0" applyNumberFormat="1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left" vertical="center" textRotation="90" wrapText="1"/>
    </xf>
    <xf numFmtId="0" fontId="11" fillId="3" borderId="28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right" vertical="top"/>
    </xf>
    <xf numFmtId="3" fontId="5" fillId="8" borderId="45" xfId="0" applyNumberFormat="1" applyFont="1" applyFill="1" applyBorder="1" applyAlignment="1">
      <alignment horizontal="right" vertical="top"/>
    </xf>
    <xf numFmtId="3" fontId="3" fillId="3" borderId="52" xfId="0" applyNumberFormat="1" applyFont="1" applyFill="1" applyBorder="1" applyAlignment="1">
      <alignment horizontal="right" vertical="top"/>
    </xf>
    <xf numFmtId="0" fontId="3" fillId="7" borderId="118" xfId="0" applyFont="1" applyFill="1" applyBorder="1" applyAlignment="1">
      <alignment horizontal="left" vertical="top" wrapText="1"/>
    </xf>
    <xf numFmtId="0" fontId="3" fillId="3" borderId="102" xfId="0" applyFont="1" applyFill="1" applyBorder="1" applyAlignment="1">
      <alignment horizontal="left" vertical="top" wrapText="1"/>
    </xf>
    <xf numFmtId="3" fontId="3" fillId="3" borderId="118" xfId="0" applyNumberFormat="1" applyFont="1" applyFill="1" applyBorder="1" applyAlignment="1">
      <alignment horizontal="center" vertical="top"/>
    </xf>
    <xf numFmtId="0" fontId="3" fillId="7" borderId="71" xfId="0" applyFont="1" applyFill="1" applyBorder="1" applyAlignment="1">
      <alignment horizontal="center" vertical="center" textRotation="90" wrapText="1"/>
    </xf>
    <xf numFmtId="49" fontId="5" fillId="7" borderId="17" xfId="0" applyNumberFormat="1" applyFont="1" applyFill="1" applyBorder="1" applyAlignment="1">
      <alignment horizontal="center" vertical="top"/>
    </xf>
    <xf numFmtId="0" fontId="18" fillId="0" borderId="16" xfId="0" applyFont="1" applyFill="1" applyBorder="1" applyAlignment="1">
      <alignment vertical="top" wrapText="1"/>
    </xf>
    <xf numFmtId="0" fontId="29" fillId="0" borderId="7" xfId="0" applyFont="1" applyFill="1" applyBorder="1" applyAlignment="1">
      <alignment horizontal="center" vertical="center" textRotation="90" wrapText="1"/>
    </xf>
    <xf numFmtId="3" fontId="3" fillId="7" borderId="45" xfId="0" applyNumberFormat="1" applyFont="1" applyFill="1" applyBorder="1" applyAlignment="1">
      <alignment horizontal="center" vertical="top"/>
    </xf>
    <xf numFmtId="0" fontId="3" fillId="0" borderId="51" xfId="0" applyFont="1" applyFill="1" applyBorder="1" applyAlignment="1">
      <alignment horizontal="center" vertical="top" wrapText="1"/>
    </xf>
    <xf numFmtId="3" fontId="3" fillId="7" borderId="8" xfId="0" applyNumberFormat="1" applyFont="1" applyFill="1" applyBorder="1" applyAlignment="1">
      <alignment horizontal="center" vertical="top"/>
    </xf>
    <xf numFmtId="3" fontId="3" fillId="0" borderId="8" xfId="0" applyNumberFormat="1" applyFont="1" applyBorder="1" applyAlignment="1">
      <alignment horizontal="center" vertical="top"/>
    </xf>
    <xf numFmtId="0" fontId="3" fillId="7" borderId="68" xfId="0" applyFont="1" applyFill="1" applyBorder="1" applyAlignment="1">
      <alignment horizontal="center" vertical="top"/>
    </xf>
    <xf numFmtId="0" fontId="3" fillId="7" borderId="68" xfId="0" applyFont="1" applyFill="1" applyBorder="1" applyAlignment="1">
      <alignment horizontal="center" vertical="top" wrapText="1"/>
    </xf>
    <xf numFmtId="0" fontId="15" fillId="0" borderId="30" xfId="0" applyFont="1" applyFill="1" applyBorder="1" applyAlignment="1">
      <alignment horizontal="center" vertical="top" wrapText="1"/>
    </xf>
    <xf numFmtId="3" fontId="3" fillId="7" borderId="52" xfId="1" applyNumberFormat="1" applyFont="1" applyFill="1" applyBorder="1" applyAlignment="1">
      <alignment horizontal="center" vertical="top"/>
    </xf>
    <xf numFmtId="43" fontId="3" fillId="7" borderId="41" xfId="1" applyFont="1" applyFill="1" applyBorder="1" applyAlignment="1">
      <alignment horizontal="center" vertical="top" wrapText="1"/>
    </xf>
    <xf numFmtId="0" fontId="5" fillId="7" borderId="35" xfId="0" applyFont="1" applyFill="1" applyBorder="1" applyAlignment="1">
      <alignment horizontal="center" vertical="top" wrapText="1"/>
    </xf>
    <xf numFmtId="49" fontId="5" fillId="7" borderId="43" xfId="0" applyNumberFormat="1" applyFont="1" applyFill="1" applyBorder="1" applyAlignment="1">
      <alignment horizontal="center" vertical="top" wrapText="1"/>
    </xf>
    <xf numFmtId="49" fontId="5" fillId="7" borderId="50" xfId="0" applyNumberFormat="1" applyFont="1" applyFill="1" applyBorder="1" applyAlignment="1">
      <alignment horizontal="center" vertical="top" wrapText="1"/>
    </xf>
    <xf numFmtId="0" fontId="3" fillId="7" borderId="46" xfId="0" applyFont="1" applyFill="1" applyBorder="1" applyAlignment="1">
      <alignment horizontal="center" vertical="center" textRotation="90" wrapText="1"/>
    </xf>
    <xf numFmtId="0" fontId="0" fillId="7" borderId="68" xfId="0" applyFill="1" applyBorder="1" applyAlignment="1">
      <alignment horizontal="center" vertical="center" textRotation="90" wrapText="1"/>
    </xf>
    <xf numFmtId="0" fontId="5" fillId="7" borderId="46" xfId="0" applyFont="1" applyFill="1" applyBorder="1" applyAlignment="1">
      <alignment horizontal="center" vertical="top" wrapText="1"/>
    </xf>
    <xf numFmtId="0" fontId="11" fillId="7" borderId="7" xfId="0" applyFont="1" applyFill="1" applyBorder="1" applyAlignment="1">
      <alignment horizontal="center" textRotation="90" wrapText="1"/>
    </xf>
    <xf numFmtId="3" fontId="3" fillId="0" borderId="55" xfId="0" applyNumberFormat="1" applyFont="1" applyBorder="1" applyAlignment="1">
      <alignment horizontal="center" vertical="top"/>
    </xf>
    <xf numFmtId="3" fontId="3" fillId="0" borderId="0" xfId="0" applyNumberFormat="1" applyFont="1" applyBorder="1" applyAlignment="1">
      <alignment horizontal="center" vertical="top"/>
    </xf>
    <xf numFmtId="3" fontId="5" fillId="10" borderId="69" xfId="0" applyNumberFormat="1" applyFont="1" applyFill="1" applyBorder="1" applyAlignment="1">
      <alignment horizontal="center" vertical="top"/>
    </xf>
    <xf numFmtId="0" fontId="3" fillId="0" borderId="45" xfId="0" applyFont="1" applyFill="1" applyBorder="1" applyAlignment="1">
      <alignment horizontal="center" vertical="top" wrapText="1"/>
    </xf>
    <xf numFmtId="0" fontId="3" fillId="7" borderId="39" xfId="0" applyFont="1" applyFill="1" applyBorder="1" applyAlignment="1">
      <alignment horizontal="left" vertical="top" wrapText="1"/>
    </xf>
    <xf numFmtId="49" fontId="3" fillId="0" borderId="23" xfId="0" applyNumberFormat="1" applyFont="1" applyFill="1" applyBorder="1" applyAlignment="1">
      <alignment horizontal="center" vertical="top" wrapText="1"/>
    </xf>
    <xf numFmtId="3" fontId="3" fillId="3" borderId="28" xfId="0" applyNumberFormat="1" applyFont="1" applyFill="1" applyBorder="1" applyAlignment="1">
      <alignment horizontal="center" wrapText="1"/>
    </xf>
    <xf numFmtId="3" fontId="3" fillId="0" borderId="115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center" textRotation="90" wrapText="1"/>
    </xf>
    <xf numFmtId="49" fontId="2" fillId="0" borderId="39" xfId="0" applyNumberFormat="1" applyFont="1" applyBorder="1" applyAlignment="1">
      <alignment horizontal="center" vertical="top" textRotation="90" wrapText="1"/>
    </xf>
    <xf numFmtId="49" fontId="2" fillId="0" borderId="1" xfId="0" applyNumberFormat="1" applyFont="1" applyBorder="1" applyAlignment="1">
      <alignment horizontal="center" vertical="top" textRotation="90"/>
    </xf>
    <xf numFmtId="0" fontId="3" fillId="0" borderId="38" xfId="0" applyFont="1" applyFill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textRotation="90"/>
    </xf>
    <xf numFmtId="0" fontId="5" fillId="7" borderId="45" xfId="0" applyFont="1" applyFill="1" applyBorder="1" applyAlignment="1">
      <alignment vertical="top" wrapText="1"/>
    </xf>
    <xf numFmtId="0" fontId="5" fillId="3" borderId="27" xfId="0" applyFont="1" applyFill="1" applyBorder="1" applyAlignment="1">
      <alignment horizontal="left" vertical="top" wrapText="1"/>
    </xf>
    <xf numFmtId="0" fontId="5" fillId="0" borderId="43" xfId="0" applyFont="1" applyFill="1" applyBorder="1" applyAlignment="1">
      <alignment horizontal="left" vertical="top" wrapText="1"/>
    </xf>
    <xf numFmtId="0" fontId="5" fillId="7" borderId="15" xfId="0" applyFont="1" applyFill="1" applyBorder="1" applyAlignment="1">
      <alignment vertical="top" wrapText="1"/>
    </xf>
    <xf numFmtId="3" fontId="3" fillId="7" borderId="40" xfId="0" applyNumberFormat="1" applyFont="1" applyFill="1" applyBorder="1" applyAlignment="1">
      <alignment horizontal="center" vertical="top"/>
    </xf>
    <xf numFmtId="49" fontId="5" fillId="10" borderId="33" xfId="0" applyNumberFormat="1" applyFont="1" applyFill="1" applyBorder="1" applyAlignment="1">
      <alignment vertical="top" textRotation="90"/>
    </xf>
    <xf numFmtId="49" fontId="3" fillId="0" borderId="14" xfId="0" applyNumberFormat="1" applyFont="1" applyBorder="1" applyAlignment="1">
      <alignment horizontal="center" vertical="top" textRotation="90" wrapText="1"/>
    </xf>
    <xf numFmtId="49" fontId="2" fillId="0" borderId="93" xfId="0" applyNumberFormat="1" applyFont="1" applyBorder="1" applyAlignment="1">
      <alignment horizontal="center" vertical="top" textRotation="90" wrapText="1"/>
    </xf>
    <xf numFmtId="3" fontId="20" fillId="7" borderId="106" xfId="0" applyNumberFormat="1" applyFont="1" applyFill="1" applyBorder="1" applyAlignment="1">
      <alignment horizontal="right" vertical="top" wrapText="1"/>
    </xf>
    <xf numFmtId="3" fontId="3" fillId="0" borderId="0" xfId="0" applyNumberFormat="1" applyFont="1" applyBorder="1" applyAlignment="1">
      <alignment horizontal="left" vertical="top"/>
    </xf>
    <xf numFmtId="3" fontId="3" fillId="0" borderId="0" xfId="0" applyNumberFormat="1" applyFont="1" applyBorder="1" applyAlignment="1">
      <alignment vertical="top"/>
    </xf>
    <xf numFmtId="0" fontId="3" fillId="7" borderId="95" xfId="0" applyFont="1" applyFill="1" applyBorder="1" applyAlignment="1">
      <alignment vertical="top" wrapText="1"/>
    </xf>
    <xf numFmtId="3" fontId="3" fillId="7" borderId="96" xfId="0" applyNumberFormat="1" applyFont="1" applyFill="1" applyBorder="1" applyAlignment="1">
      <alignment horizontal="center" vertical="top" wrapText="1"/>
    </xf>
    <xf numFmtId="3" fontId="3" fillId="0" borderId="96" xfId="0" applyNumberFormat="1" applyFont="1" applyFill="1" applyBorder="1" applyAlignment="1">
      <alignment horizontal="center" vertical="top" wrapText="1"/>
    </xf>
    <xf numFmtId="3" fontId="3" fillId="0" borderId="97" xfId="0" applyNumberFormat="1" applyFont="1" applyFill="1" applyBorder="1" applyAlignment="1">
      <alignment horizontal="center" vertical="top" wrapText="1"/>
    </xf>
    <xf numFmtId="3" fontId="3" fillId="3" borderId="100" xfId="0" applyNumberFormat="1" applyFont="1" applyFill="1" applyBorder="1" applyAlignment="1">
      <alignment horizontal="right" vertical="top" wrapText="1"/>
    </xf>
    <xf numFmtId="3" fontId="3" fillId="8" borderId="82" xfId="0" applyNumberFormat="1" applyFont="1" applyFill="1" applyBorder="1" applyAlignment="1">
      <alignment horizontal="right" vertical="top"/>
    </xf>
    <xf numFmtId="3" fontId="20" fillId="7" borderId="45" xfId="0" applyNumberFormat="1" applyFont="1" applyFill="1" applyBorder="1" applyAlignment="1">
      <alignment horizontal="right" vertical="top" wrapText="1"/>
    </xf>
    <xf numFmtId="3" fontId="20" fillId="7" borderId="111" xfId="0" applyNumberFormat="1" applyFont="1" applyFill="1" applyBorder="1" applyAlignment="1">
      <alignment horizontal="right" vertical="top" wrapText="1"/>
    </xf>
    <xf numFmtId="3" fontId="20" fillId="7" borderId="44" xfId="0" applyNumberFormat="1" applyFont="1" applyFill="1" applyBorder="1" applyAlignment="1">
      <alignment horizontal="right" vertical="top" wrapText="1"/>
    </xf>
    <xf numFmtId="3" fontId="20" fillId="7" borderId="45" xfId="0" applyNumberFormat="1" applyFont="1" applyFill="1" applyBorder="1" applyAlignment="1">
      <alignment horizontal="right" vertical="top"/>
    </xf>
    <xf numFmtId="3" fontId="20" fillId="7" borderId="121" xfId="0" applyNumberFormat="1" applyFont="1" applyFill="1" applyBorder="1" applyAlignment="1">
      <alignment horizontal="right" vertical="top" wrapText="1"/>
    </xf>
    <xf numFmtId="0" fontId="5" fillId="0" borderId="7" xfId="0" applyFont="1" applyFill="1" applyBorder="1" applyAlignment="1">
      <alignment horizontal="center" vertical="top" wrapText="1"/>
    </xf>
    <xf numFmtId="0" fontId="3" fillId="0" borderId="119" xfId="0" applyFont="1" applyFill="1" applyBorder="1" applyAlignment="1">
      <alignment horizontal="center" vertical="top" wrapText="1"/>
    </xf>
    <xf numFmtId="3" fontId="20" fillId="7" borderId="55" xfId="0" applyNumberFormat="1" applyFont="1" applyFill="1" applyBorder="1" applyAlignment="1">
      <alignment horizontal="right" vertical="top"/>
    </xf>
    <xf numFmtId="0" fontId="3" fillId="7" borderId="108" xfId="0" applyFont="1" applyFill="1" applyBorder="1" applyAlignment="1">
      <alignment horizontal="center" vertical="top" wrapText="1"/>
    </xf>
    <xf numFmtId="3" fontId="3" fillId="7" borderId="111" xfId="0" applyNumberFormat="1" applyFont="1" applyFill="1" applyBorder="1" applyAlignment="1">
      <alignment horizontal="center" vertical="top"/>
    </xf>
    <xf numFmtId="3" fontId="3" fillId="3" borderId="128" xfId="0" applyNumberFormat="1" applyFont="1" applyFill="1" applyBorder="1" applyAlignment="1">
      <alignment horizontal="right" vertical="top" wrapText="1"/>
    </xf>
    <xf numFmtId="3" fontId="3" fillId="0" borderId="79" xfId="0" applyNumberFormat="1" applyFont="1" applyFill="1" applyBorder="1" applyAlignment="1">
      <alignment horizontal="right" vertical="top" wrapText="1"/>
    </xf>
    <xf numFmtId="3" fontId="3" fillId="3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top"/>
    </xf>
    <xf numFmtId="3" fontId="3" fillId="0" borderId="73" xfId="0" applyNumberFormat="1" applyFont="1" applyFill="1" applyBorder="1" applyAlignment="1">
      <alignment horizontal="right" vertical="top"/>
    </xf>
    <xf numFmtId="3" fontId="3" fillId="0" borderId="10" xfId="0" applyNumberFormat="1" applyFont="1" applyFill="1" applyBorder="1" applyAlignment="1">
      <alignment horizontal="right" vertical="top"/>
    </xf>
    <xf numFmtId="3" fontId="20" fillId="0" borderId="45" xfId="0" applyNumberFormat="1" applyFont="1" applyFill="1" applyBorder="1" applyAlignment="1">
      <alignment horizontal="right" vertical="top"/>
    </xf>
    <xf numFmtId="0" fontId="3" fillId="0" borderId="77" xfId="0" applyFont="1" applyFill="1" applyBorder="1" applyAlignment="1">
      <alignment horizontal="center" vertical="top"/>
    </xf>
    <xf numFmtId="164" fontId="3" fillId="0" borderId="10" xfId="0" applyNumberFormat="1" applyFont="1" applyBorder="1" applyAlignment="1">
      <alignment horizontal="right" vertical="top"/>
    </xf>
    <xf numFmtId="0" fontId="5" fillId="3" borderId="14" xfId="0" applyFont="1" applyFill="1" applyBorder="1" applyAlignment="1">
      <alignment vertical="top" wrapText="1"/>
    </xf>
    <xf numFmtId="0" fontId="3" fillId="3" borderId="66" xfId="0" applyFont="1" applyFill="1" applyBorder="1" applyAlignment="1">
      <alignment vertical="top" wrapText="1"/>
    </xf>
    <xf numFmtId="49" fontId="3" fillId="0" borderId="23" xfId="0" applyNumberFormat="1" applyFont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top"/>
    </xf>
    <xf numFmtId="3" fontId="3" fillId="0" borderId="23" xfId="0" applyNumberFormat="1" applyFont="1" applyBorder="1" applyAlignment="1">
      <alignment horizontal="center" vertical="top"/>
    </xf>
    <xf numFmtId="49" fontId="5" fillId="0" borderId="40" xfId="0" applyNumberFormat="1" applyFont="1" applyBorder="1" applyAlignment="1">
      <alignment horizontal="center" vertical="top"/>
    </xf>
    <xf numFmtId="49" fontId="5" fillId="0" borderId="55" xfId="0" applyNumberFormat="1" applyFont="1" applyBorder="1" applyAlignment="1">
      <alignment horizontal="center" vertical="top"/>
    </xf>
    <xf numFmtId="0" fontId="3" fillId="0" borderId="79" xfId="0" applyFont="1" applyFill="1" applyBorder="1" applyAlignment="1">
      <alignment horizontal="center" vertical="top"/>
    </xf>
    <xf numFmtId="0" fontId="3" fillId="10" borderId="76" xfId="0" applyFont="1" applyFill="1" applyBorder="1" applyAlignment="1">
      <alignment vertical="top" wrapText="1"/>
    </xf>
    <xf numFmtId="3" fontId="3" fillId="0" borderId="44" xfId="0" applyNumberFormat="1" applyFont="1" applyFill="1" applyBorder="1" applyAlignment="1">
      <alignment horizontal="center" vertical="top"/>
    </xf>
    <xf numFmtId="3" fontId="20" fillId="7" borderId="132" xfId="0" applyNumberFormat="1" applyFont="1" applyFill="1" applyBorder="1" applyAlignment="1">
      <alignment horizontal="right" vertical="top" wrapText="1"/>
    </xf>
    <xf numFmtId="0" fontId="7" fillId="7" borderId="35" xfId="0" applyFont="1" applyFill="1" applyBorder="1" applyAlignment="1">
      <alignment horizontal="center" vertical="center" wrapText="1"/>
    </xf>
    <xf numFmtId="0" fontId="3" fillId="7" borderId="45" xfId="0" applyFont="1" applyFill="1" applyBorder="1" applyAlignment="1">
      <alignment horizontal="center" vertical="top"/>
    </xf>
    <xf numFmtId="0" fontId="3" fillId="7" borderId="5" xfId="0" applyFont="1" applyFill="1" applyBorder="1" applyAlignment="1">
      <alignment vertical="top" wrapText="1"/>
    </xf>
    <xf numFmtId="3" fontId="3" fillId="7" borderId="88" xfId="0" applyNumberFormat="1" applyFont="1" applyFill="1" applyBorder="1" applyAlignment="1">
      <alignment horizontal="center" vertical="center"/>
    </xf>
    <xf numFmtId="0" fontId="3" fillId="7" borderId="115" xfId="0" applyFont="1" applyFill="1" applyBorder="1" applyAlignment="1">
      <alignment horizontal="center" vertical="top"/>
    </xf>
    <xf numFmtId="3" fontId="3" fillId="8" borderId="121" xfId="0" applyNumberFormat="1" applyFont="1" applyFill="1" applyBorder="1" applyAlignment="1">
      <alignment horizontal="right" vertical="top"/>
    </xf>
    <xf numFmtId="0" fontId="2" fillId="7" borderId="7" xfId="0" applyFont="1" applyFill="1" applyBorder="1" applyAlignment="1">
      <alignment horizontal="center" vertical="center" textRotation="90" wrapText="1"/>
    </xf>
    <xf numFmtId="0" fontId="0" fillId="7" borderId="7" xfId="0" applyFill="1" applyBorder="1" applyAlignment="1">
      <alignment horizontal="center" vertical="center" wrapText="1"/>
    </xf>
    <xf numFmtId="3" fontId="3" fillId="7" borderId="132" xfId="0" applyNumberFormat="1" applyFont="1" applyFill="1" applyBorder="1" applyAlignment="1">
      <alignment horizontal="center" vertical="top"/>
    </xf>
    <xf numFmtId="3" fontId="3" fillId="7" borderId="97" xfId="0" applyNumberFormat="1" applyFont="1" applyFill="1" applyBorder="1" applyAlignment="1">
      <alignment horizontal="center" vertical="center"/>
    </xf>
    <xf numFmtId="49" fontId="3" fillId="7" borderId="21" xfId="0" applyNumberFormat="1" applyFont="1" applyFill="1" applyBorder="1" applyAlignment="1">
      <alignment horizontal="center" vertical="top"/>
    </xf>
    <xf numFmtId="3" fontId="3" fillId="0" borderId="109" xfId="0" applyNumberFormat="1" applyFont="1" applyFill="1" applyBorder="1" applyAlignment="1">
      <alignment horizontal="center" vertical="top"/>
    </xf>
    <xf numFmtId="3" fontId="3" fillId="0" borderId="116" xfId="0" applyNumberFormat="1" applyFont="1" applyFill="1" applyBorder="1" applyAlignment="1">
      <alignment horizontal="center" vertical="top"/>
    </xf>
    <xf numFmtId="3" fontId="3" fillId="0" borderId="58" xfId="0" applyNumberFormat="1" applyFont="1" applyFill="1" applyBorder="1" applyAlignment="1">
      <alignment horizontal="center" vertical="top"/>
    </xf>
    <xf numFmtId="3" fontId="3" fillId="8" borderId="23" xfId="0" applyNumberFormat="1" applyFont="1" applyFill="1" applyBorder="1" applyAlignment="1">
      <alignment horizontal="center" vertical="top" wrapText="1"/>
    </xf>
    <xf numFmtId="49" fontId="5" fillId="9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7" borderId="11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7" borderId="31" xfId="0" applyNumberFormat="1" applyFont="1" applyFill="1" applyBorder="1" applyAlignment="1">
      <alignment horizontal="center" vertical="top"/>
    </xf>
    <xf numFmtId="49" fontId="5" fillId="7" borderId="26" xfId="0" applyNumberFormat="1" applyFont="1" applyFill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0" fontId="5" fillId="0" borderId="46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 wrapText="1"/>
    </xf>
    <xf numFmtId="49" fontId="5" fillId="0" borderId="21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0" fontId="3" fillId="3" borderId="28" xfId="0" applyFont="1" applyFill="1" applyBorder="1" applyAlignment="1">
      <alignment horizontal="left" vertical="top" wrapText="1"/>
    </xf>
    <xf numFmtId="49" fontId="5" fillId="9" borderId="9" xfId="0" applyNumberFormat="1" applyFont="1" applyFill="1" applyBorder="1" applyAlignment="1">
      <alignment horizontal="center" vertical="top"/>
    </xf>
    <xf numFmtId="0" fontId="3" fillId="3" borderId="18" xfId="0" applyFont="1" applyFill="1" applyBorder="1" applyAlignment="1">
      <alignment vertical="top" wrapText="1"/>
    </xf>
    <xf numFmtId="0" fontId="3" fillId="3" borderId="32" xfId="0" applyFont="1" applyFill="1" applyBorder="1" applyAlignment="1">
      <alignment vertical="top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3" fillId="0" borderId="76" xfId="0" applyFont="1" applyFill="1" applyBorder="1" applyAlignment="1">
      <alignment horizontal="center" vertical="center" textRotation="90" wrapText="1"/>
    </xf>
    <xf numFmtId="49" fontId="5" fillId="9" borderId="5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0" fontId="3" fillId="0" borderId="46" xfId="0" applyFont="1" applyFill="1" applyBorder="1" applyAlignment="1">
      <alignment horizontal="center" vertical="center" textRotation="90" wrapText="1"/>
    </xf>
    <xf numFmtId="49" fontId="5" fillId="3" borderId="50" xfId="0" applyNumberFormat="1" applyFont="1" applyFill="1" applyBorder="1" applyAlignment="1">
      <alignment horizontal="center" vertical="top"/>
    </xf>
    <xf numFmtId="0" fontId="5" fillId="3" borderId="35" xfId="0" applyFont="1" applyFill="1" applyBorder="1" applyAlignment="1">
      <alignment horizontal="center" vertical="top" wrapText="1"/>
    </xf>
    <xf numFmtId="49" fontId="5" fillId="9" borderId="35" xfId="0" applyNumberFormat="1" applyFont="1" applyFill="1" applyBorder="1" applyAlignment="1">
      <alignment horizontal="center" vertical="top"/>
    </xf>
    <xf numFmtId="0" fontId="5" fillId="3" borderId="51" xfId="0" applyFont="1" applyFill="1" applyBorder="1" applyAlignment="1">
      <alignment horizontal="center" vertical="top" wrapText="1"/>
    </xf>
    <xf numFmtId="49" fontId="5" fillId="7" borderId="36" xfId="0" applyNumberFormat="1" applyFont="1" applyFill="1" applyBorder="1" applyAlignment="1">
      <alignment horizontal="center" vertical="top"/>
    </xf>
    <xf numFmtId="0" fontId="7" fillId="7" borderId="68" xfId="0" applyFont="1" applyFill="1" applyBorder="1" applyAlignment="1">
      <alignment horizontal="center" vertical="center" wrapText="1"/>
    </xf>
    <xf numFmtId="0" fontId="3" fillId="0" borderId="100" xfId="0" applyFont="1" applyFill="1" applyBorder="1" applyAlignment="1">
      <alignment horizontal="center" vertical="top"/>
    </xf>
    <xf numFmtId="3" fontId="3" fillId="8" borderId="122" xfId="0" applyNumberFormat="1" applyFont="1" applyFill="1" applyBorder="1" applyAlignment="1">
      <alignment horizontal="right" vertical="top"/>
    </xf>
    <xf numFmtId="3" fontId="3" fillId="3" borderId="105" xfId="0" applyNumberFormat="1" applyFont="1" applyFill="1" applyBorder="1" applyAlignment="1">
      <alignment horizontal="right" vertical="top" wrapText="1"/>
    </xf>
    <xf numFmtId="0" fontId="3" fillId="0" borderId="68" xfId="0" applyFont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 wrapText="1"/>
    </xf>
    <xf numFmtId="3" fontId="3" fillId="3" borderId="32" xfId="0" applyNumberFormat="1" applyFont="1" applyFill="1" applyBorder="1" applyAlignment="1">
      <alignment horizontal="center" vertical="top" wrapText="1"/>
    </xf>
    <xf numFmtId="0" fontId="29" fillId="3" borderId="12" xfId="0" applyFont="1" applyFill="1" applyBorder="1" applyAlignment="1">
      <alignment horizontal="center" vertical="center" textRotation="90" wrapText="1"/>
    </xf>
    <xf numFmtId="0" fontId="29" fillId="0" borderId="16" xfId="0" applyFont="1" applyFill="1" applyBorder="1" applyAlignment="1">
      <alignment horizontal="center" vertical="center" textRotation="90" wrapText="1"/>
    </xf>
    <xf numFmtId="3" fontId="3" fillId="0" borderId="19" xfId="0" applyNumberFormat="1" applyFont="1" applyFill="1" applyBorder="1" applyAlignment="1">
      <alignment horizontal="center" vertical="top"/>
    </xf>
    <xf numFmtId="0" fontId="9" fillId="7" borderId="18" xfId="0" applyFont="1" applyFill="1" applyBorder="1" applyAlignment="1">
      <alignment horizontal="center" vertical="top" wrapText="1"/>
    </xf>
    <xf numFmtId="0" fontId="10" fillId="0" borderId="50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center" vertical="center" textRotation="90" wrapText="1"/>
    </xf>
    <xf numFmtId="0" fontId="5" fillId="3" borderId="35" xfId="0" applyFont="1" applyFill="1" applyBorder="1" applyAlignment="1">
      <alignment horizontal="center" vertical="top"/>
    </xf>
    <xf numFmtId="3" fontId="5" fillId="7" borderId="6" xfId="0" applyNumberFormat="1" applyFont="1" applyFill="1" applyBorder="1" applyAlignment="1">
      <alignment horizontal="right" vertical="top"/>
    </xf>
    <xf numFmtId="3" fontId="5" fillId="7" borderId="55" xfId="0" applyNumberFormat="1" applyFont="1" applyFill="1" applyBorder="1" applyAlignment="1">
      <alignment horizontal="right" vertical="top"/>
    </xf>
    <xf numFmtId="0" fontId="3" fillId="0" borderId="9" xfId="0" applyFont="1" applyFill="1" applyBorder="1" applyAlignment="1">
      <alignment horizontal="center" vertical="center" textRotation="90" wrapText="1"/>
    </xf>
    <xf numFmtId="49" fontId="5" fillId="9" borderId="35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7" borderId="11" xfId="0" applyNumberFormat="1" applyFont="1" applyFill="1" applyBorder="1" applyAlignment="1">
      <alignment horizontal="center" vertical="top"/>
    </xf>
    <xf numFmtId="0" fontId="3" fillId="3" borderId="21" xfId="0" applyFont="1" applyFill="1" applyBorder="1" applyAlignment="1">
      <alignment horizontal="left" vertical="top" wrapText="1"/>
    </xf>
    <xf numFmtId="49" fontId="5" fillId="0" borderId="21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0" fontId="3" fillId="3" borderId="18" xfId="0" applyFont="1" applyFill="1" applyBorder="1" applyAlignment="1">
      <alignment horizontal="left" vertical="top" wrapText="1"/>
    </xf>
    <xf numFmtId="49" fontId="5" fillId="9" borderId="7" xfId="0" applyNumberFormat="1" applyFont="1" applyFill="1" applyBorder="1" applyAlignment="1">
      <alignment horizontal="center" vertical="top"/>
    </xf>
    <xf numFmtId="164" fontId="5" fillId="0" borderId="38" xfId="0" applyNumberFormat="1" applyFont="1" applyFill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49" fontId="5" fillId="0" borderId="28" xfId="0" applyNumberFormat="1" applyFont="1" applyBorder="1" applyAlignment="1">
      <alignment horizontal="center" vertical="top"/>
    </xf>
    <xf numFmtId="0" fontId="5" fillId="0" borderId="38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38" xfId="0" applyFont="1" applyFill="1" applyBorder="1" applyAlignment="1">
      <alignment horizontal="left" vertical="top" wrapText="1"/>
    </xf>
    <xf numFmtId="49" fontId="5" fillId="9" borderId="5" xfId="0" applyNumberFormat="1" applyFont="1" applyFill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7" borderId="26" xfId="0" applyNumberFormat="1" applyFont="1" applyFill="1" applyBorder="1" applyAlignment="1">
      <alignment horizontal="center" vertical="top"/>
    </xf>
    <xf numFmtId="0" fontId="3" fillId="0" borderId="76" xfId="0" applyFont="1" applyFill="1" applyBorder="1" applyAlignment="1">
      <alignment horizontal="center" vertical="center" textRotation="90" wrapText="1"/>
    </xf>
    <xf numFmtId="49" fontId="5" fillId="0" borderId="27" xfId="0" applyNumberFormat="1" applyFont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0" fontId="3" fillId="2" borderId="57" xfId="0" applyFont="1" applyFill="1" applyBorder="1" applyAlignment="1">
      <alignment horizontal="center" vertical="top" wrapText="1"/>
    </xf>
    <xf numFmtId="0" fontId="3" fillId="7" borderId="21" xfId="0" applyFont="1" applyFill="1" applyBorder="1" applyAlignment="1">
      <alignment horizontal="left" vertical="top" wrapText="1"/>
    </xf>
    <xf numFmtId="49" fontId="5" fillId="0" borderId="26" xfId="0" applyNumberFormat="1" applyFont="1" applyBorder="1" applyAlignment="1">
      <alignment horizontal="center" vertical="top"/>
    </xf>
    <xf numFmtId="49" fontId="5" fillId="0" borderId="11" xfId="0" applyNumberFormat="1" applyFont="1" applyBorder="1" applyAlignment="1">
      <alignment horizontal="center" vertical="top"/>
    </xf>
    <xf numFmtId="0" fontId="3" fillId="3" borderId="18" xfId="0" applyFont="1" applyFill="1" applyBorder="1" applyAlignment="1">
      <alignment vertical="top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5" fillId="3" borderId="43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left" vertical="center" textRotation="90" wrapText="1"/>
    </xf>
    <xf numFmtId="0" fontId="3" fillId="0" borderId="7" xfId="0" applyFont="1" applyFill="1" applyBorder="1" applyAlignment="1">
      <alignment vertical="top" wrapText="1"/>
    </xf>
    <xf numFmtId="0" fontId="5" fillId="3" borderId="27" xfId="0" applyFont="1" applyFill="1" applyBorder="1" applyAlignment="1">
      <alignment vertical="top" wrapText="1"/>
    </xf>
    <xf numFmtId="0" fontId="5" fillId="3" borderId="18" xfId="0" applyFont="1" applyFill="1" applyBorder="1" applyAlignment="1">
      <alignment vertical="top" wrapText="1"/>
    </xf>
    <xf numFmtId="3" fontId="3" fillId="7" borderId="0" xfId="0" applyNumberFormat="1" applyFont="1" applyFill="1" applyAlignment="1">
      <alignment vertical="top"/>
    </xf>
    <xf numFmtId="0" fontId="0" fillId="0" borderId="6" xfId="0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49" fontId="5" fillId="10" borderId="11" xfId="0" applyNumberFormat="1" applyFont="1" applyFill="1" applyBorder="1" applyAlignment="1">
      <alignment horizontal="center" vertical="top"/>
    </xf>
    <xf numFmtId="49" fontId="5" fillId="0" borderId="20" xfId="0" applyNumberFormat="1" applyFont="1" applyBorder="1" applyAlignment="1">
      <alignment horizontal="center" vertical="top"/>
    </xf>
    <xf numFmtId="0" fontId="5" fillId="0" borderId="68" xfId="0" applyFont="1" applyFill="1" applyBorder="1" applyAlignment="1">
      <alignment horizontal="center" vertical="top" wrapText="1"/>
    </xf>
    <xf numFmtId="49" fontId="5" fillId="0" borderId="29" xfId="0" applyNumberFormat="1" applyFont="1" applyBorder="1" applyAlignment="1">
      <alignment horizontal="center" vertical="top"/>
    </xf>
    <xf numFmtId="0" fontId="3" fillId="3" borderId="28" xfId="0" applyFont="1" applyFill="1" applyBorder="1" applyAlignment="1">
      <alignment vertical="top" wrapText="1"/>
    </xf>
    <xf numFmtId="49" fontId="5" fillId="9" borderId="76" xfId="0" applyNumberFormat="1" applyFont="1" applyFill="1" applyBorder="1" applyAlignment="1">
      <alignment horizontal="center" vertical="top"/>
    </xf>
    <xf numFmtId="49" fontId="5" fillId="10" borderId="26" xfId="0" applyNumberFormat="1" applyFont="1" applyFill="1" applyBorder="1" applyAlignment="1">
      <alignment horizontal="center" vertical="top"/>
    </xf>
    <xf numFmtId="49" fontId="5" fillId="10" borderId="58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49" fontId="5" fillId="3" borderId="29" xfId="0" applyNumberFormat="1" applyFont="1" applyFill="1" applyBorder="1" applyAlignment="1">
      <alignment horizontal="center" vertical="top"/>
    </xf>
    <xf numFmtId="0" fontId="3" fillId="7" borderId="38" xfId="0" applyFont="1" applyFill="1" applyBorder="1" applyAlignment="1">
      <alignment horizontal="left" vertical="top" wrapText="1"/>
    </xf>
    <xf numFmtId="0" fontId="3" fillId="7" borderId="30" xfId="0" applyFont="1" applyFill="1" applyBorder="1" applyAlignment="1">
      <alignment horizontal="left" vertical="top" wrapText="1"/>
    </xf>
    <xf numFmtId="49" fontId="3" fillId="0" borderId="43" xfId="0" applyNumberFormat="1" applyFont="1" applyBorder="1" applyAlignment="1">
      <alignment horizontal="center" vertical="top" wrapText="1"/>
    </xf>
    <xf numFmtId="49" fontId="5" fillId="10" borderId="50" xfId="0" applyNumberFormat="1" applyFont="1" applyFill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49" fontId="5" fillId="3" borderId="11" xfId="0" applyNumberFormat="1" applyFont="1" applyFill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49" fontId="5" fillId="3" borderId="11" xfId="0" applyNumberFormat="1" applyFont="1" applyFill="1" applyBorder="1" applyAlignment="1">
      <alignment horizontal="center" vertical="top" wrapText="1"/>
    </xf>
    <xf numFmtId="0" fontId="3" fillId="7" borderId="36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horizontal="left" vertical="top" wrapText="1"/>
    </xf>
    <xf numFmtId="3" fontId="3" fillId="0" borderId="27" xfId="0" applyNumberFormat="1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 textRotation="90" wrapText="1"/>
    </xf>
    <xf numFmtId="49" fontId="2" fillId="0" borderId="1" xfId="0" applyNumberFormat="1" applyFont="1" applyBorder="1" applyAlignment="1">
      <alignment horizontal="center" vertical="top" textRotation="90" wrapText="1"/>
    </xf>
    <xf numFmtId="49" fontId="2" fillId="0" borderId="43" xfId="0" applyNumberFormat="1" applyFont="1" applyBorder="1" applyAlignment="1">
      <alignment horizontal="center" vertical="top" textRotation="90" wrapText="1"/>
    </xf>
    <xf numFmtId="49" fontId="2" fillId="0" borderId="50" xfId="0" applyNumberFormat="1" applyFont="1" applyBorder="1" applyAlignment="1">
      <alignment horizontal="center" vertical="top" textRotation="90" wrapText="1"/>
    </xf>
    <xf numFmtId="0" fontId="0" fillId="0" borderId="30" xfId="0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49" fontId="5" fillId="9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7" borderId="11" xfId="0" applyNumberFormat="1" applyFont="1" applyFill="1" applyBorder="1" applyAlignment="1">
      <alignment horizontal="center" vertical="top"/>
    </xf>
    <xf numFmtId="0" fontId="3" fillId="3" borderId="21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49" fontId="5" fillId="2" borderId="31" xfId="0" applyNumberFormat="1" applyFont="1" applyFill="1" applyBorder="1" applyAlignment="1">
      <alignment horizontal="center" vertical="top"/>
    </xf>
    <xf numFmtId="49" fontId="5" fillId="7" borderId="26" xfId="0" applyNumberFormat="1" applyFont="1" applyFill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0" fontId="5" fillId="3" borderId="27" xfId="0" applyFont="1" applyFill="1" applyBorder="1" applyAlignment="1">
      <alignment vertical="top" wrapText="1"/>
    </xf>
    <xf numFmtId="0" fontId="5" fillId="3" borderId="18" xfId="0" applyFont="1" applyFill="1" applyBorder="1" applyAlignment="1">
      <alignment vertical="top" wrapText="1"/>
    </xf>
    <xf numFmtId="0" fontId="5" fillId="0" borderId="35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 wrapText="1"/>
    </xf>
    <xf numFmtId="49" fontId="5" fillId="0" borderId="21" xfId="0" applyNumberFormat="1" applyFont="1" applyBorder="1" applyAlignment="1">
      <alignment horizontal="center" vertical="top"/>
    </xf>
    <xf numFmtId="0" fontId="5" fillId="0" borderId="30" xfId="0" applyFont="1" applyFill="1" applyBorder="1" applyAlignment="1">
      <alignment horizontal="center" vertical="top" wrapText="1"/>
    </xf>
    <xf numFmtId="49" fontId="5" fillId="0" borderId="28" xfId="0" applyNumberFormat="1" applyFont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164" fontId="3" fillId="0" borderId="7" xfId="0" applyNumberFormat="1" applyFont="1" applyFill="1" applyBorder="1" applyAlignment="1">
      <alignment horizontal="left" vertical="center" textRotation="90" wrapText="1"/>
    </xf>
    <xf numFmtId="0" fontId="3" fillId="3" borderId="18" xfId="0" applyFont="1" applyFill="1" applyBorder="1" applyAlignment="1">
      <alignment vertical="top" wrapText="1"/>
    </xf>
    <xf numFmtId="0" fontId="3" fillId="7" borderId="21" xfId="0" applyFont="1" applyFill="1" applyBorder="1" applyAlignment="1">
      <alignment horizontal="left" vertical="top" wrapText="1"/>
    </xf>
    <xf numFmtId="49" fontId="5" fillId="9" borderId="5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0" fontId="5" fillId="3" borderId="43" xfId="0" applyFont="1" applyFill="1" applyBorder="1" applyAlignment="1">
      <alignment horizontal="left" vertical="top" wrapText="1"/>
    </xf>
    <xf numFmtId="49" fontId="5" fillId="0" borderId="26" xfId="0" applyNumberFormat="1" applyFont="1" applyBorder="1" applyAlignment="1">
      <alignment horizontal="center" vertical="top"/>
    </xf>
    <xf numFmtId="49" fontId="5" fillId="0" borderId="11" xfId="0" applyNumberFormat="1" applyFont="1" applyBorder="1" applyAlignment="1">
      <alignment horizontal="center" vertical="top"/>
    </xf>
    <xf numFmtId="0" fontId="3" fillId="0" borderId="76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center" vertical="center" textRotation="90" wrapText="1"/>
    </xf>
    <xf numFmtId="49" fontId="5" fillId="9" borderId="35" xfId="0" applyNumberFormat="1" applyFont="1" applyFill="1" applyBorder="1" applyAlignment="1">
      <alignment horizontal="center" vertical="top"/>
    </xf>
    <xf numFmtId="164" fontId="5" fillId="0" borderId="38" xfId="0" applyNumberFormat="1" applyFont="1" applyFill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49" fontId="5" fillId="10" borderId="11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49" fontId="5" fillId="3" borderId="29" xfId="0" applyNumberFormat="1" applyFont="1" applyFill="1" applyBorder="1" applyAlignment="1">
      <alignment horizontal="center" vertical="top"/>
    </xf>
    <xf numFmtId="49" fontId="5" fillId="3" borderId="11" xfId="0" applyNumberFormat="1" applyFont="1" applyFill="1" applyBorder="1" applyAlignment="1">
      <alignment horizontal="center" vertical="top"/>
    </xf>
    <xf numFmtId="0" fontId="3" fillId="7" borderId="36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49" fontId="5" fillId="0" borderId="20" xfId="0" applyNumberFormat="1" applyFont="1" applyBorder="1" applyAlignment="1">
      <alignment horizontal="center" vertical="top"/>
    </xf>
    <xf numFmtId="49" fontId="5" fillId="0" borderId="29" xfId="0" applyNumberFormat="1" applyFont="1" applyBorder="1" applyAlignment="1">
      <alignment horizontal="center" vertical="top"/>
    </xf>
    <xf numFmtId="0" fontId="3" fillId="3" borderId="28" xfId="0" applyFont="1" applyFill="1" applyBorder="1" applyAlignment="1">
      <alignment vertical="top" wrapText="1"/>
    </xf>
    <xf numFmtId="49" fontId="3" fillId="0" borderId="50" xfId="0" applyNumberFormat="1" applyFont="1" applyBorder="1" applyAlignment="1">
      <alignment horizontal="center" vertical="top" wrapText="1"/>
    </xf>
    <xf numFmtId="0" fontId="5" fillId="0" borderId="68" xfId="0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49" fontId="3" fillId="0" borderId="43" xfId="0" applyNumberFormat="1" applyFont="1" applyBorder="1" applyAlignment="1">
      <alignment horizontal="center" vertical="top" wrapText="1"/>
    </xf>
    <xf numFmtId="49" fontId="5" fillId="10" borderId="26" xfId="0" applyNumberFormat="1" applyFont="1" applyFill="1" applyBorder="1" applyAlignment="1">
      <alignment horizontal="center" vertical="top"/>
    </xf>
    <xf numFmtId="49" fontId="5" fillId="10" borderId="50" xfId="0" applyNumberFormat="1" applyFont="1" applyFill="1" applyBorder="1" applyAlignment="1">
      <alignment horizontal="center" vertical="top"/>
    </xf>
    <xf numFmtId="49" fontId="5" fillId="10" borderId="58" xfId="0" applyNumberFormat="1" applyFont="1" applyFill="1" applyBorder="1" applyAlignment="1">
      <alignment horizontal="center" vertical="top"/>
    </xf>
    <xf numFmtId="49" fontId="5" fillId="9" borderId="76" xfId="0" applyNumberFormat="1" applyFont="1" applyFill="1" applyBorder="1" applyAlignment="1">
      <alignment horizontal="center" vertical="top"/>
    </xf>
    <xf numFmtId="3" fontId="3" fillId="7" borderId="0" xfId="0" applyNumberFormat="1" applyFont="1" applyFill="1" applyAlignment="1">
      <alignment vertical="top"/>
    </xf>
    <xf numFmtId="0" fontId="3" fillId="0" borderId="0" xfId="0" applyFont="1" applyAlignment="1">
      <alignment vertical="top" wrapText="1"/>
    </xf>
    <xf numFmtId="49" fontId="2" fillId="0" borderId="43" xfId="0" applyNumberFormat="1" applyFont="1" applyBorder="1" applyAlignment="1">
      <alignment horizontal="center" vertical="top" textRotation="90" wrapText="1"/>
    </xf>
    <xf numFmtId="49" fontId="2" fillId="0" borderId="50" xfId="0" applyNumberFormat="1" applyFont="1" applyBorder="1" applyAlignment="1">
      <alignment horizontal="center" vertical="top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30" xfId="0" applyBorder="1" applyAlignment="1">
      <alignment horizontal="center" vertical="center" textRotation="90" wrapText="1"/>
    </xf>
    <xf numFmtId="49" fontId="2" fillId="0" borderId="1" xfId="0" applyNumberFormat="1" applyFont="1" applyBorder="1" applyAlignment="1">
      <alignment horizontal="center" vertical="top" textRotation="90" wrapText="1"/>
    </xf>
    <xf numFmtId="0" fontId="3" fillId="7" borderId="82" xfId="0" applyFont="1" applyFill="1" applyBorder="1" applyAlignment="1">
      <alignment vertical="top" wrapText="1"/>
    </xf>
    <xf numFmtId="3" fontId="3" fillId="7" borderId="86" xfId="0" applyNumberFormat="1" applyFont="1" applyFill="1" applyBorder="1" applyAlignment="1">
      <alignment horizontal="center" vertical="top" wrapText="1"/>
    </xf>
    <xf numFmtId="3" fontId="3" fillId="7" borderId="85" xfId="0" applyNumberFormat="1" applyFont="1" applyFill="1" applyBorder="1" applyAlignment="1">
      <alignment horizontal="center" vertical="top" wrapText="1"/>
    </xf>
    <xf numFmtId="3" fontId="3" fillId="7" borderId="18" xfId="0" applyNumberFormat="1" applyFont="1" applyFill="1" applyBorder="1" applyAlignment="1">
      <alignment horizontal="center" vertical="center"/>
    </xf>
    <xf numFmtId="0" fontId="29" fillId="0" borderId="46" xfId="0" applyFont="1" applyFill="1" applyBorder="1" applyAlignment="1">
      <alignment horizontal="center" vertical="top" textRotation="90" wrapText="1"/>
    </xf>
    <xf numFmtId="0" fontId="11" fillId="0" borderId="73" xfId="0" applyFont="1" applyBorder="1" applyAlignment="1">
      <alignment horizontal="center" vertical="top"/>
    </xf>
    <xf numFmtId="49" fontId="7" fillId="10" borderId="33" xfId="0" applyNumberFormat="1" applyFont="1" applyFill="1" applyBorder="1" applyAlignment="1">
      <alignment vertical="top" textRotation="90"/>
    </xf>
    <xf numFmtId="3" fontId="5" fillId="8" borderId="23" xfId="0" applyNumberFormat="1" applyFont="1" applyFill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3" fontId="3" fillId="7" borderId="66" xfId="0" applyNumberFormat="1" applyFont="1" applyFill="1" applyBorder="1" applyAlignment="1">
      <alignment horizontal="center" vertical="top"/>
    </xf>
    <xf numFmtId="3" fontId="3" fillId="0" borderId="53" xfId="0" applyNumberFormat="1" applyFont="1" applyBorder="1" applyAlignment="1">
      <alignment horizontal="center" vertical="top"/>
    </xf>
    <xf numFmtId="3" fontId="3" fillId="7" borderId="0" xfId="0" applyNumberFormat="1" applyFont="1" applyFill="1" applyBorder="1" applyAlignment="1">
      <alignment horizontal="center" vertical="top"/>
    </xf>
    <xf numFmtId="3" fontId="3" fillId="0" borderId="79" xfId="0" applyNumberFormat="1" applyFont="1" applyBorder="1" applyAlignment="1">
      <alignment horizontal="center" vertical="top"/>
    </xf>
    <xf numFmtId="3" fontId="3" fillId="0" borderId="77" xfId="0" applyNumberFormat="1" applyFont="1" applyBorder="1" applyAlignment="1">
      <alignment horizontal="center" vertical="top"/>
    </xf>
    <xf numFmtId="3" fontId="3" fillId="7" borderId="63" xfId="0" applyNumberFormat="1" applyFont="1" applyFill="1" applyBorder="1" applyAlignment="1">
      <alignment horizontal="center" vertical="top"/>
    </xf>
    <xf numFmtId="3" fontId="5" fillId="10" borderId="76" xfId="0" applyNumberFormat="1" applyFont="1" applyFill="1" applyBorder="1" applyAlignment="1">
      <alignment horizontal="center" vertical="top"/>
    </xf>
    <xf numFmtId="3" fontId="5" fillId="10" borderId="51" xfId="0" applyNumberFormat="1" applyFont="1" applyFill="1" applyBorder="1" applyAlignment="1">
      <alignment horizontal="center" vertical="top"/>
    </xf>
    <xf numFmtId="3" fontId="3" fillId="3" borderId="77" xfId="0" applyNumberFormat="1" applyFont="1" applyFill="1" applyBorder="1" applyAlignment="1">
      <alignment horizontal="center" vertical="top"/>
    </xf>
    <xf numFmtId="3" fontId="3" fillId="3" borderId="66" xfId="0" applyNumberFormat="1" applyFont="1" applyFill="1" applyBorder="1" applyAlignment="1">
      <alignment horizontal="center" vertical="top"/>
    </xf>
    <xf numFmtId="3" fontId="3" fillId="7" borderId="114" xfId="0" applyNumberFormat="1" applyFont="1" applyFill="1" applyBorder="1" applyAlignment="1">
      <alignment horizontal="center" vertical="top"/>
    </xf>
    <xf numFmtId="3" fontId="3" fillId="7" borderId="128" xfId="0" applyNumberFormat="1" applyFont="1" applyFill="1" applyBorder="1" applyAlignment="1">
      <alignment horizontal="center" vertical="top"/>
    </xf>
    <xf numFmtId="3" fontId="3" fillId="7" borderId="122" xfId="0" applyNumberFormat="1" applyFont="1" applyFill="1" applyBorder="1" applyAlignment="1">
      <alignment horizontal="center" vertical="top"/>
    </xf>
    <xf numFmtId="3" fontId="3" fillId="0" borderId="79" xfId="0" applyNumberFormat="1" applyFont="1" applyFill="1" applyBorder="1" applyAlignment="1">
      <alignment horizontal="center" vertical="top"/>
    </xf>
    <xf numFmtId="3" fontId="3" fillId="0" borderId="66" xfId="0" applyNumberFormat="1" applyFont="1" applyFill="1" applyBorder="1" applyAlignment="1">
      <alignment horizontal="center" vertical="top"/>
    </xf>
    <xf numFmtId="3" fontId="5" fillId="2" borderId="74" xfId="0" applyNumberFormat="1" applyFont="1" applyFill="1" applyBorder="1" applyAlignment="1">
      <alignment horizontal="center" vertical="top"/>
    </xf>
    <xf numFmtId="3" fontId="5" fillId="10" borderId="2" xfId="0" applyNumberFormat="1" applyFont="1" applyFill="1" applyBorder="1" applyAlignment="1">
      <alignment horizontal="center" vertical="top"/>
    </xf>
    <xf numFmtId="3" fontId="3" fillId="0" borderId="26" xfId="0" applyNumberFormat="1" applyFont="1" applyBorder="1" applyAlignment="1">
      <alignment horizontal="center" vertical="top"/>
    </xf>
    <xf numFmtId="3" fontId="3" fillId="0" borderId="29" xfId="0" applyNumberFormat="1" applyFont="1" applyBorder="1" applyAlignment="1">
      <alignment horizontal="center" vertical="top"/>
    </xf>
    <xf numFmtId="3" fontId="3" fillId="0" borderId="13" xfId="0" applyNumberFormat="1" applyFont="1" applyBorder="1" applyAlignment="1">
      <alignment horizontal="center" vertical="top"/>
    </xf>
    <xf numFmtId="3" fontId="5" fillId="10" borderId="31" xfId="0" applyNumberFormat="1" applyFont="1" applyFill="1" applyBorder="1" applyAlignment="1">
      <alignment horizontal="center" vertical="top"/>
    </xf>
    <xf numFmtId="3" fontId="5" fillId="10" borderId="20" xfId="0" applyNumberFormat="1" applyFont="1" applyFill="1" applyBorder="1" applyAlignment="1">
      <alignment horizontal="center" vertical="top"/>
    </xf>
    <xf numFmtId="3" fontId="3" fillId="3" borderId="1" xfId="0" applyNumberFormat="1" applyFont="1" applyFill="1" applyBorder="1" applyAlignment="1">
      <alignment horizontal="center" vertical="top"/>
    </xf>
    <xf numFmtId="3" fontId="3" fillId="7" borderId="88" xfId="0" applyNumberFormat="1" applyFont="1" applyFill="1" applyBorder="1" applyAlignment="1">
      <alignment horizontal="center" vertical="top"/>
    </xf>
    <xf numFmtId="3" fontId="3" fillId="7" borderId="103" xfId="0" applyNumberFormat="1" applyFont="1" applyFill="1" applyBorder="1" applyAlignment="1">
      <alignment horizontal="center" vertical="top"/>
    </xf>
    <xf numFmtId="3" fontId="5" fillId="2" borderId="4" xfId="0" applyNumberFormat="1" applyFont="1" applyFill="1" applyBorder="1" applyAlignment="1">
      <alignment horizontal="center" vertical="top"/>
    </xf>
    <xf numFmtId="3" fontId="5" fillId="10" borderId="47" xfId="0" applyNumberFormat="1" applyFont="1" applyFill="1" applyBorder="1" applyAlignment="1">
      <alignment horizontal="center" vertical="top"/>
    </xf>
    <xf numFmtId="3" fontId="3" fillId="7" borderId="113" xfId="0" applyNumberFormat="1" applyFont="1" applyFill="1" applyBorder="1" applyAlignment="1">
      <alignment horizontal="center" vertical="top"/>
    </xf>
    <xf numFmtId="3" fontId="3" fillId="7" borderId="79" xfId="0" applyNumberFormat="1" applyFont="1" applyFill="1" applyBorder="1" applyAlignment="1">
      <alignment horizontal="center" vertical="top"/>
    </xf>
    <xf numFmtId="3" fontId="3" fillId="7" borderId="53" xfId="1" applyNumberFormat="1" applyFont="1" applyFill="1" applyBorder="1" applyAlignment="1">
      <alignment horizontal="center" vertical="top"/>
    </xf>
    <xf numFmtId="3" fontId="3" fillId="7" borderId="26" xfId="1" applyNumberFormat="1" applyFont="1" applyFill="1" applyBorder="1" applyAlignment="1">
      <alignment horizontal="center" vertical="top"/>
    </xf>
    <xf numFmtId="164" fontId="3" fillId="0" borderId="72" xfId="0" applyNumberFormat="1" applyFont="1" applyBorder="1" applyAlignment="1">
      <alignment vertical="top"/>
    </xf>
    <xf numFmtId="3" fontId="3" fillId="0" borderId="35" xfId="0" applyNumberFormat="1" applyFont="1" applyBorder="1" applyAlignment="1">
      <alignment horizontal="center" vertical="top"/>
    </xf>
    <xf numFmtId="3" fontId="3" fillId="0" borderId="101" xfId="0" applyNumberFormat="1" applyFont="1" applyBorder="1" applyAlignment="1">
      <alignment horizontal="center" vertical="top"/>
    </xf>
    <xf numFmtId="3" fontId="3" fillId="7" borderId="71" xfId="0" applyNumberFormat="1" applyFont="1" applyFill="1" applyBorder="1" applyAlignment="1">
      <alignment horizontal="center" vertical="top"/>
    </xf>
    <xf numFmtId="3" fontId="3" fillId="0" borderId="98" xfId="0" applyNumberFormat="1" applyFont="1" applyBorder="1" applyAlignment="1">
      <alignment horizontal="center" vertical="top"/>
    </xf>
    <xf numFmtId="3" fontId="3" fillId="0" borderId="68" xfId="0" applyNumberFormat="1" applyFont="1" applyBorder="1" applyAlignment="1">
      <alignment horizontal="center" vertical="top"/>
    </xf>
    <xf numFmtId="3" fontId="3" fillId="0" borderId="120" xfId="0" applyNumberFormat="1" applyFont="1" applyBorder="1" applyAlignment="1">
      <alignment horizontal="center" vertical="top"/>
    </xf>
    <xf numFmtId="3" fontId="3" fillId="3" borderId="98" xfId="0" applyNumberFormat="1" applyFont="1" applyFill="1" applyBorder="1" applyAlignment="1">
      <alignment horizontal="center" vertical="top"/>
    </xf>
    <xf numFmtId="3" fontId="5" fillId="2" borderId="57" xfId="0" applyNumberFormat="1" applyFont="1" applyFill="1" applyBorder="1" applyAlignment="1">
      <alignment horizontal="center" vertical="top"/>
    </xf>
    <xf numFmtId="164" fontId="3" fillId="0" borderId="73" xfId="0" applyNumberFormat="1" applyFont="1" applyBorder="1" applyAlignment="1">
      <alignment vertical="top"/>
    </xf>
    <xf numFmtId="3" fontId="3" fillId="0" borderId="45" xfId="0" applyNumberFormat="1" applyFont="1" applyBorder="1" applyAlignment="1">
      <alignment horizontal="center" vertical="top"/>
    </xf>
    <xf numFmtId="3" fontId="3" fillId="0" borderId="105" xfId="0" applyNumberFormat="1" applyFont="1" applyBorder="1" applyAlignment="1">
      <alignment horizontal="center" vertical="top"/>
    </xf>
    <xf numFmtId="3" fontId="3" fillId="7" borderId="44" xfId="0" applyNumberFormat="1" applyFont="1" applyFill="1" applyBorder="1" applyAlignment="1">
      <alignment horizontal="center" vertical="top"/>
    </xf>
    <xf numFmtId="3" fontId="3" fillId="0" borderId="106" xfId="0" applyNumberFormat="1" applyFont="1" applyBorder="1" applyAlignment="1">
      <alignment horizontal="center" vertical="top"/>
    </xf>
    <xf numFmtId="3" fontId="3" fillId="0" borderId="121" xfId="0" applyNumberFormat="1" applyFont="1" applyBorder="1" applyAlignment="1">
      <alignment horizontal="center" vertical="top"/>
    </xf>
    <xf numFmtId="3" fontId="3" fillId="3" borderId="106" xfId="0" applyNumberFormat="1" applyFont="1" applyFill="1" applyBorder="1" applyAlignment="1">
      <alignment horizontal="center" vertical="top"/>
    </xf>
    <xf numFmtId="3" fontId="5" fillId="10" borderId="65" xfId="0" applyNumberFormat="1" applyFont="1" applyFill="1" applyBorder="1" applyAlignment="1">
      <alignment horizontal="center" vertical="top"/>
    </xf>
    <xf numFmtId="164" fontId="3" fillId="0" borderId="13" xfId="0" applyNumberFormat="1" applyFont="1" applyBorder="1" applyAlignment="1">
      <alignment vertical="top"/>
    </xf>
    <xf numFmtId="3" fontId="3" fillId="0" borderId="11" xfId="0" applyNumberFormat="1" applyFont="1" applyBorder="1" applyAlignment="1">
      <alignment horizontal="center" vertical="top"/>
    </xf>
    <xf numFmtId="3" fontId="3" fillId="0" borderId="103" xfId="0" applyNumberFormat="1" applyFont="1" applyBorder="1" applyAlignment="1">
      <alignment horizontal="center" vertical="top"/>
    </xf>
    <xf numFmtId="3" fontId="3" fillId="0" borderId="83" xfId="0" applyNumberFormat="1" applyFont="1" applyBorder="1" applyAlignment="1">
      <alignment horizontal="center" vertical="top"/>
    </xf>
    <xf numFmtId="3" fontId="3" fillId="0" borderId="88" xfId="0" applyNumberFormat="1" applyFont="1" applyBorder="1" applyAlignment="1">
      <alignment horizontal="center" vertical="top"/>
    </xf>
    <xf numFmtId="164" fontId="3" fillId="0" borderId="64" xfId="0" applyNumberFormat="1" applyFont="1" applyBorder="1" applyAlignment="1">
      <alignment horizontal="right" vertical="top"/>
    </xf>
    <xf numFmtId="164" fontId="3" fillId="0" borderId="72" xfId="0" applyNumberFormat="1" applyFont="1" applyBorder="1" applyAlignment="1">
      <alignment horizontal="right" vertical="top"/>
    </xf>
    <xf numFmtId="3" fontId="3" fillId="0" borderId="128" xfId="0" applyNumberFormat="1" applyFont="1" applyBorder="1" applyAlignment="1">
      <alignment horizontal="center" vertical="top"/>
    </xf>
    <xf numFmtId="3" fontId="3" fillId="7" borderId="131" xfId="0" applyNumberFormat="1" applyFont="1" applyFill="1" applyBorder="1" applyAlignment="1">
      <alignment horizontal="center" vertical="top"/>
    </xf>
    <xf numFmtId="3" fontId="3" fillId="7" borderId="124" xfId="0" applyNumberFormat="1" applyFont="1" applyFill="1" applyBorder="1" applyAlignment="1">
      <alignment horizontal="center" vertical="top"/>
    </xf>
    <xf numFmtId="3" fontId="3" fillId="0" borderId="63" xfId="0" applyNumberFormat="1" applyFont="1" applyBorder="1" applyAlignment="1">
      <alignment horizontal="center" vertical="top"/>
    </xf>
    <xf numFmtId="3" fontId="3" fillId="3" borderId="0" xfId="0" applyNumberFormat="1" applyFont="1" applyFill="1" applyBorder="1" applyAlignment="1">
      <alignment horizontal="center" vertical="top"/>
    </xf>
    <xf numFmtId="3" fontId="3" fillId="0" borderId="113" xfId="0" applyNumberFormat="1" applyFont="1" applyBorder="1" applyAlignment="1">
      <alignment horizontal="center" vertical="top"/>
    </xf>
    <xf numFmtId="3" fontId="3" fillId="0" borderId="125" xfId="0" applyNumberFormat="1" applyFont="1" applyBorder="1" applyAlignment="1">
      <alignment horizontal="center" vertical="top"/>
    </xf>
    <xf numFmtId="3" fontId="5" fillId="9" borderId="57" xfId="0" applyNumberFormat="1" applyFont="1" applyFill="1" applyBorder="1" applyAlignment="1">
      <alignment horizontal="center" vertical="top"/>
    </xf>
    <xf numFmtId="3" fontId="5" fillId="5" borderId="57" xfId="0" applyNumberFormat="1" applyFont="1" applyFill="1" applyBorder="1" applyAlignment="1">
      <alignment horizontal="center" vertical="top"/>
    </xf>
    <xf numFmtId="3" fontId="3" fillId="0" borderId="20" xfId="0" applyNumberFormat="1" applyFont="1" applyBorder="1" applyAlignment="1">
      <alignment horizontal="center" vertical="top"/>
    </xf>
    <xf numFmtId="3" fontId="3" fillId="0" borderId="96" xfId="0" applyNumberFormat="1" applyFont="1" applyBorder="1" applyAlignment="1">
      <alignment horizontal="center" vertical="top"/>
    </xf>
    <xf numFmtId="3" fontId="3" fillId="0" borderId="92" xfId="0" applyNumberFormat="1" applyFont="1" applyBorder="1" applyAlignment="1">
      <alignment horizontal="center" vertical="top"/>
    </xf>
    <xf numFmtId="3" fontId="5" fillId="9" borderId="4" xfId="0" applyNumberFormat="1" applyFont="1" applyFill="1" applyBorder="1" applyAlignment="1">
      <alignment horizontal="center" vertical="top"/>
    </xf>
    <xf numFmtId="3" fontId="5" fillId="5" borderId="4" xfId="0" applyNumberFormat="1" applyFont="1" applyFill="1" applyBorder="1" applyAlignment="1">
      <alignment horizontal="center" vertical="top"/>
    </xf>
    <xf numFmtId="3" fontId="5" fillId="10" borderId="62" xfId="0" applyNumberFormat="1" applyFont="1" applyFill="1" applyBorder="1" applyAlignment="1">
      <alignment horizontal="center" vertical="top"/>
    </xf>
    <xf numFmtId="3" fontId="5" fillId="9" borderId="22" xfId="0" applyNumberFormat="1" applyFont="1" applyFill="1" applyBorder="1" applyAlignment="1">
      <alignment horizontal="center" vertical="top"/>
    </xf>
    <xf numFmtId="3" fontId="5" fillId="5" borderId="22" xfId="0" applyNumberFormat="1" applyFont="1" applyFill="1" applyBorder="1" applyAlignment="1">
      <alignment horizontal="center" vertical="top"/>
    </xf>
    <xf numFmtId="164" fontId="3" fillId="0" borderId="73" xfId="0" applyNumberFormat="1" applyFont="1" applyBorder="1" applyAlignment="1">
      <alignment horizontal="right" vertical="top"/>
    </xf>
    <xf numFmtId="3" fontId="3" fillId="0" borderId="44" xfId="0" applyNumberFormat="1" applyFont="1" applyBorder="1" applyAlignment="1">
      <alignment horizontal="center" vertical="top"/>
    </xf>
    <xf numFmtId="3" fontId="3" fillId="0" borderId="40" xfId="0" applyNumberFormat="1" applyFont="1" applyBorder="1" applyAlignment="1">
      <alignment horizontal="center" vertical="top"/>
    </xf>
    <xf numFmtId="3" fontId="5" fillId="10" borderId="34" xfId="0" applyNumberFormat="1" applyFont="1" applyFill="1" applyBorder="1" applyAlignment="1">
      <alignment horizontal="center" vertical="top"/>
    </xf>
    <xf numFmtId="3" fontId="3" fillId="0" borderId="71" xfId="0" applyNumberFormat="1" applyFont="1" applyBorder="1" applyAlignment="1">
      <alignment horizontal="center" vertical="top"/>
    </xf>
    <xf numFmtId="3" fontId="3" fillId="0" borderId="51" xfId="0" applyNumberFormat="1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 vertical="top"/>
    </xf>
    <xf numFmtId="3" fontId="3" fillId="0" borderId="66" xfId="0" applyNumberFormat="1" applyFont="1" applyBorder="1" applyAlignment="1">
      <alignment horizontal="center" vertical="top"/>
    </xf>
    <xf numFmtId="3" fontId="5" fillId="10" borderId="0" xfId="0" applyNumberFormat="1" applyFont="1" applyFill="1" applyBorder="1" applyAlignment="1">
      <alignment horizontal="center" vertical="top"/>
    </xf>
    <xf numFmtId="3" fontId="5" fillId="3" borderId="72" xfId="0" applyNumberFormat="1" applyFont="1" applyFill="1" applyBorder="1" applyAlignment="1">
      <alignment horizontal="center" vertical="top"/>
    </xf>
    <xf numFmtId="3" fontId="3" fillId="7" borderId="51" xfId="0" applyNumberFormat="1" applyFont="1" applyFill="1" applyBorder="1" applyAlignment="1">
      <alignment horizontal="center" vertical="top"/>
    </xf>
    <xf numFmtId="3" fontId="3" fillId="7" borderId="68" xfId="0" applyNumberFormat="1" applyFont="1" applyFill="1" applyBorder="1" applyAlignment="1">
      <alignment horizontal="center" vertical="top"/>
    </xf>
    <xf numFmtId="3" fontId="5" fillId="3" borderId="53" xfId="0" applyNumberFormat="1" applyFont="1" applyFill="1" applyBorder="1" applyAlignment="1">
      <alignment horizontal="center" vertical="top"/>
    </xf>
    <xf numFmtId="3" fontId="5" fillId="10" borderId="11" xfId="0" applyNumberFormat="1" applyFont="1" applyFill="1" applyBorder="1" applyAlignment="1">
      <alignment horizontal="center" vertical="top"/>
    </xf>
    <xf numFmtId="3" fontId="5" fillId="3" borderId="13" xfId="0" applyNumberFormat="1" applyFont="1" applyFill="1" applyBorder="1" applyAlignment="1">
      <alignment horizontal="center" vertical="top"/>
    </xf>
    <xf numFmtId="3" fontId="5" fillId="3" borderId="73" xfId="0" applyNumberFormat="1" applyFont="1" applyFill="1" applyBorder="1" applyAlignment="1">
      <alignment horizontal="center" vertical="top"/>
    </xf>
    <xf numFmtId="3" fontId="3" fillId="7" borderId="55" xfId="0" applyNumberFormat="1" applyFont="1" applyFill="1" applyBorder="1" applyAlignment="1">
      <alignment horizontal="center" vertical="top"/>
    </xf>
    <xf numFmtId="3" fontId="3" fillId="0" borderId="114" xfId="0" applyNumberFormat="1" applyFont="1" applyBorder="1" applyAlignment="1">
      <alignment horizontal="center" vertical="top"/>
    </xf>
    <xf numFmtId="3" fontId="3" fillId="0" borderId="119" xfId="0" applyNumberFormat="1" applyFont="1" applyBorder="1" applyAlignment="1">
      <alignment horizontal="center" vertical="top"/>
    </xf>
    <xf numFmtId="3" fontId="3" fillId="7" borderId="95" xfId="0" applyNumberFormat="1" applyFont="1" applyFill="1" applyBorder="1" applyAlignment="1">
      <alignment horizontal="center" vertical="top"/>
    </xf>
    <xf numFmtId="3" fontId="20" fillId="7" borderId="96" xfId="0" applyNumberFormat="1" applyFont="1" applyFill="1" applyBorder="1" applyAlignment="1">
      <alignment horizontal="center" vertical="top"/>
    </xf>
    <xf numFmtId="3" fontId="33" fillId="10" borderId="60" xfId="0" applyNumberFormat="1" applyFont="1" applyFill="1" applyBorder="1" applyAlignment="1">
      <alignment horizontal="center" vertical="top"/>
    </xf>
    <xf numFmtId="3" fontId="20" fillId="3" borderId="111" xfId="0" applyNumberFormat="1" applyFont="1" applyFill="1" applyBorder="1" applyAlignment="1">
      <alignment horizontal="right" vertical="top" wrapText="1"/>
    </xf>
    <xf numFmtId="0" fontId="3" fillId="7" borderId="35" xfId="0" applyFont="1" applyFill="1" applyBorder="1" applyAlignment="1">
      <alignment horizontal="center" vertical="top" wrapText="1"/>
    </xf>
    <xf numFmtId="3" fontId="5" fillId="2" borderId="75" xfId="0" applyNumberFormat="1" applyFont="1" applyFill="1" applyBorder="1" applyAlignment="1">
      <alignment horizontal="right" vertical="top"/>
    </xf>
    <xf numFmtId="3" fontId="5" fillId="8" borderId="34" xfId="0" applyNumberFormat="1" applyFont="1" applyFill="1" applyBorder="1" applyAlignment="1">
      <alignment horizontal="right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7" borderId="11" xfId="0" applyNumberFormat="1" applyFont="1" applyFill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 wrapText="1"/>
    </xf>
    <xf numFmtId="3" fontId="20" fillId="7" borderId="40" xfId="0" applyNumberFormat="1" applyFont="1" applyFill="1" applyBorder="1" applyAlignment="1">
      <alignment horizontal="center" vertical="top"/>
    </xf>
    <xf numFmtId="3" fontId="20" fillId="0" borderId="19" xfId="0" applyNumberFormat="1" applyFont="1" applyFill="1" applyBorder="1" applyAlignment="1">
      <alignment horizontal="center" vertical="top"/>
    </xf>
    <xf numFmtId="49" fontId="20" fillId="0" borderId="11" xfId="0" applyNumberFormat="1" applyFont="1" applyFill="1" applyBorder="1" applyAlignment="1">
      <alignment horizontal="center" vertical="top"/>
    </xf>
    <xf numFmtId="49" fontId="20" fillId="0" borderId="18" xfId="0" applyNumberFormat="1" applyFont="1" applyFill="1" applyBorder="1" applyAlignment="1">
      <alignment horizontal="center" vertical="top"/>
    </xf>
    <xf numFmtId="0" fontId="20" fillId="0" borderId="0" xfId="0" applyFont="1" applyBorder="1" applyAlignment="1">
      <alignment vertical="top"/>
    </xf>
    <xf numFmtId="3" fontId="20" fillId="0" borderId="40" xfId="0" applyNumberFormat="1" applyFont="1" applyBorder="1" applyAlignment="1">
      <alignment horizontal="center" vertical="top"/>
    </xf>
    <xf numFmtId="3" fontId="20" fillId="0" borderId="49" xfId="0" applyNumberFormat="1" applyFont="1" applyBorder="1" applyAlignment="1">
      <alignment horizontal="center" vertical="top"/>
    </xf>
    <xf numFmtId="3" fontId="20" fillId="13" borderId="63" xfId="0" applyNumberFormat="1" applyFont="1" applyFill="1" applyBorder="1" applyAlignment="1">
      <alignment horizontal="center" vertical="top"/>
    </xf>
    <xf numFmtId="3" fontId="20" fillId="7" borderId="130" xfId="0" applyNumberFormat="1" applyFont="1" applyFill="1" applyBorder="1" applyAlignment="1">
      <alignment horizontal="center" vertical="top"/>
    </xf>
    <xf numFmtId="3" fontId="20" fillId="7" borderId="44" xfId="0" applyNumberFormat="1" applyFont="1" applyFill="1" applyBorder="1" applyAlignment="1">
      <alignment horizontal="right" vertical="top"/>
    </xf>
    <xf numFmtId="3" fontId="20" fillId="7" borderId="44" xfId="0" applyNumberFormat="1" applyFont="1" applyFill="1" applyBorder="1" applyAlignment="1">
      <alignment horizontal="center" vertical="top"/>
    </xf>
    <xf numFmtId="3" fontId="20" fillId="0" borderId="55" xfId="0" applyNumberFormat="1" applyFont="1" applyBorder="1" applyAlignment="1">
      <alignment horizontal="center" vertical="top"/>
    </xf>
    <xf numFmtId="3" fontId="3" fillId="7" borderId="89" xfId="0" applyNumberFormat="1" applyFont="1" applyFill="1" applyBorder="1" applyAlignment="1">
      <alignment horizontal="center" vertical="top"/>
    </xf>
    <xf numFmtId="3" fontId="20" fillId="3" borderId="121" xfId="0" applyNumberFormat="1" applyFont="1" applyFill="1" applyBorder="1" applyAlignment="1">
      <alignment horizontal="right" vertical="top" wrapText="1"/>
    </xf>
    <xf numFmtId="3" fontId="3" fillId="0" borderId="0" xfId="0" applyNumberFormat="1" applyFont="1" applyAlignment="1">
      <alignment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9" borderId="5" xfId="0" applyNumberFormat="1" applyFont="1" applyFill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0" fontId="0" fillId="7" borderId="87" xfId="0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top"/>
    </xf>
    <xf numFmtId="49" fontId="5" fillId="7" borderId="11" xfId="0" applyNumberFormat="1" applyFont="1" applyFill="1" applyBorder="1" applyAlignment="1">
      <alignment horizontal="center" vertical="top"/>
    </xf>
    <xf numFmtId="0" fontId="3" fillId="0" borderId="38" xfId="0" applyFont="1" applyFill="1" applyBorder="1" applyAlignment="1">
      <alignment horizontal="left" vertical="top" wrapText="1"/>
    </xf>
    <xf numFmtId="49" fontId="5" fillId="0" borderId="27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0" fontId="3" fillId="0" borderId="30" xfId="0" applyFont="1" applyFill="1" applyBorder="1" applyAlignment="1">
      <alignment horizontal="left" vertical="top" wrapText="1"/>
    </xf>
    <xf numFmtId="49" fontId="5" fillId="9" borderId="5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0" fontId="3" fillId="0" borderId="35" xfId="0" applyFont="1" applyFill="1" applyBorder="1" applyAlignment="1">
      <alignment horizontal="center" vertical="center" textRotation="90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7" borderId="43" xfId="0" applyNumberFormat="1" applyFont="1" applyFill="1" applyBorder="1" applyAlignment="1">
      <alignment horizontal="center" vertical="top"/>
    </xf>
    <xf numFmtId="49" fontId="5" fillId="7" borderId="50" xfId="0" applyNumberFormat="1" applyFont="1" applyFill="1" applyBorder="1" applyAlignment="1">
      <alignment horizontal="center" vertical="top"/>
    </xf>
    <xf numFmtId="0" fontId="0" fillId="0" borderId="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top"/>
    </xf>
    <xf numFmtId="0" fontId="3" fillId="0" borderId="45" xfId="0" applyFont="1" applyBorder="1" applyAlignment="1">
      <alignment vertical="top"/>
    </xf>
    <xf numFmtId="0" fontId="3" fillId="0" borderId="41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70" xfId="0" applyFont="1" applyBorder="1" applyAlignment="1">
      <alignment vertical="top" textRotation="90"/>
    </xf>
    <xf numFmtId="0" fontId="3" fillId="0" borderId="34" xfId="0" applyFont="1" applyBorder="1" applyAlignment="1">
      <alignment vertical="top"/>
    </xf>
    <xf numFmtId="49" fontId="5" fillId="9" borderId="30" xfId="0" applyNumberFormat="1" applyFont="1" applyFill="1" applyBorder="1" applyAlignment="1">
      <alignment horizontal="center" vertical="top" wrapText="1"/>
    </xf>
    <xf numFmtId="0" fontId="11" fillId="6" borderId="53" xfId="0" applyFont="1" applyFill="1" applyBorder="1"/>
    <xf numFmtId="0" fontId="11" fillId="6" borderId="52" xfId="0" applyFont="1" applyFill="1" applyBorder="1"/>
    <xf numFmtId="0" fontId="11" fillId="14" borderId="66" xfId="0" applyFont="1" applyFill="1" applyBorder="1"/>
    <xf numFmtId="0" fontId="11" fillId="14" borderId="44" xfId="0" applyFont="1" applyFill="1" applyBorder="1"/>
    <xf numFmtId="0" fontId="3" fillId="9" borderId="79" xfId="0" applyFont="1" applyFill="1" applyBorder="1" applyAlignment="1">
      <alignment vertical="top"/>
    </xf>
    <xf numFmtId="0" fontId="3" fillId="9" borderId="55" xfId="0" applyFont="1" applyFill="1" applyBorder="1" applyAlignment="1">
      <alignment vertical="top"/>
    </xf>
    <xf numFmtId="49" fontId="5" fillId="15" borderId="39" xfId="0" applyNumberFormat="1" applyFont="1" applyFill="1" applyBorder="1" applyAlignment="1">
      <alignment horizontal="center" vertical="top"/>
    </xf>
    <xf numFmtId="0" fontId="3" fillId="15" borderId="66" xfId="0" applyFont="1" applyFill="1" applyBorder="1" applyAlignment="1">
      <alignment vertical="top"/>
    </xf>
    <xf numFmtId="0" fontId="3" fillId="15" borderId="44" xfId="0" applyFont="1" applyFill="1" applyBorder="1" applyAlignment="1">
      <alignment vertical="top"/>
    </xf>
    <xf numFmtId="3" fontId="20" fillId="3" borderId="6" xfId="0" applyNumberFormat="1" applyFont="1" applyFill="1" applyBorder="1" applyAlignment="1">
      <alignment vertical="top" wrapText="1"/>
    </xf>
    <xf numFmtId="3" fontId="20" fillId="7" borderId="6" xfId="0" applyNumberFormat="1" applyFont="1" applyFill="1" applyBorder="1" applyAlignment="1">
      <alignment vertical="top"/>
    </xf>
    <xf numFmtId="3" fontId="3" fillId="7" borderId="10" xfId="0" applyNumberFormat="1" applyFont="1" applyFill="1" applyBorder="1" applyAlignment="1">
      <alignment horizontal="right" vertical="top" wrapText="1"/>
    </xf>
    <xf numFmtId="3" fontId="20" fillId="7" borderId="108" xfId="0" applyNumberFormat="1" applyFont="1" applyFill="1" applyBorder="1" applyAlignment="1">
      <alignment horizontal="right" vertical="top" wrapText="1"/>
    </xf>
    <xf numFmtId="3" fontId="20" fillId="7" borderId="24" xfId="0" applyNumberFormat="1" applyFont="1" applyFill="1" applyBorder="1" applyAlignment="1">
      <alignment horizontal="right" vertical="top" wrapText="1"/>
    </xf>
    <xf numFmtId="0" fontId="3" fillId="0" borderId="45" xfId="0" applyFont="1" applyBorder="1" applyAlignment="1">
      <alignment horizontal="left" vertical="top"/>
    </xf>
    <xf numFmtId="0" fontId="3" fillId="0" borderId="45" xfId="0" applyFont="1" applyBorder="1" applyAlignment="1"/>
    <xf numFmtId="43" fontId="3" fillId="0" borderId="45" xfId="1" applyFont="1" applyBorder="1" applyAlignment="1">
      <alignment vertical="top"/>
    </xf>
    <xf numFmtId="3" fontId="3" fillId="7" borderId="55" xfId="0" applyNumberFormat="1" applyFont="1" applyFill="1" applyBorder="1" applyAlignment="1">
      <alignment horizontal="center" vertical="center"/>
    </xf>
    <xf numFmtId="0" fontId="3" fillId="0" borderId="55" xfId="0" applyFont="1" applyBorder="1" applyAlignment="1">
      <alignment horizontal="left" vertical="top"/>
    </xf>
    <xf numFmtId="49" fontId="20" fillId="0" borderId="40" xfId="0" applyNumberFormat="1" applyFont="1" applyFill="1" applyBorder="1" applyAlignment="1">
      <alignment horizontal="center" vertical="top"/>
    </xf>
    <xf numFmtId="49" fontId="20" fillId="0" borderId="55" xfId="0" applyNumberFormat="1" applyFont="1" applyFill="1" applyBorder="1" applyAlignment="1">
      <alignment horizontal="center" vertical="top"/>
    </xf>
    <xf numFmtId="0" fontId="3" fillId="0" borderId="38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7" xfId="0" applyFont="1" applyFill="1" applyBorder="1" applyAlignment="1">
      <alignment vertical="top"/>
    </xf>
    <xf numFmtId="43" fontId="3" fillId="0" borderId="7" xfId="1" applyFont="1" applyBorder="1" applyAlignment="1">
      <alignment vertical="top"/>
    </xf>
    <xf numFmtId="0" fontId="3" fillId="0" borderId="9" xfId="0" applyFont="1" applyBorder="1" applyAlignment="1">
      <alignment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9" borderId="35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7" borderId="11" xfId="0" applyNumberFormat="1" applyFont="1" applyFill="1" applyBorder="1" applyAlignment="1">
      <alignment horizontal="center" vertical="top"/>
    </xf>
    <xf numFmtId="0" fontId="23" fillId="0" borderId="30" xfId="0" applyFont="1" applyBorder="1" applyAlignment="1">
      <alignment horizontal="center" vertical="top" wrapText="1"/>
    </xf>
    <xf numFmtId="0" fontId="5" fillId="3" borderId="35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3" fillId="3" borderId="18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164" fontId="3" fillId="0" borderId="7" xfId="0" applyNumberFormat="1" applyFont="1" applyFill="1" applyBorder="1" applyAlignment="1">
      <alignment horizontal="left" vertical="center" textRotation="90" wrapText="1"/>
    </xf>
    <xf numFmtId="0" fontId="0" fillId="0" borderId="7" xfId="0" applyBorder="1" applyAlignment="1">
      <alignment vertical="top"/>
    </xf>
    <xf numFmtId="0" fontId="0" fillId="0" borderId="28" xfId="0" applyBorder="1" applyAlignment="1">
      <alignment vertical="top" wrapText="1"/>
    </xf>
    <xf numFmtId="49" fontId="5" fillId="7" borderId="7" xfId="0" applyNumberFormat="1" applyFont="1" applyFill="1" applyBorder="1" applyAlignment="1">
      <alignment vertical="top"/>
    </xf>
    <xf numFmtId="49" fontId="5" fillId="7" borderId="45" xfId="0" applyNumberFormat="1" applyFont="1" applyFill="1" applyBorder="1" applyAlignment="1">
      <alignment vertical="top"/>
    </xf>
    <xf numFmtId="3" fontId="3" fillId="8" borderId="128" xfId="0" applyNumberFormat="1" applyFont="1" applyFill="1" applyBorder="1" applyAlignment="1">
      <alignment vertical="top"/>
    </xf>
    <xf numFmtId="3" fontId="3" fillId="7" borderId="115" xfId="0" applyNumberFormat="1" applyFont="1" applyFill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52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2" fillId="0" borderId="16" xfId="0" applyFont="1" applyFill="1" applyBorder="1" applyAlignment="1">
      <alignment horizontal="center" vertical="center" textRotation="90" wrapText="1"/>
    </xf>
    <xf numFmtId="3" fontId="3" fillId="8" borderId="44" xfId="0" applyNumberFormat="1" applyFont="1" applyFill="1" applyBorder="1" applyAlignment="1">
      <alignment horizontal="right" vertical="top"/>
    </xf>
    <xf numFmtId="0" fontId="10" fillId="3" borderId="28" xfId="0" applyFont="1" applyFill="1" applyBorder="1" applyAlignment="1">
      <alignment horizontal="left" vertical="top" wrapText="1"/>
    </xf>
    <xf numFmtId="0" fontId="21" fillId="3" borderId="30" xfId="0" applyFont="1" applyFill="1" applyBorder="1" applyAlignment="1">
      <alignment horizontal="center" vertical="center" textRotation="90" wrapText="1"/>
    </xf>
    <xf numFmtId="49" fontId="5" fillId="3" borderId="28" xfId="0" applyNumberFormat="1" applyFont="1" applyFill="1" applyBorder="1" applyAlignment="1">
      <alignment horizontal="center" vertical="top"/>
    </xf>
    <xf numFmtId="0" fontId="3" fillId="3" borderId="68" xfId="0" applyFont="1" applyFill="1" applyBorder="1" applyAlignment="1">
      <alignment horizontal="center" vertical="top"/>
    </xf>
    <xf numFmtId="3" fontId="5" fillId="8" borderId="68" xfId="0" applyNumberFormat="1" applyFont="1" applyFill="1" applyBorder="1" applyAlignment="1">
      <alignment horizontal="right" vertical="top"/>
    </xf>
    <xf numFmtId="3" fontId="5" fillId="7" borderId="24" xfId="0" applyNumberFormat="1" applyFont="1" applyFill="1" applyBorder="1" applyAlignment="1">
      <alignment horizontal="right" vertical="top"/>
    </xf>
    <xf numFmtId="0" fontId="5" fillId="8" borderId="68" xfId="0" applyFont="1" applyFill="1" applyBorder="1" applyAlignment="1">
      <alignment horizontal="right" vertical="top"/>
    </xf>
    <xf numFmtId="3" fontId="5" fillId="8" borderId="55" xfId="0" applyNumberFormat="1" applyFont="1" applyFill="1" applyBorder="1" applyAlignment="1">
      <alignment horizontal="right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7" borderId="11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9" borderId="76" xfId="0" applyNumberFormat="1" applyFont="1" applyFill="1" applyBorder="1" applyAlignment="1">
      <alignment horizontal="center" vertical="top"/>
    </xf>
    <xf numFmtId="0" fontId="3" fillId="0" borderId="123" xfId="0" applyFont="1" applyFill="1" applyBorder="1" applyAlignment="1">
      <alignment horizontal="center" vertical="center" textRotation="90" wrapText="1"/>
    </xf>
    <xf numFmtId="49" fontId="5" fillId="0" borderId="129" xfId="0" applyNumberFormat="1" applyFont="1" applyBorder="1" applyAlignment="1">
      <alignment horizontal="center" vertical="top"/>
    </xf>
    <xf numFmtId="0" fontId="5" fillId="0" borderId="82" xfId="0" applyFont="1" applyBorder="1" applyAlignment="1">
      <alignment horizontal="center" vertical="center"/>
    </xf>
    <xf numFmtId="3" fontId="20" fillId="7" borderId="40" xfId="0" applyNumberFormat="1" applyFont="1" applyFill="1" applyBorder="1" applyAlignment="1">
      <alignment horizontal="right" vertical="top"/>
    </xf>
    <xf numFmtId="3" fontId="20" fillId="7" borderId="121" xfId="0" applyNumberFormat="1" applyFont="1" applyFill="1" applyBorder="1" applyAlignment="1">
      <alignment horizontal="right" vertical="top"/>
    </xf>
    <xf numFmtId="3" fontId="20" fillId="7" borderId="108" xfId="0" applyNumberFormat="1" applyFont="1" applyFill="1" applyBorder="1" applyAlignment="1">
      <alignment horizontal="right" vertical="top"/>
    </xf>
    <xf numFmtId="3" fontId="20" fillId="7" borderId="115" xfId="0" applyNumberFormat="1" applyFont="1" applyFill="1" applyBorder="1" applyAlignment="1">
      <alignment horizontal="right" vertical="top"/>
    </xf>
    <xf numFmtId="3" fontId="20" fillId="7" borderId="100" xfId="0" applyNumberFormat="1" applyFont="1" applyFill="1" applyBorder="1" applyAlignment="1">
      <alignment horizontal="right" vertical="top"/>
    </xf>
    <xf numFmtId="0" fontId="23" fillId="0" borderId="82" xfId="0" applyFont="1" applyBorder="1" applyAlignment="1">
      <alignment horizontal="center" vertical="top" wrapText="1"/>
    </xf>
    <xf numFmtId="3" fontId="20" fillId="7" borderId="81" xfId="0" applyNumberFormat="1" applyFont="1" applyFill="1" applyBorder="1" applyAlignment="1">
      <alignment horizontal="right" vertical="top" wrapText="1"/>
    </xf>
    <xf numFmtId="3" fontId="20" fillId="7" borderId="40" xfId="0" applyNumberFormat="1" applyFont="1" applyFill="1" applyBorder="1" applyAlignment="1">
      <alignment horizontal="right" vertical="top" wrapText="1"/>
    </xf>
    <xf numFmtId="3" fontId="20" fillId="7" borderId="127" xfId="0" applyNumberFormat="1" applyFont="1" applyFill="1" applyBorder="1" applyAlignment="1">
      <alignment horizontal="right" vertical="top" wrapText="1"/>
    </xf>
    <xf numFmtId="3" fontId="20" fillId="7" borderId="81" xfId="0" applyNumberFormat="1" applyFont="1" applyFill="1" applyBorder="1" applyAlignment="1">
      <alignment horizontal="right" vertical="top"/>
    </xf>
    <xf numFmtId="0" fontId="3" fillId="0" borderId="30" xfId="0" applyFont="1" applyFill="1" applyBorder="1" applyAlignment="1">
      <alignment vertical="top" wrapText="1"/>
    </xf>
    <xf numFmtId="49" fontId="5" fillId="3" borderId="18" xfId="0" applyNumberFormat="1" applyFont="1" applyFill="1" applyBorder="1" applyAlignment="1">
      <alignment horizontal="center" vertical="top"/>
    </xf>
    <xf numFmtId="0" fontId="5" fillId="3" borderId="98" xfId="0" applyFont="1" applyFill="1" applyBorder="1" applyAlignment="1">
      <alignment horizontal="center" vertical="top" wrapText="1"/>
    </xf>
    <xf numFmtId="49" fontId="5" fillId="3" borderId="85" xfId="0" applyNumberFormat="1" applyFont="1" applyFill="1" applyBorder="1" applyAlignment="1">
      <alignment horizontal="center" vertical="top"/>
    </xf>
    <xf numFmtId="3" fontId="20" fillId="3" borderId="52" xfId="0" applyNumberFormat="1" applyFont="1" applyFill="1" applyBorder="1" applyAlignment="1">
      <alignment horizontal="right" vertical="top" wrapText="1"/>
    </xf>
    <xf numFmtId="3" fontId="20" fillId="3" borderId="44" xfId="0" applyNumberFormat="1" applyFont="1" applyFill="1" applyBorder="1" applyAlignment="1">
      <alignment horizontal="right" vertical="top" wrapText="1"/>
    </xf>
    <xf numFmtId="164" fontId="3" fillId="8" borderId="10" xfId="0" applyNumberFormat="1" applyFont="1" applyFill="1" applyBorder="1" applyAlignment="1">
      <alignment vertical="top"/>
    </xf>
    <xf numFmtId="3" fontId="3" fillId="8" borderId="81" xfId="0" applyNumberFormat="1" applyFont="1" applyFill="1" applyBorder="1" applyAlignment="1">
      <alignment vertical="top"/>
    </xf>
    <xf numFmtId="164" fontId="3" fillId="7" borderId="77" xfId="0" applyNumberFormat="1" applyFont="1" applyFill="1" applyBorder="1" applyAlignment="1">
      <alignment vertical="top"/>
    </xf>
    <xf numFmtId="3" fontId="3" fillId="7" borderId="114" xfId="0" applyNumberFormat="1" applyFont="1" applyFill="1" applyBorder="1" applyAlignment="1">
      <alignment vertical="top"/>
    </xf>
    <xf numFmtId="3" fontId="20" fillId="3" borderId="81" xfId="0" applyNumberFormat="1" applyFont="1" applyFill="1" applyBorder="1" applyAlignment="1">
      <alignment vertical="top" wrapText="1"/>
    </xf>
    <xf numFmtId="3" fontId="3" fillId="8" borderId="24" xfId="0" applyNumberFormat="1" applyFont="1" applyFill="1" applyBorder="1" applyAlignment="1">
      <alignment vertical="top"/>
    </xf>
    <xf numFmtId="3" fontId="3" fillId="7" borderId="79" xfId="0" applyNumberFormat="1" applyFont="1" applyFill="1" applyBorder="1" applyAlignment="1">
      <alignment vertical="top"/>
    </xf>
    <xf numFmtId="3" fontId="3" fillId="8" borderId="114" xfId="0" applyNumberFormat="1" applyFont="1" applyFill="1" applyBorder="1" applyAlignment="1">
      <alignment vertical="top"/>
    </xf>
    <xf numFmtId="3" fontId="3" fillId="7" borderId="81" xfId="0" applyNumberFormat="1" applyFont="1" applyFill="1" applyBorder="1" applyAlignment="1">
      <alignment vertical="top"/>
    </xf>
    <xf numFmtId="3" fontId="3" fillId="8" borderId="113" xfId="0" applyNumberFormat="1" applyFont="1" applyFill="1" applyBorder="1" applyAlignment="1">
      <alignment vertical="top"/>
    </xf>
    <xf numFmtId="3" fontId="3" fillId="7" borderId="108" xfId="0" applyNumberFormat="1" applyFont="1" applyFill="1" applyBorder="1" applyAlignment="1">
      <alignment vertical="top"/>
    </xf>
    <xf numFmtId="3" fontId="3" fillId="3" borderId="108" xfId="0" applyNumberFormat="1" applyFont="1" applyFill="1" applyBorder="1" applyAlignment="1">
      <alignment vertical="top" wrapText="1"/>
    </xf>
    <xf numFmtId="3" fontId="20" fillId="7" borderId="0" xfId="0" applyNumberFormat="1" applyFont="1" applyFill="1" applyBorder="1" applyAlignment="1">
      <alignment vertical="top"/>
    </xf>
    <xf numFmtId="0" fontId="20" fillId="0" borderId="45" xfId="0" applyFont="1" applyFill="1" applyBorder="1" applyAlignment="1">
      <alignment horizontal="center" vertical="top" wrapText="1"/>
    </xf>
    <xf numFmtId="3" fontId="3" fillId="8" borderId="46" xfId="0" applyNumberFormat="1" applyFont="1" applyFill="1" applyBorder="1" applyAlignment="1">
      <alignment horizontal="right" vertical="top"/>
    </xf>
    <xf numFmtId="3" fontId="3" fillId="8" borderId="77" xfId="0" applyNumberFormat="1" applyFont="1" applyFill="1" applyBorder="1" applyAlignment="1">
      <alignment vertical="top"/>
    </xf>
    <xf numFmtId="3" fontId="3" fillId="7" borderId="10" xfId="0" applyNumberFormat="1" applyFont="1" applyFill="1" applyBorder="1" applyAlignment="1">
      <alignment vertical="top"/>
    </xf>
    <xf numFmtId="3" fontId="20" fillId="3" borderId="10" xfId="0" applyNumberFormat="1" applyFont="1" applyFill="1" applyBorder="1" applyAlignment="1">
      <alignment vertical="top" wrapText="1"/>
    </xf>
    <xf numFmtId="0" fontId="5" fillId="0" borderId="7" xfId="0" applyFont="1" applyBorder="1" applyAlignment="1">
      <alignment horizontal="center" vertical="center"/>
    </xf>
    <xf numFmtId="3" fontId="20" fillId="7" borderId="106" xfId="0" applyNumberFormat="1" applyFont="1" applyFill="1" applyBorder="1" applyAlignment="1">
      <alignment horizontal="center" vertical="center"/>
    </xf>
    <xf numFmtId="0" fontId="34" fillId="0" borderId="40" xfId="0" applyFont="1" applyFill="1" applyBorder="1" applyAlignment="1">
      <alignment horizontal="center" vertical="top" wrapText="1"/>
    </xf>
    <xf numFmtId="3" fontId="20" fillId="0" borderId="41" xfId="0" applyNumberFormat="1" applyFont="1" applyFill="1" applyBorder="1" applyAlignment="1">
      <alignment horizontal="right" vertical="top"/>
    </xf>
    <xf numFmtId="3" fontId="20" fillId="0" borderId="108" xfId="0" applyNumberFormat="1" applyFont="1" applyFill="1" applyBorder="1" applyAlignment="1">
      <alignment horizontal="right" vertical="top"/>
    </xf>
    <xf numFmtId="0" fontId="20" fillId="0" borderId="45" xfId="0" applyFont="1" applyBorder="1" applyAlignment="1">
      <alignment horizontal="left" vertical="top"/>
    </xf>
    <xf numFmtId="0" fontId="20" fillId="0" borderId="45" xfId="0" applyFont="1" applyBorder="1" applyAlignment="1">
      <alignment horizontal="center" vertical="top"/>
    </xf>
    <xf numFmtId="0" fontId="34" fillId="0" borderId="44" xfId="0" applyFont="1" applyFill="1" applyBorder="1" applyAlignment="1">
      <alignment horizontal="center" vertical="top" wrapText="1"/>
    </xf>
    <xf numFmtId="49" fontId="34" fillId="0" borderId="55" xfId="0" applyNumberFormat="1" applyFont="1" applyFill="1" applyBorder="1" applyAlignment="1">
      <alignment horizontal="center" vertical="top"/>
    </xf>
    <xf numFmtId="3" fontId="20" fillId="0" borderId="55" xfId="0" applyNumberFormat="1" applyFont="1" applyBorder="1" applyAlignment="1">
      <alignment horizontal="left" vertical="top"/>
    </xf>
    <xf numFmtId="0" fontId="3" fillId="3" borderId="129" xfId="0" applyFont="1" applyFill="1" applyBorder="1" applyAlignment="1">
      <alignment horizontal="left" vertical="top" wrapText="1"/>
    </xf>
    <xf numFmtId="0" fontId="11" fillId="7" borderId="123" xfId="0" applyFont="1" applyFill="1" applyBorder="1" applyAlignment="1">
      <alignment horizontal="center" vertical="center" wrapText="1"/>
    </xf>
    <xf numFmtId="0" fontId="11" fillId="7" borderId="6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top" wrapText="1"/>
    </xf>
    <xf numFmtId="3" fontId="5" fillId="2" borderId="70" xfId="0" applyNumberFormat="1" applyFont="1" applyFill="1" applyBorder="1" applyAlignment="1">
      <alignment horizontal="right" vertical="top"/>
    </xf>
    <xf numFmtId="0" fontId="5" fillId="8" borderId="71" xfId="0" applyFont="1" applyFill="1" applyBorder="1" applyAlignment="1">
      <alignment horizontal="center" vertical="top"/>
    </xf>
    <xf numFmtId="3" fontId="5" fillId="8" borderId="23" xfId="0" applyNumberFormat="1" applyFont="1" applyFill="1" applyBorder="1" applyAlignment="1">
      <alignment horizontal="right" vertical="top"/>
    </xf>
    <xf numFmtId="49" fontId="5" fillId="2" borderId="11" xfId="0" applyNumberFormat="1" applyFont="1" applyFill="1" applyBorder="1" applyAlignment="1">
      <alignment horizontal="center" vertical="top"/>
    </xf>
    <xf numFmtId="0" fontId="3" fillId="3" borderId="21" xfId="0" applyFont="1" applyFill="1" applyBorder="1" applyAlignment="1">
      <alignment horizontal="left" vertical="top" wrapText="1"/>
    </xf>
    <xf numFmtId="49" fontId="5" fillId="2" borderId="31" xfId="0" applyNumberFormat="1" applyFont="1" applyFill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0" fontId="5" fillId="3" borderId="38" xfId="0" applyFont="1" applyFill="1" applyBorder="1" applyAlignment="1">
      <alignment horizontal="center" vertical="top" wrapText="1"/>
    </xf>
    <xf numFmtId="49" fontId="5" fillId="0" borderId="21" xfId="0" applyNumberFormat="1" applyFont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9" borderId="5" xfId="0" applyNumberFormat="1" applyFont="1" applyFill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0" fontId="5" fillId="0" borderId="30" xfId="0" applyFont="1" applyFill="1" applyBorder="1" applyAlignment="1">
      <alignment horizontal="center" vertical="top" wrapText="1"/>
    </xf>
    <xf numFmtId="0" fontId="3" fillId="0" borderId="76" xfId="0" applyFont="1" applyFill="1" applyBorder="1" applyAlignment="1">
      <alignment horizontal="center" vertical="center" textRotation="90" wrapText="1"/>
    </xf>
    <xf numFmtId="0" fontId="3" fillId="3" borderId="21" xfId="0" applyFont="1" applyFill="1" applyBorder="1" applyAlignment="1">
      <alignment vertical="top" wrapText="1"/>
    </xf>
    <xf numFmtId="0" fontId="3" fillId="0" borderId="35" xfId="0" applyFont="1" applyFill="1" applyBorder="1" applyAlignment="1">
      <alignment horizontal="center" vertical="center" textRotation="90" wrapText="1"/>
    </xf>
    <xf numFmtId="49" fontId="5" fillId="9" borderId="30" xfId="0" applyNumberFormat="1" applyFont="1" applyFill="1" applyBorder="1" applyAlignment="1">
      <alignment horizontal="center" vertical="top"/>
    </xf>
    <xf numFmtId="49" fontId="5" fillId="2" borderId="29" xfId="0" applyNumberFormat="1" applyFont="1" applyFill="1" applyBorder="1" applyAlignment="1">
      <alignment horizontal="center" vertical="top"/>
    </xf>
    <xf numFmtId="49" fontId="5" fillId="3" borderId="48" xfId="0" applyNumberFormat="1" applyFont="1" applyFill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0" fontId="3" fillId="3" borderId="27" xfId="0" applyFont="1" applyFill="1" applyBorder="1" applyAlignment="1">
      <alignment vertical="top" wrapText="1"/>
    </xf>
    <xf numFmtId="0" fontId="0" fillId="0" borderId="32" xfId="0" applyBorder="1" applyAlignment="1">
      <alignment vertical="top"/>
    </xf>
    <xf numFmtId="3" fontId="3" fillId="8" borderId="6" xfId="0" applyNumberFormat="1" applyFont="1" applyFill="1" applyBorder="1" applyAlignment="1">
      <alignment vertical="top"/>
    </xf>
    <xf numFmtId="0" fontId="34" fillId="0" borderId="45" xfId="0" applyFont="1" applyFill="1" applyBorder="1" applyAlignment="1">
      <alignment horizontal="center" vertical="top" wrapText="1"/>
    </xf>
    <xf numFmtId="3" fontId="20" fillId="3" borderId="35" xfId="0" applyNumberFormat="1" applyFont="1" applyFill="1" applyBorder="1" applyAlignment="1">
      <alignment vertical="top" wrapText="1"/>
    </xf>
    <xf numFmtId="3" fontId="20" fillId="3" borderId="68" xfId="0" applyNumberFormat="1" applyFont="1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5" fillId="8" borderId="35" xfId="0" applyFont="1" applyFill="1" applyBorder="1" applyAlignment="1">
      <alignment horizontal="center" vertical="top"/>
    </xf>
    <xf numFmtId="0" fontId="34" fillId="0" borderId="111" xfId="0" applyFont="1" applyFill="1" applyBorder="1" applyAlignment="1">
      <alignment horizontal="center" vertical="top" wrapText="1"/>
    </xf>
    <xf numFmtId="165" fontId="20" fillId="0" borderId="111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0" borderId="61" xfId="0" applyFont="1" applyFill="1" applyBorder="1" applyAlignment="1">
      <alignment horizontal="center" vertical="top"/>
    </xf>
    <xf numFmtId="3" fontId="3" fillId="8" borderId="33" xfId="0" applyNumberFormat="1" applyFont="1" applyFill="1" applyBorder="1" applyAlignment="1">
      <alignment vertical="top"/>
    </xf>
    <xf numFmtId="3" fontId="3" fillId="3" borderId="70" xfId="0" applyNumberFormat="1" applyFont="1" applyFill="1" applyBorder="1" applyAlignment="1">
      <alignment vertical="top" wrapText="1"/>
    </xf>
    <xf numFmtId="0" fontId="3" fillId="0" borderId="60" xfId="0" applyFont="1" applyFill="1" applyBorder="1" applyAlignment="1">
      <alignment horizontal="left" vertical="top" wrapText="1"/>
    </xf>
    <xf numFmtId="3" fontId="3" fillId="0" borderId="2" xfId="0" applyNumberFormat="1" applyFont="1" applyFill="1" applyBorder="1" applyAlignment="1">
      <alignment horizontal="center" vertical="top"/>
    </xf>
    <xf numFmtId="3" fontId="3" fillId="0" borderId="3" xfId="0" applyNumberFormat="1" applyFont="1" applyFill="1" applyBorder="1" applyAlignment="1">
      <alignment horizontal="center" vertical="top"/>
    </xf>
    <xf numFmtId="3" fontId="5" fillId="8" borderId="76" xfId="0" applyNumberFormat="1" applyFont="1" applyFill="1" applyBorder="1" applyAlignment="1">
      <alignment vertical="top"/>
    </xf>
    <xf numFmtId="0" fontId="20" fillId="0" borderId="95" xfId="0" applyFont="1" applyFill="1" applyBorder="1" applyAlignment="1">
      <alignment horizontal="left" vertical="top" wrapText="1"/>
    </xf>
    <xf numFmtId="0" fontId="20" fillId="0" borderId="95" xfId="0" applyFont="1" applyBorder="1" applyAlignment="1">
      <alignment vertical="top" wrapText="1"/>
    </xf>
    <xf numFmtId="0" fontId="3" fillId="0" borderId="76" xfId="0" applyFont="1" applyFill="1" applyBorder="1" applyAlignment="1">
      <alignment horizontal="center" vertical="top"/>
    </xf>
    <xf numFmtId="3" fontId="3" fillId="8" borderId="70" xfId="0" applyNumberFormat="1" applyFont="1" applyFill="1" applyBorder="1" applyAlignment="1">
      <alignment vertical="top"/>
    </xf>
    <xf numFmtId="3" fontId="3" fillId="7" borderId="33" xfId="0" applyNumberFormat="1" applyFont="1" applyFill="1" applyBorder="1" applyAlignment="1">
      <alignment vertical="top"/>
    </xf>
    <xf numFmtId="3" fontId="20" fillId="3" borderId="61" xfId="0" applyNumberFormat="1" applyFont="1" applyFill="1" applyBorder="1" applyAlignment="1">
      <alignment vertical="top" wrapText="1"/>
    </xf>
    <xf numFmtId="0" fontId="0" fillId="0" borderId="38" xfId="0" applyBorder="1" applyAlignment="1">
      <alignment horizontal="center" vertical="center" wrapText="1"/>
    </xf>
    <xf numFmtId="0" fontId="0" fillId="0" borderId="21" xfId="0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3" fillId="0" borderId="40" xfId="0" applyFont="1" applyBorder="1" applyAlignment="1">
      <alignment vertical="top"/>
    </xf>
    <xf numFmtId="0" fontId="3" fillId="0" borderId="126" xfId="0" applyFont="1" applyFill="1" applyBorder="1" applyAlignment="1">
      <alignment horizontal="center" vertical="top"/>
    </xf>
    <xf numFmtId="3" fontId="3" fillId="8" borderId="90" xfId="0" applyNumberFormat="1" applyFont="1" applyFill="1" applyBorder="1" applyAlignment="1">
      <alignment vertical="top"/>
    </xf>
    <xf numFmtId="3" fontId="3" fillId="7" borderId="125" xfId="0" applyNumberFormat="1" applyFont="1" applyFill="1" applyBorder="1" applyAlignment="1">
      <alignment vertical="top"/>
    </xf>
    <xf numFmtId="3" fontId="20" fillId="3" borderId="90" xfId="0" applyNumberFormat="1" applyFont="1" applyFill="1" applyBorder="1" applyAlignment="1">
      <alignment vertical="top" wrapText="1"/>
    </xf>
    <xf numFmtId="0" fontId="20" fillId="0" borderId="97" xfId="0" applyFont="1" applyFill="1" applyBorder="1" applyAlignment="1">
      <alignment horizontal="left" vertical="top" wrapText="1"/>
    </xf>
    <xf numFmtId="0" fontId="20" fillId="0" borderId="97" xfId="0" applyFont="1" applyBorder="1" applyAlignment="1">
      <alignment vertical="top" wrapText="1"/>
    </xf>
    <xf numFmtId="0" fontId="3" fillId="0" borderId="97" xfId="0" applyFont="1" applyFill="1" applyBorder="1" applyAlignment="1">
      <alignment horizontal="left" vertical="top" wrapText="1"/>
    </xf>
    <xf numFmtId="165" fontId="3" fillId="7" borderId="11" xfId="0" applyNumberFormat="1" applyFont="1" applyFill="1" applyBorder="1" applyAlignment="1">
      <alignment horizontal="center" vertical="top"/>
    </xf>
    <xf numFmtId="165" fontId="3" fillId="7" borderId="18" xfId="0" applyNumberFormat="1" applyFont="1" applyFill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0" fontId="0" fillId="0" borderId="18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49" fontId="5" fillId="9" borderId="30" xfId="0" applyNumberFormat="1" applyFont="1" applyFill="1" applyBorder="1" applyAlignment="1">
      <alignment horizontal="center" vertical="top"/>
    </xf>
    <xf numFmtId="49" fontId="5" fillId="2" borderId="29" xfId="0" applyNumberFormat="1" applyFont="1" applyFill="1" applyBorder="1" applyAlignment="1">
      <alignment horizontal="center" vertical="top"/>
    </xf>
    <xf numFmtId="0" fontId="3" fillId="7" borderId="123" xfId="0" applyFont="1" applyFill="1" applyBorder="1" applyAlignment="1">
      <alignment horizontal="left" vertical="top" wrapText="1"/>
    </xf>
    <xf numFmtId="3" fontId="3" fillId="7" borderId="129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7" borderId="11" xfId="0" applyNumberFormat="1" applyFont="1" applyFill="1" applyBorder="1" applyAlignment="1">
      <alignment horizontal="center" vertical="top"/>
    </xf>
    <xf numFmtId="0" fontId="3" fillId="3" borderId="18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left" vertical="top" wrapText="1"/>
    </xf>
    <xf numFmtId="0" fontId="11" fillId="0" borderId="32" xfId="0" applyFont="1" applyBorder="1" applyAlignment="1">
      <alignment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7" borderId="31" xfId="0" applyNumberFormat="1" applyFont="1" applyFill="1" applyBorder="1" applyAlignment="1">
      <alignment horizontal="center" vertical="top"/>
    </xf>
    <xf numFmtId="49" fontId="5" fillId="7" borderId="26" xfId="0" applyNumberFormat="1" applyFont="1" applyFill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0" fontId="5" fillId="0" borderId="46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18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3" borderId="28" xfId="0" applyFont="1" applyFill="1" applyBorder="1" applyAlignment="1">
      <alignment horizontal="left" vertical="top" wrapText="1"/>
    </xf>
    <xf numFmtId="0" fontId="5" fillId="3" borderId="38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3" fillId="2" borderId="57" xfId="0" applyFont="1" applyFill="1" applyBorder="1" applyAlignment="1">
      <alignment horizontal="center" vertical="top" wrapText="1"/>
    </xf>
    <xf numFmtId="49" fontId="5" fillId="0" borderId="21" xfId="0" applyNumberFormat="1" applyFont="1" applyBorder="1" applyAlignment="1">
      <alignment horizontal="center" vertical="top"/>
    </xf>
    <xf numFmtId="164" fontId="3" fillId="0" borderId="7" xfId="0" applyNumberFormat="1" applyFont="1" applyFill="1" applyBorder="1" applyAlignment="1">
      <alignment horizontal="left" vertical="center" textRotation="90" wrapText="1"/>
    </xf>
    <xf numFmtId="0" fontId="3" fillId="0" borderId="30" xfId="0" applyFont="1" applyFill="1" applyBorder="1" applyAlignment="1">
      <alignment horizontal="left" vertical="top" wrapText="1"/>
    </xf>
    <xf numFmtId="49" fontId="5" fillId="0" borderId="28" xfId="0" applyNumberFormat="1" applyFont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9" borderId="5" xfId="0" applyNumberFormat="1" applyFont="1" applyFill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0" fontId="3" fillId="3" borderId="18" xfId="0" applyFont="1" applyFill="1" applyBorder="1" applyAlignment="1">
      <alignment vertical="top" wrapText="1"/>
    </xf>
    <xf numFmtId="0" fontId="3" fillId="3" borderId="32" xfId="0" applyFont="1" applyFill="1" applyBorder="1" applyAlignment="1">
      <alignment vertical="top" wrapText="1"/>
    </xf>
    <xf numFmtId="0" fontId="11" fillId="3" borderId="28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center" vertical="top" wrapText="1"/>
    </xf>
    <xf numFmtId="0" fontId="3" fillId="0" borderId="46" xfId="0" applyFont="1" applyFill="1" applyBorder="1" applyAlignment="1">
      <alignment horizontal="center" vertical="center" textRotation="90" wrapText="1"/>
    </xf>
    <xf numFmtId="0" fontId="3" fillId="0" borderId="76" xfId="0" applyFont="1" applyFill="1" applyBorder="1" applyAlignment="1">
      <alignment horizontal="center" vertical="center" textRotation="90" wrapText="1"/>
    </xf>
    <xf numFmtId="0" fontId="3" fillId="7" borderId="18" xfId="0" applyFont="1" applyFill="1" applyBorder="1" applyAlignment="1">
      <alignment vertical="top" wrapText="1"/>
    </xf>
    <xf numFmtId="0" fontId="3" fillId="0" borderId="35" xfId="0" applyFont="1" applyFill="1" applyBorder="1" applyAlignment="1">
      <alignment horizontal="center" vertical="center" textRotation="90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7" borderId="58" xfId="0" applyNumberFormat="1" applyFont="1" applyFill="1" applyBorder="1" applyAlignment="1">
      <alignment horizontal="center" vertical="top"/>
    </xf>
    <xf numFmtId="0" fontId="3" fillId="3" borderId="30" xfId="0" applyFont="1" applyFill="1" applyBorder="1" applyAlignment="1">
      <alignment horizontal="left" vertical="top" wrapText="1"/>
    </xf>
    <xf numFmtId="0" fontId="5" fillId="3" borderId="35" xfId="0" applyFont="1" applyFill="1" applyBorder="1" applyAlignment="1">
      <alignment horizontal="center" vertical="top" wrapText="1"/>
    </xf>
    <xf numFmtId="49" fontId="5" fillId="9" borderId="35" xfId="0" applyNumberFormat="1" applyFont="1" applyFill="1" applyBorder="1" applyAlignment="1">
      <alignment horizontal="center" vertical="top"/>
    </xf>
    <xf numFmtId="49" fontId="5" fillId="0" borderId="89" xfId="0" applyNumberFormat="1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 wrapText="1"/>
    </xf>
    <xf numFmtId="0" fontId="5" fillId="3" borderId="51" xfId="0" applyFont="1" applyFill="1" applyBorder="1" applyAlignment="1">
      <alignment horizontal="center" vertical="top" wrapText="1"/>
    </xf>
    <xf numFmtId="49" fontId="5" fillId="3" borderId="48" xfId="0" applyNumberFormat="1" applyFont="1" applyFill="1" applyBorder="1" applyAlignment="1">
      <alignment horizontal="center" vertical="top"/>
    </xf>
    <xf numFmtId="49" fontId="5" fillId="9" borderId="30" xfId="0" applyNumberFormat="1" applyFont="1" applyFill="1" applyBorder="1" applyAlignment="1">
      <alignment horizontal="center" vertical="top"/>
    </xf>
    <xf numFmtId="49" fontId="5" fillId="2" borderId="29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vertical="top" wrapText="1"/>
    </xf>
    <xf numFmtId="49" fontId="5" fillId="0" borderId="17" xfId="0" applyNumberFormat="1" applyFont="1" applyBorder="1" applyAlignment="1">
      <alignment horizontal="center" vertical="top"/>
    </xf>
    <xf numFmtId="0" fontId="5" fillId="0" borderId="68" xfId="0" applyFont="1" applyFill="1" applyBorder="1" applyAlignment="1">
      <alignment horizontal="center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7" borderId="30" xfId="0" applyFont="1" applyFill="1" applyBorder="1" applyAlignment="1">
      <alignment horizontal="left" vertical="top" wrapText="1"/>
    </xf>
    <xf numFmtId="3" fontId="3" fillId="0" borderId="27" xfId="0" applyNumberFormat="1" applyFont="1" applyFill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left" vertical="top" wrapText="1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26" xfId="0" applyNumberFormat="1" applyFont="1" applyFill="1" applyBorder="1" applyAlignment="1">
      <alignment horizontal="left" vertical="top" wrapText="1"/>
    </xf>
    <xf numFmtId="3" fontId="3" fillId="0" borderId="18" xfId="0" applyNumberFormat="1" applyFont="1" applyFill="1" applyBorder="1" applyAlignment="1">
      <alignment horizontal="center" vertical="center"/>
    </xf>
    <xf numFmtId="164" fontId="3" fillId="8" borderId="66" xfId="0" applyNumberFormat="1" applyFont="1" applyFill="1" applyBorder="1" applyAlignment="1">
      <alignment horizontal="right" vertical="top"/>
    </xf>
    <xf numFmtId="3" fontId="3" fillId="8" borderId="51" xfId="0" applyNumberFormat="1" applyFont="1" applyFill="1" applyBorder="1" applyAlignment="1">
      <alignment horizontal="right" vertical="top"/>
    </xf>
    <xf numFmtId="3" fontId="3" fillId="8" borderId="88" xfId="0" applyNumberFormat="1" applyFont="1" applyFill="1" applyBorder="1" applyAlignment="1">
      <alignment horizontal="right" vertical="top"/>
    </xf>
    <xf numFmtId="3" fontId="3" fillId="8" borderId="96" xfId="0" applyNumberFormat="1" applyFont="1" applyFill="1" applyBorder="1" applyAlignment="1">
      <alignment horizontal="right" vertical="top"/>
    </xf>
    <xf numFmtId="3" fontId="3" fillId="8" borderId="29" xfId="0" applyNumberFormat="1" applyFont="1" applyFill="1" applyBorder="1" applyAlignment="1">
      <alignment horizontal="right" vertical="top"/>
    </xf>
    <xf numFmtId="3" fontId="3" fillId="8" borderId="83" xfId="0" applyNumberFormat="1" applyFont="1" applyFill="1" applyBorder="1" applyAlignment="1">
      <alignment horizontal="right" vertical="top"/>
    </xf>
    <xf numFmtId="3" fontId="3" fillId="8" borderId="11" xfId="0" applyNumberFormat="1" applyFont="1" applyFill="1" applyBorder="1" applyAlignment="1">
      <alignment horizontal="right" vertical="top"/>
    </xf>
    <xf numFmtId="3" fontId="3" fillId="8" borderId="1" xfId="0" applyNumberFormat="1" applyFont="1" applyFill="1" applyBorder="1" applyAlignment="1">
      <alignment horizontal="right" vertical="top"/>
    </xf>
    <xf numFmtId="3" fontId="5" fillId="8" borderId="2" xfId="0" applyNumberFormat="1" applyFont="1" applyFill="1" applyBorder="1" applyAlignment="1">
      <alignment horizontal="right" vertical="top"/>
    </xf>
    <xf numFmtId="3" fontId="3" fillId="0" borderId="111" xfId="0" applyNumberFormat="1" applyFont="1" applyFill="1" applyBorder="1" applyAlignment="1">
      <alignment horizontal="right" vertical="top"/>
    </xf>
    <xf numFmtId="3" fontId="3" fillId="8" borderId="103" xfId="0" applyNumberFormat="1" applyFont="1" applyFill="1" applyBorder="1" applyAlignment="1">
      <alignment horizontal="right" vertical="top"/>
    </xf>
    <xf numFmtId="3" fontId="5" fillId="8" borderId="13" xfId="0" applyNumberFormat="1" applyFont="1" applyFill="1" applyBorder="1" applyAlignment="1">
      <alignment horizontal="right" vertical="top"/>
    </xf>
    <xf numFmtId="3" fontId="5" fillId="8" borderId="26" xfId="0" applyNumberFormat="1" applyFont="1" applyFill="1" applyBorder="1" applyAlignment="1">
      <alignment horizontal="right" vertical="top"/>
    </xf>
    <xf numFmtId="3" fontId="5" fillId="8" borderId="31" xfId="0" applyNumberFormat="1" applyFont="1" applyFill="1" applyBorder="1" applyAlignment="1">
      <alignment horizontal="right" vertical="top"/>
    </xf>
    <xf numFmtId="3" fontId="5" fillId="8" borderId="11" xfId="0" applyNumberFormat="1" applyFont="1" applyFill="1" applyBorder="1" applyAlignment="1">
      <alignment horizontal="right" vertical="top"/>
    </xf>
    <xf numFmtId="3" fontId="3" fillId="8" borderId="26" xfId="1" applyNumberFormat="1" applyFont="1" applyFill="1" applyBorder="1" applyAlignment="1">
      <alignment horizontal="right" vertical="top"/>
    </xf>
    <xf numFmtId="3" fontId="5" fillId="2" borderId="4" xfId="0" applyNumberFormat="1" applyFont="1" applyFill="1" applyBorder="1" applyAlignment="1">
      <alignment horizontal="right" vertical="top"/>
    </xf>
    <xf numFmtId="3" fontId="3" fillId="8" borderId="26" xfId="0" applyNumberFormat="1" applyFont="1" applyFill="1" applyBorder="1" applyAlignment="1">
      <alignment horizontal="right" vertical="top"/>
    </xf>
    <xf numFmtId="3" fontId="3" fillId="8" borderId="13" xfId="0" applyNumberFormat="1" applyFont="1" applyFill="1" applyBorder="1" applyAlignment="1">
      <alignment horizontal="right" vertical="top"/>
    </xf>
    <xf numFmtId="3" fontId="3" fillId="8" borderId="124" xfId="0" applyNumberFormat="1" applyFont="1" applyFill="1" applyBorder="1" applyAlignment="1">
      <alignment horizontal="right" vertical="top"/>
    </xf>
    <xf numFmtId="3" fontId="5" fillId="8" borderId="20" xfId="0" applyNumberFormat="1" applyFont="1" applyFill="1" applyBorder="1" applyAlignment="1">
      <alignment horizontal="right" vertical="top"/>
    </xf>
    <xf numFmtId="3" fontId="3" fillId="8" borderId="92" xfId="0" applyNumberFormat="1" applyFont="1" applyFill="1" applyBorder="1" applyAlignment="1">
      <alignment horizontal="right" vertical="top"/>
    </xf>
    <xf numFmtId="164" fontId="3" fillId="8" borderId="13" xfId="0" applyNumberFormat="1" applyFont="1" applyFill="1" applyBorder="1" applyAlignment="1">
      <alignment vertical="top"/>
    </xf>
    <xf numFmtId="3" fontId="3" fillId="8" borderId="31" xfId="0" applyNumberFormat="1" applyFont="1" applyFill="1" applyBorder="1" applyAlignment="1">
      <alignment vertical="top"/>
    </xf>
    <xf numFmtId="3" fontId="3" fillId="8" borderId="11" xfId="0" applyNumberFormat="1" applyFont="1" applyFill="1" applyBorder="1" applyAlignment="1">
      <alignment vertical="top"/>
    </xf>
    <xf numFmtId="3" fontId="3" fillId="8" borderId="29" xfId="0" applyNumberFormat="1" applyFont="1" applyFill="1" applyBorder="1" applyAlignment="1">
      <alignment vertical="top"/>
    </xf>
    <xf numFmtId="3" fontId="5" fillId="8" borderId="31" xfId="0" applyNumberFormat="1" applyFont="1" applyFill="1" applyBorder="1" applyAlignment="1">
      <alignment vertical="top"/>
    </xf>
    <xf numFmtId="3" fontId="3" fillId="8" borderId="26" xfId="0" applyNumberFormat="1" applyFont="1" applyFill="1" applyBorder="1" applyAlignment="1">
      <alignment vertical="top"/>
    </xf>
    <xf numFmtId="3" fontId="3" fillId="8" borderId="1" xfId="0" applyNumberFormat="1" applyFont="1" applyFill="1" applyBorder="1" applyAlignment="1">
      <alignment vertical="top"/>
    </xf>
    <xf numFmtId="3" fontId="3" fillId="8" borderId="92" xfId="0" applyNumberFormat="1" applyFont="1" applyFill="1" applyBorder="1" applyAlignment="1">
      <alignment vertical="top"/>
    </xf>
    <xf numFmtId="3" fontId="5" fillId="8" borderId="2" xfId="0" applyNumberFormat="1" applyFont="1" applyFill="1" applyBorder="1" applyAlignment="1">
      <alignment vertical="top"/>
    </xf>
    <xf numFmtId="3" fontId="5" fillId="2" borderId="4" xfId="0" applyNumberFormat="1" applyFont="1" applyFill="1" applyBorder="1" applyAlignment="1">
      <alignment vertical="top"/>
    </xf>
    <xf numFmtId="3" fontId="5" fillId="9" borderId="4" xfId="0" applyNumberFormat="1" applyFont="1" applyFill="1" applyBorder="1" applyAlignment="1">
      <alignment vertical="top"/>
    </xf>
    <xf numFmtId="3" fontId="5" fillId="5" borderId="4" xfId="0" applyNumberFormat="1" applyFont="1" applyFill="1" applyBorder="1" applyAlignment="1">
      <alignment vertical="top"/>
    </xf>
    <xf numFmtId="3" fontId="5" fillId="5" borderId="72" xfId="0" applyNumberFormat="1" applyFont="1" applyFill="1" applyBorder="1" applyAlignment="1">
      <alignment horizontal="right" vertical="top"/>
    </xf>
    <xf numFmtId="3" fontId="3" fillId="7" borderId="68" xfId="0" applyNumberFormat="1" applyFont="1" applyFill="1" applyBorder="1" applyAlignment="1">
      <alignment horizontal="right" vertical="top"/>
    </xf>
    <xf numFmtId="3" fontId="3" fillId="0" borderId="68" xfId="0" applyNumberFormat="1" applyFont="1" applyBorder="1" applyAlignment="1">
      <alignment horizontal="right" vertical="top"/>
    </xf>
    <xf numFmtId="3" fontId="5" fillId="5" borderId="68" xfId="0" applyNumberFormat="1" applyFont="1" applyFill="1" applyBorder="1" applyAlignment="1">
      <alignment horizontal="right" vertical="top"/>
    </xf>
    <xf numFmtId="3" fontId="5" fillId="4" borderId="76" xfId="0" applyNumberFormat="1" applyFont="1" applyFill="1" applyBorder="1" applyAlignment="1">
      <alignment horizontal="right" vertical="top"/>
    </xf>
    <xf numFmtId="3" fontId="5" fillId="4" borderId="31" xfId="0" applyNumberFormat="1" applyFont="1" applyFill="1" applyBorder="1" applyAlignment="1">
      <alignment horizontal="right" vertical="top"/>
    </xf>
    <xf numFmtId="3" fontId="5" fillId="5" borderId="13" xfId="0" applyNumberFormat="1" applyFont="1" applyFill="1" applyBorder="1" applyAlignment="1">
      <alignment horizontal="right" vertical="top"/>
    </xf>
    <xf numFmtId="3" fontId="5" fillId="8" borderId="29" xfId="0" applyNumberFormat="1" applyFont="1" applyFill="1" applyBorder="1" applyAlignment="1">
      <alignment horizontal="right" vertical="top"/>
    </xf>
    <xf numFmtId="3" fontId="3" fillId="7" borderId="29" xfId="0" applyNumberFormat="1" applyFont="1" applyFill="1" applyBorder="1" applyAlignment="1">
      <alignment horizontal="right" vertical="top"/>
    </xf>
    <xf numFmtId="3" fontId="3" fillId="0" borderId="29" xfId="0" applyNumberFormat="1" applyFont="1" applyBorder="1" applyAlignment="1">
      <alignment horizontal="right" vertical="top"/>
    </xf>
    <xf numFmtId="3" fontId="5" fillId="5" borderId="29" xfId="0" applyNumberFormat="1" applyFont="1" applyFill="1" applyBorder="1" applyAlignment="1">
      <alignment horizontal="right" vertical="top"/>
    </xf>
    <xf numFmtId="0" fontId="7" fillId="0" borderId="74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7" borderId="81" xfId="0" applyFont="1" applyFill="1" applyBorder="1" applyAlignment="1">
      <alignment horizontal="center" vertical="top" wrapText="1"/>
    </xf>
    <xf numFmtId="0" fontId="3" fillId="7" borderId="120" xfId="0" applyFont="1" applyFill="1" applyBorder="1" applyAlignment="1">
      <alignment horizontal="center" vertical="top" wrapText="1"/>
    </xf>
    <xf numFmtId="0" fontId="3" fillId="7" borderId="119" xfId="0" applyFont="1" applyFill="1" applyBorder="1" applyAlignment="1">
      <alignment horizontal="center" vertical="top" wrapText="1"/>
    </xf>
    <xf numFmtId="3" fontId="33" fillId="5" borderId="73" xfId="0" applyNumberFormat="1" applyFont="1" applyFill="1" applyBorder="1" applyAlignment="1">
      <alignment horizontal="right" vertical="top"/>
    </xf>
    <xf numFmtId="3" fontId="33" fillId="8" borderId="55" xfId="0" applyNumberFormat="1" applyFont="1" applyFill="1" applyBorder="1" applyAlignment="1">
      <alignment horizontal="right" vertical="top"/>
    </xf>
    <xf numFmtId="3" fontId="20" fillId="0" borderId="55" xfId="0" applyNumberFormat="1" applyFont="1" applyBorder="1" applyAlignment="1">
      <alignment horizontal="right" vertical="top"/>
    </xf>
    <xf numFmtId="3" fontId="20" fillId="8" borderId="55" xfId="0" applyNumberFormat="1" applyFont="1" applyFill="1" applyBorder="1" applyAlignment="1">
      <alignment horizontal="right" vertical="top"/>
    </xf>
    <xf numFmtId="3" fontId="33" fillId="5" borderId="55" xfId="0" applyNumberFormat="1" applyFont="1" applyFill="1" applyBorder="1" applyAlignment="1">
      <alignment horizontal="right" vertical="top"/>
    </xf>
    <xf numFmtId="3" fontId="33" fillId="4" borderId="34" xfId="0" applyNumberFormat="1" applyFont="1" applyFill="1" applyBorder="1" applyAlignment="1">
      <alignment horizontal="right" vertical="top"/>
    </xf>
    <xf numFmtId="0" fontId="3" fillId="0" borderId="38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textRotation="90" shrinkToFit="1"/>
    </xf>
    <xf numFmtId="0" fontId="2" fillId="0" borderId="3" xfId="0" applyFont="1" applyBorder="1" applyAlignment="1">
      <alignment horizontal="center" vertical="center" textRotation="90" shrinkToFit="1"/>
    </xf>
    <xf numFmtId="3" fontId="3" fillId="7" borderId="113" xfId="0" applyNumberFormat="1" applyFont="1" applyFill="1" applyBorder="1" applyAlignment="1">
      <alignment horizontal="right" vertical="top" wrapText="1"/>
    </xf>
    <xf numFmtId="3" fontId="3" fillId="7" borderId="29" xfId="0" applyNumberFormat="1" applyFont="1" applyFill="1" applyBorder="1" applyAlignment="1">
      <alignment horizontal="center" vertical="top" wrapText="1"/>
    </xf>
    <xf numFmtId="0" fontId="3" fillId="7" borderId="9" xfId="0" applyFont="1" applyFill="1" applyBorder="1" applyAlignment="1">
      <alignment horizontal="left" vertical="top" wrapText="1"/>
    </xf>
    <xf numFmtId="3" fontId="3" fillId="7" borderId="28" xfId="0" applyNumberFormat="1" applyFont="1" applyFill="1" applyBorder="1" applyAlignment="1">
      <alignment horizontal="center" wrapText="1"/>
    </xf>
    <xf numFmtId="0" fontId="3" fillId="7" borderId="12" xfId="0" applyFont="1" applyFill="1" applyBorder="1" applyAlignment="1">
      <alignment horizontal="left" vertical="top" wrapText="1"/>
    </xf>
    <xf numFmtId="3" fontId="3" fillId="7" borderId="13" xfId="0" applyNumberFormat="1" applyFont="1" applyFill="1" applyBorder="1" applyAlignment="1">
      <alignment horizontal="center" vertical="top" wrapText="1"/>
    </xf>
    <xf numFmtId="3" fontId="3" fillId="7" borderId="15" xfId="0" applyNumberFormat="1" applyFont="1" applyFill="1" applyBorder="1" applyAlignment="1">
      <alignment horizontal="center" vertical="top" wrapText="1"/>
    </xf>
    <xf numFmtId="3" fontId="3" fillId="7" borderId="1" xfId="0" applyNumberFormat="1" applyFont="1" applyFill="1" applyBorder="1" applyAlignment="1">
      <alignment horizontal="center" wrapText="1"/>
    </xf>
    <xf numFmtId="3" fontId="3" fillId="7" borderId="1" xfId="0" applyNumberFormat="1" applyFont="1" applyFill="1" applyBorder="1" applyAlignment="1">
      <alignment horizontal="center" vertical="top" wrapText="1"/>
    </xf>
    <xf numFmtId="3" fontId="3" fillId="7" borderId="17" xfId="0" applyNumberFormat="1" applyFont="1" applyFill="1" applyBorder="1" applyAlignment="1">
      <alignment horizontal="center" vertical="top" wrapText="1"/>
    </xf>
    <xf numFmtId="3" fontId="3" fillId="7" borderId="31" xfId="0" applyNumberFormat="1" applyFont="1" applyFill="1" applyBorder="1" applyAlignment="1">
      <alignment horizontal="center" vertical="top" wrapText="1"/>
    </xf>
    <xf numFmtId="3" fontId="3" fillId="7" borderId="32" xfId="0" applyNumberFormat="1" applyFont="1" applyFill="1" applyBorder="1" applyAlignment="1">
      <alignment horizontal="center" vertical="top" wrapText="1"/>
    </xf>
    <xf numFmtId="3" fontId="3" fillId="7" borderId="24" xfId="0" applyNumberFormat="1" applyFont="1" applyFill="1" applyBorder="1" applyAlignment="1">
      <alignment horizontal="right" vertical="top" wrapText="1"/>
    </xf>
    <xf numFmtId="3" fontId="33" fillId="8" borderId="31" xfId="0" applyNumberFormat="1" applyFont="1" applyFill="1" applyBorder="1" applyAlignment="1">
      <alignment horizontal="right" vertical="top"/>
    </xf>
    <xf numFmtId="3" fontId="20" fillId="0" borderId="0" xfId="0" applyNumberFormat="1" applyFont="1" applyBorder="1" applyAlignment="1">
      <alignment vertical="top"/>
    </xf>
    <xf numFmtId="3" fontId="20" fillId="0" borderId="0" xfId="0" applyNumberFormat="1" applyFont="1" applyFill="1" applyBorder="1" applyAlignment="1">
      <alignment vertical="top"/>
    </xf>
    <xf numFmtId="0" fontId="20" fillId="3" borderId="95" xfId="0" applyFont="1" applyFill="1" applyBorder="1" applyAlignment="1">
      <alignment horizontal="left" vertical="top" wrapText="1"/>
    </xf>
    <xf numFmtId="3" fontId="20" fillId="3" borderId="96" xfId="0" applyNumberFormat="1" applyFont="1" applyFill="1" applyBorder="1" applyAlignment="1">
      <alignment horizontal="center" vertical="top"/>
    </xf>
    <xf numFmtId="49" fontId="20" fillId="3" borderId="96" xfId="0" applyNumberFormat="1" applyFont="1" applyFill="1" applyBorder="1" applyAlignment="1">
      <alignment horizontal="center" vertical="top"/>
    </xf>
    <xf numFmtId="3" fontId="20" fillId="3" borderId="97" xfId="0" applyNumberFormat="1" applyFont="1" applyFill="1" applyBorder="1" applyAlignment="1">
      <alignment horizontal="center" vertical="top"/>
    </xf>
    <xf numFmtId="3" fontId="20" fillId="3" borderId="11" xfId="0" applyNumberFormat="1" applyFont="1" applyFill="1" applyBorder="1" applyAlignment="1">
      <alignment horizontal="center" vertical="top"/>
    </xf>
    <xf numFmtId="3" fontId="20" fillId="3" borderId="29" xfId="0" applyNumberFormat="1" applyFont="1" applyFill="1" applyBorder="1" applyAlignment="1">
      <alignment horizontal="center" vertical="top"/>
    </xf>
    <xf numFmtId="0" fontId="3" fillId="3" borderId="85" xfId="0" applyFont="1" applyFill="1" applyBorder="1" applyAlignment="1">
      <alignment horizontal="left" vertical="top" wrapText="1"/>
    </xf>
    <xf numFmtId="49" fontId="3" fillId="3" borderId="88" xfId="0" applyNumberFormat="1" applyFont="1" applyFill="1" applyBorder="1" applyAlignment="1">
      <alignment horizontal="center" vertical="top"/>
    </xf>
    <xf numFmtId="3" fontId="3" fillId="3" borderId="124" xfId="0" applyNumberFormat="1" applyFont="1" applyFill="1" applyBorder="1" applyAlignment="1">
      <alignment horizontal="center" vertical="top"/>
    </xf>
    <xf numFmtId="49" fontId="3" fillId="3" borderId="124" xfId="0" applyNumberFormat="1" applyFont="1" applyFill="1" applyBorder="1" applyAlignment="1">
      <alignment horizontal="center" vertical="top"/>
    </xf>
    <xf numFmtId="3" fontId="3" fillId="3" borderId="129" xfId="0" applyNumberFormat="1" applyFont="1" applyFill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9" borderId="35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7" borderId="11" xfId="0" applyNumberFormat="1" applyFont="1" applyFill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49" fontId="5" fillId="0" borderId="89" xfId="0" applyNumberFormat="1" applyFont="1" applyBorder="1" applyAlignment="1">
      <alignment horizontal="center" vertical="top"/>
    </xf>
    <xf numFmtId="0" fontId="3" fillId="3" borderId="18" xfId="0" applyFont="1" applyFill="1" applyBorder="1" applyAlignment="1">
      <alignment horizontal="left" vertical="top" wrapText="1"/>
    </xf>
    <xf numFmtId="0" fontId="23" fillId="0" borderId="7" xfId="0" applyFont="1" applyBorder="1" applyAlignment="1">
      <alignment horizontal="center" vertical="top" wrapText="1"/>
    </xf>
    <xf numFmtId="0" fontId="5" fillId="3" borderId="35" xfId="0" applyFont="1" applyFill="1" applyBorder="1" applyAlignment="1">
      <alignment horizontal="center" vertical="top" wrapText="1"/>
    </xf>
    <xf numFmtId="49" fontId="5" fillId="3" borderId="50" xfId="0" applyNumberFormat="1" applyFont="1" applyFill="1" applyBorder="1" applyAlignment="1">
      <alignment horizontal="center" vertical="top"/>
    </xf>
    <xf numFmtId="0" fontId="5" fillId="0" borderId="38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3" fillId="3" borderId="28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49" fontId="5" fillId="9" borderId="9" xfId="0" applyNumberFormat="1" applyFont="1" applyFill="1" applyBorder="1" applyAlignment="1">
      <alignment horizontal="center" vertical="top"/>
    </xf>
    <xf numFmtId="0" fontId="3" fillId="3" borderId="18" xfId="0" applyFont="1" applyFill="1" applyBorder="1" applyAlignment="1">
      <alignment vertical="top" wrapText="1"/>
    </xf>
    <xf numFmtId="0" fontId="3" fillId="3" borderId="32" xfId="0" applyFont="1" applyFill="1" applyBorder="1" applyAlignment="1">
      <alignment vertical="top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3" fillId="0" borderId="76" xfId="0" applyFont="1" applyFill="1" applyBorder="1" applyAlignment="1">
      <alignment horizontal="center" vertical="center" textRotation="90" wrapText="1"/>
    </xf>
    <xf numFmtId="0" fontId="3" fillId="7" borderId="18" xfId="0" applyFont="1" applyFill="1" applyBorder="1" applyAlignment="1">
      <alignment vertical="top" wrapText="1"/>
    </xf>
    <xf numFmtId="49" fontId="5" fillId="9" borderId="5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7" borderId="26" xfId="0" applyNumberFormat="1" applyFont="1" applyFill="1" applyBorder="1" applyAlignment="1">
      <alignment horizontal="center" vertical="top"/>
    </xf>
    <xf numFmtId="49" fontId="5" fillId="7" borderId="31" xfId="0" applyNumberFormat="1" applyFont="1" applyFill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49" fontId="5" fillId="7" borderId="58" xfId="0" applyNumberFormat="1" applyFont="1" applyFill="1" applyBorder="1" applyAlignment="1">
      <alignment horizontal="center" vertical="top"/>
    </xf>
    <xf numFmtId="0" fontId="5" fillId="0" borderId="46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/>
    </xf>
    <xf numFmtId="0" fontId="3" fillId="0" borderId="46" xfId="0" applyFont="1" applyFill="1" applyBorder="1" applyAlignment="1">
      <alignment horizontal="center" vertical="center" textRotation="90" wrapText="1"/>
    </xf>
    <xf numFmtId="0" fontId="3" fillId="2" borderId="57" xfId="0" applyFont="1" applyFill="1" applyBorder="1" applyAlignment="1">
      <alignment horizontal="center" vertical="top" wrapText="1"/>
    </xf>
    <xf numFmtId="0" fontId="3" fillId="3" borderId="38" xfId="0" applyFont="1" applyFill="1" applyBorder="1" applyAlignment="1">
      <alignment horizontal="left" vertical="top" wrapText="1"/>
    </xf>
    <xf numFmtId="0" fontId="11" fillId="3" borderId="28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7" borderId="38" xfId="0" applyFont="1" applyFill="1" applyBorder="1" applyAlignment="1">
      <alignment horizontal="left" vertical="top" wrapText="1"/>
    </xf>
    <xf numFmtId="0" fontId="11" fillId="0" borderId="32" xfId="0" applyFont="1" applyBorder="1" applyAlignment="1">
      <alignment vertical="top"/>
    </xf>
    <xf numFmtId="0" fontId="18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5" fillId="3" borderId="38" xfId="0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left" vertical="center" textRotation="90" wrapText="1"/>
    </xf>
    <xf numFmtId="0" fontId="3" fillId="7" borderId="7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left" vertical="top" wrapText="1"/>
    </xf>
    <xf numFmtId="49" fontId="5" fillId="9" borderId="30" xfId="0" applyNumberFormat="1" applyFont="1" applyFill="1" applyBorder="1" applyAlignment="1">
      <alignment horizontal="center" vertical="top"/>
    </xf>
    <xf numFmtId="49" fontId="5" fillId="2" borderId="29" xfId="0" applyNumberFormat="1" applyFont="1" applyFill="1" applyBorder="1" applyAlignment="1">
      <alignment horizontal="center" vertical="top"/>
    </xf>
    <xf numFmtId="0" fontId="5" fillId="3" borderId="51" xfId="0" applyFont="1" applyFill="1" applyBorder="1" applyAlignment="1">
      <alignment horizontal="center" vertical="top" wrapText="1"/>
    </xf>
    <xf numFmtId="49" fontId="5" fillId="3" borderId="48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 wrapText="1"/>
    </xf>
    <xf numFmtId="0" fontId="3" fillId="3" borderId="30" xfId="0" applyFont="1" applyFill="1" applyBorder="1" applyAlignment="1">
      <alignment horizontal="left" vertical="top" wrapText="1"/>
    </xf>
    <xf numFmtId="0" fontId="3" fillId="7" borderId="30" xfId="0" applyFont="1" applyFill="1" applyBorder="1" applyAlignment="1">
      <alignment horizontal="left" vertical="top" wrapText="1"/>
    </xf>
    <xf numFmtId="0" fontId="3" fillId="3" borderId="123" xfId="0" applyFont="1" applyFill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center"/>
    </xf>
    <xf numFmtId="3" fontId="3" fillId="0" borderId="26" xfId="0" applyNumberFormat="1" applyFont="1" applyFill="1" applyBorder="1" applyAlignment="1">
      <alignment horizontal="left" vertical="top" wrapText="1"/>
    </xf>
    <xf numFmtId="0" fontId="3" fillId="0" borderId="42" xfId="0" applyFont="1" applyFill="1" applyBorder="1" applyAlignment="1">
      <alignment horizontal="left" vertical="top" wrapText="1"/>
    </xf>
    <xf numFmtId="3" fontId="3" fillId="0" borderId="27" xfId="0" applyNumberFormat="1" applyFont="1" applyFill="1" applyBorder="1" applyAlignment="1">
      <alignment horizontal="left" vertical="top" wrapText="1"/>
    </xf>
    <xf numFmtId="3" fontId="3" fillId="0" borderId="11" xfId="0" applyNumberFormat="1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right" vertical="top"/>
    </xf>
    <xf numFmtId="3" fontId="5" fillId="3" borderId="53" xfId="0" applyNumberFormat="1" applyFont="1" applyFill="1" applyBorder="1" applyAlignment="1">
      <alignment horizontal="right" vertical="top"/>
    </xf>
    <xf numFmtId="3" fontId="20" fillId="7" borderId="114" xfId="0" applyNumberFormat="1" applyFont="1" applyFill="1" applyBorder="1" applyAlignment="1">
      <alignment horizontal="right" vertical="top"/>
    </xf>
    <xf numFmtId="3" fontId="20" fillId="3" borderId="128" xfId="0" applyNumberFormat="1" applyFont="1" applyFill="1" applyBorder="1" applyAlignment="1">
      <alignment horizontal="right" vertical="top" wrapText="1"/>
    </xf>
    <xf numFmtId="3" fontId="20" fillId="3" borderId="79" xfId="0" applyNumberFormat="1" applyFont="1" applyFill="1" applyBorder="1" applyAlignment="1">
      <alignment horizontal="right" vertical="top" wrapText="1"/>
    </xf>
    <xf numFmtId="3" fontId="20" fillId="0" borderId="79" xfId="0" applyNumberFormat="1" applyFont="1" applyFill="1" applyBorder="1" applyAlignment="1">
      <alignment horizontal="right" vertical="top"/>
    </xf>
    <xf numFmtId="3" fontId="20" fillId="0" borderId="66" xfId="0" applyNumberFormat="1" applyFont="1" applyFill="1" applyBorder="1" applyAlignment="1">
      <alignment horizontal="right" vertical="top"/>
    </xf>
    <xf numFmtId="3" fontId="20" fillId="3" borderId="0" xfId="0" applyNumberFormat="1" applyFont="1" applyFill="1" applyBorder="1" applyAlignment="1">
      <alignment horizontal="right" vertical="top"/>
    </xf>
    <xf numFmtId="3" fontId="20" fillId="3" borderId="66" xfId="0" applyNumberFormat="1" applyFont="1" applyFill="1" applyBorder="1" applyAlignment="1">
      <alignment horizontal="right" vertical="top" wrapText="1"/>
    </xf>
    <xf numFmtId="3" fontId="20" fillId="3" borderId="0" xfId="0" applyNumberFormat="1" applyFont="1" applyFill="1" applyBorder="1" applyAlignment="1">
      <alignment horizontal="right" vertical="top" wrapText="1"/>
    </xf>
    <xf numFmtId="3" fontId="33" fillId="8" borderId="33" xfId="0" applyNumberFormat="1" applyFont="1" applyFill="1" applyBorder="1" applyAlignment="1">
      <alignment horizontal="right" vertical="top"/>
    </xf>
    <xf numFmtId="3" fontId="3" fillId="3" borderId="77" xfId="0" applyNumberFormat="1" applyFont="1" applyFill="1" applyBorder="1" applyAlignment="1">
      <alignment horizontal="right" vertical="top"/>
    </xf>
    <xf numFmtId="3" fontId="20" fillId="0" borderId="0" xfId="0" applyNumberFormat="1" applyFont="1" applyFill="1" applyBorder="1" applyAlignment="1">
      <alignment horizontal="right" vertical="top"/>
    </xf>
    <xf numFmtId="3" fontId="5" fillId="8" borderId="0" xfId="0" applyNumberFormat="1" applyFont="1" applyFill="1" applyBorder="1" applyAlignment="1">
      <alignment horizontal="right" vertical="top"/>
    </xf>
    <xf numFmtId="3" fontId="3" fillId="3" borderId="131" xfId="0" applyNumberFormat="1" applyFont="1" applyFill="1" applyBorder="1" applyAlignment="1">
      <alignment horizontal="right" vertical="top" wrapText="1"/>
    </xf>
    <xf numFmtId="3" fontId="3" fillId="0" borderId="114" xfId="0" applyNumberFormat="1" applyFont="1" applyFill="1" applyBorder="1" applyAlignment="1">
      <alignment horizontal="right" vertical="top"/>
    </xf>
    <xf numFmtId="3" fontId="3" fillId="3" borderId="125" xfId="0" applyNumberFormat="1" applyFont="1" applyFill="1" applyBorder="1" applyAlignment="1">
      <alignment horizontal="right" vertical="top" wrapText="1"/>
    </xf>
    <xf numFmtId="3" fontId="20" fillId="3" borderId="79" xfId="0" applyNumberFormat="1" applyFont="1" applyFill="1" applyBorder="1" applyAlignment="1">
      <alignment horizontal="right" vertical="top"/>
    </xf>
    <xf numFmtId="3" fontId="3" fillId="0" borderId="53" xfId="0" applyNumberFormat="1" applyFont="1" applyFill="1" applyBorder="1" applyAlignment="1">
      <alignment horizontal="right" vertical="top"/>
    </xf>
    <xf numFmtId="164" fontId="3" fillId="3" borderId="77" xfId="0" applyNumberFormat="1" applyFont="1" applyFill="1" applyBorder="1" applyAlignment="1">
      <alignment vertical="top" wrapText="1"/>
    </xf>
    <xf numFmtId="3" fontId="3" fillId="3" borderId="33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vertical="top" wrapText="1"/>
    </xf>
    <xf numFmtId="3" fontId="33" fillId="8" borderId="33" xfId="0" applyNumberFormat="1" applyFont="1" applyFill="1" applyBorder="1" applyAlignment="1">
      <alignment vertical="top"/>
    </xf>
    <xf numFmtId="3" fontId="20" fillId="3" borderId="53" xfId="0" applyNumberFormat="1" applyFont="1" applyFill="1" applyBorder="1" applyAlignment="1">
      <alignment vertical="top" wrapText="1"/>
    </xf>
    <xf numFmtId="3" fontId="20" fillId="3" borderId="79" xfId="0" applyNumberFormat="1" applyFont="1" applyFill="1" applyBorder="1" applyAlignment="1">
      <alignment vertical="top" wrapText="1"/>
    </xf>
    <xf numFmtId="3" fontId="20" fillId="3" borderId="0" xfId="0" applyNumberFormat="1" applyFont="1" applyFill="1" applyBorder="1" applyAlignment="1">
      <alignment vertical="top" wrapText="1"/>
    </xf>
    <xf numFmtId="3" fontId="20" fillId="3" borderId="125" xfId="0" applyNumberFormat="1" applyFont="1" applyFill="1" applyBorder="1" applyAlignment="1">
      <alignment vertical="top" wrapText="1"/>
    </xf>
    <xf numFmtId="3" fontId="33" fillId="2" borderId="74" xfId="0" applyNumberFormat="1" applyFont="1" applyFill="1" applyBorder="1" applyAlignment="1">
      <alignment vertical="top"/>
    </xf>
    <xf numFmtId="3" fontId="33" fillId="9" borderId="74" xfId="0" applyNumberFormat="1" applyFont="1" applyFill="1" applyBorder="1" applyAlignment="1">
      <alignment vertical="top"/>
    </xf>
    <xf numFmtId="3" fontId="33" fillId="5" borderId="74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horizontal="center" vertical="top" wrapText="1"/>
    </xf>
    <xf numFmtId="3" fontId="20" fillId="3" borderId="113" xfId="0" applyNumberFormat="1" applyFont="1" applyFill="1" applyBorder="1" applyAlignment="1">
      <alignment horizontal="right" vertical="top" wrapText="1"/>
    </xf>
    <xf numFmtId="3" fontId="20" fillId="0" borderId="114" xfId="0" applyNumberFormat="1" applyFont="1" applyFill="1" applyBorder="1" applyAlignment="1">
      <alignment horizontal="right" vertical="top"/>
    </xf>
    <xf numFmtId="3" fontId="20" fillId="3" borderId="114" xfId="0" applyNumberFormat="1" applyFont="1" applyFill="1" applyBorder="1" applyAlignment="1">
      <alignment horizontal="right" vertical="top"/>
    </xf>
    <xf numFmtId="3" fontId="3" fillId="7" borderId="53" xfId="1" applyNumberFormat="1" applyFont="1" applyFill="1" applyBorder="1" applyAlignment="1">
      <alignment horizontal="right" vertical="top"/>
    </xf>
    <xf numFmtId="3" fontId="3" fillId="3" borderId="117" xfId="0" applyNumberFormat="1" applyFont="1" applyFill="1" applyBorder="1" applyAlignment="1">
      <alignment horizontal="right" vertical="top" wrapText="1"/>
    </xf>
    <xf numFmtId="3" fontId="3" fillId="3" borderId="36" xfId="0" applyNumberFormat="1" applyFont="1" applyFill="1" applyBorder="1" applyAlignment="1">
      <alignment horizontal="right" vertical="top" wrapText="1"/>
    </xf>
    <xf numFmtId="3" fontId="3" fillId="3" borderId="50" xfId="0" applyNumberFormat="1" applyFont="1" applyFill="1" applyBorder="1" applyAlignment="1">
      <alignment horizontal="right" vertical="top"/>
    </xf>
    <xf numFmtId="3" fontId="3" fillId="3" borderId="84" xfId="0" applyNumberFormat="1" applyFont="1" applyFill="1" applyBorder="1" applyAlignment="1">
      <alignment horizontal="right" vertical="top" wrapText="1"/>
    </xf>
    <xf numFmtId="3" fontId="3" fillId="3" borderId="50" xfId="0" applyNumberFormat="1" applyFont="1" applyFill="1" applyBorder="1" applyAlignment="1">
      <alignment horizontal="right" vertical="top" wrapText="1"/>
    </xf>
    <xf numFmtId="3" fontId="3" fillId="3" borderId="48" xfId="0" applyNumberFormat="1" applyFont="1" applyFill="1" applyBorder="1" applyAlignment="1">
      <alignment horizontal="right" vertical="top" wrapText="1"/>
    </xf>
    <xf numFmtId="3" fontId="3" fillId="3" borderId="109" xfId="0" applyNumberFormat="1" applyFont="1" applyFill="1" applyBorder="1" applyAlignment="1">
      <alignment horizontal="right" vertical="top" wrapText="1"/>
    </xf>
    <xf numFmtId="3" fontId="3" fillId="3" borderId="39" xfId="0" applyNumberFormat="1" applyFont="1" applyFill="1" applyBorder="1" applyAlignment="1">
      <alignment horizontal="right" vertical="top" wrapText="1"/>
    </xf>
    <xf numFmtId="3" fontId="3" fillId="0" borderId="50" xfId="0" applyNumberFormat="1" applyFont="1" applyFill="1" applyBorder="1" applyAlignment="1">
      <alignment horizontal="right" vertical="top"/>
    </xf>
    <xf numFmtId="3" fontId="3" fillId="0" borderId="36" xfId="0" applyNumberFormat="1" applyFont="1" applyFill="1" applyBorder="1" applyAlignment="1">
      <alignment horizontal="right" vertical="top"/>
    </xf>
    <xf numFmtId="3" fontId="5" fillId="3" borderId="43" xfId="0" applyNumberFormat="1" applyFont="1" applyFill="1" applyBorder="1" applyAlignment="1">
      <alignment horizontal="right" vertical="top"/>
    </xf>
    <xf numFmtId="3" fontId="20" fillId="7" borderId="84" xfId="0" applyNumberFormat="1" applyFont="1" applyFill="1" applyBorder="1" applyAlignment="1">
      <alignment horizontal="right" vertical="top"/>
    </xf>
    <xf numFmtId="3" fontId="20" fillId="3" borderId="117" xfId="0" applyNumberFormat="1" applyFont="1" applyFill="1" applyBorder="1" applyAlignment="1">
      <alignment horizontal="right" vertical="top" wrapText="1"/>
    </xf>
    <xf numFmtId="3" fontId="20" fillId="3" borderId="36" xfId="0" applyNumberFormat="1" applyFont="1" applyFill="1" applyBorder="1" applyAlignment="1">
      <alignment horizontal="right" vertical="top" wrapText="1"/>
    </xf>
    <xf numFmtId="3" fontId="20" fillId="0" borderId="48" xfId="0" applyNumberFormat="1" applyFont="1" applyFill="1" applyBorder="1" applyAlignment="1">
      <alignment horizontal="right" vertical="top"/>
    </xf>
    <xf numFmtId="3" fontId="20" fillId="0" borderId="36" xfId="0" applyNumberFormat="1" applyFont="1" applyFill="1" applyBorder="1" applyAlignment="1">
      <alignment horizontal="right" vertical="top"/>
    </xf>
    <xf numFmtId="3" fontId="20" fillId="0" borderId="39" xfId="0" applyNumberFormat="1" applyFont="1" applyFill="1" applyBorder="1" applyAlignment="1">
      <alignment horizontal="right" vertical="top"/>
    </xf>
    <xf numFmtId="3" fontId="20" fillId="3" borderId="50" xfId="0" applyNumberFormat="1" applyFont="1" applyFill="1" applyBorder="1" applyAlignment="1">
      <alignment horizontal="right" vertical="top"/>
    </xf>
    <xf numFmtId="3" fontId="5" fillId="3" borderId="14" xfId="0" applyNumberFormat="1" applyFont="1" applyFill="1" applyBorder="1" applyAlignment="1">
      <alignment horizontal="right" vertical="top"/>
    </xf>
    <xf numFmtId="3" fontId="20" fillId="3" borderId="39" xfId="0" applyNumberFormat="1" applyFont="1" applyFill="1" applyBorder="1" applyAlignment="1">
      <alignment horizontal="right" vertical="top" wrapText="1"/>
    </xf>
    <xf numFmtId="3" fontId="20" fillId="3" borderId="50" xfId="0" applyNumberFormat="1" applyFont="1" applyFill="1" applyBorder="1" applyAlignment="1">
      <alignment horizontal="right" vertical="top" wrapText="1"/>
    </xf>
    <xf numFmtId="3" fontId="33" fillId="8" borderId="58" xfId="0" applyNumberFormat="1" applyFont="1" applyFill="1" applyBorder="1" applyAlignment="1">
      <alignment horizontal="right" vertical="top"/>
    </xf>
    <xf numFmtId="3" fontId="3" fillId="3" borderId="14" xfId="0" applyNumberFormat="1" applyFont="1" applyFill="1" applyBorder="1" applyAlignment="1">
      <alignment horizontal="right" vertical="top"/>
    </xf>
    <xf numFmtId="3" fontId="20" fillId="0" borderId="50" xfId="0" applyNumberFormat="1" applyFont="1" applyFill="1" applyBorder="1" applyAlignment="1">
      <alignment horizontal="right" vertical="top"/>
    </xf>
    <xf numFmtId="3" fontId="33" fillId="8" borderId="11" xfId="0" applyNumberFormat="1" applyFont="1" applyFill="1" applyBorder="1" applyAlignment="1">
      <alignment horizontal="right" vertical="top"/>
    </xf>
    <xf numFmtId="3" fontId="5" fillId="8" borderId="58" xfId="0" applyNumberFormat="1" applyFont="1" applyFill="1" applyBorder="1" applyAlignment="1">
      <alignment horizontal="right" vertical="top"/>
    </xf>
    <xf numFmtId="3" fontId="3" fillId="7" borderId="50" xfId="1" applyNumberFormat="1" applyFont="1" applyFill="1" applyBorder="1" applyAlignment="1">
      <alignment horizontal="right" vertical="top"/>
    </xf>
    <xf numFmtId="164" fontId="3" fillId="3" borderId="17" xfId="0" applyNumberFormat="1" applyFont="1" applyFill="1" applyBorder="1" applyAlignment="1">
      <alignment horizontal="right" vertical="top" wrapText="1"/>
    </xf>
    <xf numFmtId="3" fontId="3" fillId="3" borderId="84" xfId="0" applyNumberFormat="1" applyFont="1" applyFill="1" applyBorder="1" applyAlignment="1">
      <alignment horizontal="right" vertical="top"/>
    </xf>
    <xf numFmtId="3" fontId="3" fillId="3" borderId="89" xfId="0" applyNumberFormat="1" applyFont="1" applyFill="1" applyBorder="1" applyAlignment="1">
      <alignment horizontal="right" vertical="top"/>
    </xf>
    <xf numFmtId="3" fontId="3" fillId="0" borderId="89" xfId="0" applyNumberFormat="1" applyFont="1" applyFill="1" applyBorder="1" applyAlignment="1">
      <alignment horizontal="right" vertical="top"/>
    </xf>
    <xf numFmtId="3" fontId="3" fillId="3" borderId="85" xfId="0" applyNumberFormat="1" applyFont="1" applyFill="1" applyBorder="1" applyAlignment="1">
      <alignment horizontal="right" vertical="top" wrapText="1"/>
    </xf>
    <xf numFmtId="3" fontId="20" fillId="0" borderId="84" xfId="0" applyNumberFormat="1" applyFont="1" applyFill="1" applyBorder="1" applyAlignment="1">
      <alignment horizontal="right" vertical="top"/>
    </xf>
    <xf numFmtId="3" fontId="20" fillId="0" borderId="85" xfId="0" applyNumberFormat="1" applyFont="1" applyFill="1" applyBorder="1" applyAlignment="1">
      <alignment horizontal="right" vertical="top"/>
    </xf>
    <xf numFmtId="3" fontId="20" fillId="7" borderId="117" xfId="0" applyNumberFormat="1" applyFont="1" applyFill="1" applyBorder="1" applyAlignment="1">
      <alignment horizontal="right" vertical="top"/>
    </xf>
    <xf numFmtId="3" fontId="20" fillId="7" borderId="89" xfId="0" applyNumberFormat="1" applyFont="1" applyFill="1" applyBorder="1" applyAlignment="1">
      <alignment horizontal="right" vertical="top"/>
    </xf>
    <xf numFmtId="0" fontId="5" fillId="8" borderId="33" xfId="0" applyFont="1" applyFill="1" applyBorder="1" applyAlignment="1">
      <alignment horizontal="right" vertical="top"/>
    </xf>
    <xf numFmtId="3" fontId="20" fillId="3" borderId="66" xfId="0" applyNumberFormat="1" applyFont="1" applyFill="1" applyBorder="1" applyAlignment="1">
      <alignment horizontal="right" vertical="top"/>
    </xf>
    <xf numFmtId="3" fontId="20" fillId="3" borderId="17" xfId="0" applyNumberFormat="1" applyFont="1" applyFill="1" applyBorder="1" applyAlignment="1">
      <alignment horizontal="right" vertical="top"/>
    </xf>
    <xf numFmtId="3" fontId="3" fillId="3" borderId="104" xfId="0" applyNumberFormat="1" applyFont="1" applyFill="1" applyBorder="1" applyAlignment="1">
      <alignment horizontal="right" vertical="top" wrapText="1"/>
    </xf>
    <xf numFmtId="3" fontId="3" fillId="3" borderId="118" xfId="0" applyNumberFormat="1" applyFont="1" applyFill="1" applyBorder="1" applyAlignment="1">
      <alignment horizontal="right" vertical="top" wrapText="1"/>
    </xf>
    <xf numFmtId="3" fontId="3" fillId="0" borderId="117" xfId="0" applyNumberFormat="1" applyFont="1" applyFill="1" applyBorder="1" applyAlignment="1">
      <alignment horizontal="right" vertical="top"/>
    </xf>
    <xf numFmtId="3" fontId="3" fillId="3" borderId="47" xfId="0" applyNumberFormat="1" applyFont="1" applyFill="1" applyBorder="1" applyAlignment="1">
      <alignment horizontal="right" vertical="top" wrapText="1"/>
    </xf>
    <xf numFmtId="3" fontId="3" fillId="7" borderId="18" xfId="0" applyNumberFormat="1" applyFont="1" applyFill="1" applyBorder="1" applyAlignment="1">
      <alignment horizontal="center" vertical="top" wrapText="1"/>
    </xf>
    <xf numFmtId="3" fontId="3" fillId="0" borderId="48" xfId="0" applyNumberFormat="1" applyFont="1" applyFill="1" applyBorder="1" applyAlignment="1">
      <alignment horizontal="center" vertical="top" wrapText="1"/>
    </xf>
    <xf numFmtId="3" fontId="3" fillId="7" borderId="50" xfId="0" applyNumberFormat="1" applyFont="1" applyFill="1" applyBorder="1" applyAlignment="1">
      <alignment horizontal="center" vertical="top" wrapText="1"/>
    </xf>
    <xf numFmtId="3" fontId="20" fillId="3" borderId="109" xfId="0" applyNumberFormat="1" applyFont="1" applyFill="1" applyBorder="1" applyAlignment="1">
      <alignment horizontal="right" vertical="top" wrapText="1"/>
    </xf>
    <xf numFmtId="3" fontId="20" fillId="3" borderId="97" xfId="0" applyNumberFormat="1" applyFont="1" applyFill="1" applyBorder="1" applyAlignment="1">
      <alignment horizontal="right" vertical="top" wrapText="1"/>
    </xf>
    <xf numFmtId="3" fontId="20" fillId="3" borderId="84" xfId="0" applyNumberFormat="1" applyFont="1" applyFill="1" applyBorder="1" applyAlignment="1">
      <alignment horizontal="right" vertical="top"/>
    </xf>
    <xf numFmtId="3" fontId="20" fillId="3" borderId="85" xfId="0" applyNumberFormat="1" applyFont="1" applyFill="1" applyBorder="1" applyAlignment="1">
      <alignment horizontal="right" vertical="top"/>
    </xf>
    <xf numFmtId="3" fontId="20" fillId="3" borderId="84" xfId="0" applyNumberFormat="1" applyFont="1" applyFill="1" applyBorder="1" applyAlignment="1">
      <alignment horizontal="right" vertical="top" wrapText="1"/>
    </xf>
    <xf numFmtId="3" fontId="20" fillId="3" borderId="85" xfId="0" applyNumberFormat="1" applyFont="1" applyFill="1" applyBorder="1" applyAlignment="1">
      <alignment horizontal="right" vertical="top" wrapText="1"/>
    </xf>
    <xf numFmtId="3" fontId="20" fillId="3" borderId="104" xfId="0" applyNumberFormat="1" applyFont="1" applyFill="1" applyBorder="1" applyAlignment="1">
      <alignment horizontal="right" vertical="top"/>
    </xf>
    <xf numFmtId="3" fontId="20" fillId="3" borderId="118" xfId="0" applyNumberFormat="1" applyFont="1" applyFill="1" applyBorder="1" applyAlignment="1">
      <alignment horizontal="right" vertical="top"/>
    </xf>
    <xf numFmtId="3" fontId="3" fillId="7" borderId="121" xfId="0" applyNumberFormat="1" applyFont="1" applyFill="1" applyBorder="1" applyAlignment="1">
      <alignment horizontal="right" vertical="top"/>
    </xf>
    <xf numFmtId="3" fontId="3" fillId="3" borderId="121" xfId="0" applyNumberFormat="1" applyFont="1" applyFill="1" applyBorder="1" applyAlignment="1">
      <alignment horizontal="right" vertical="top"/>
    </xf>
    <xf numFmtId="0" fontId="3" fillId="7" borderId="98" xfId="0" applyFont="1" applyFill="1" applyBorder="1" applyAlignment="1">
      <alignment horizontal="center" vertical="top" wrapText="1"/>
    </xf>
    <xf numFmtId="3" fontId="20" fillId="0" borderId="28" xfId="0" applyNumberFormat="1" applyFont="1" applyFill="1" applyBorder="1" applyAlignment="1">
      <alignment horizontal="right" vertical="top"/>
    </xf>
    <xf numFmtId="3" fontId="3" fillId="0" borderId="40" xfId="0" applyNumberFormat="1" applyFont="1" applyFill="1" applyBorder="1" applyAlignment="1">
      <alignment horizontal="right" vertical="top"/>
    </xf>
    <xf numFmtId="3" fontId="20" fillId="16" borderId="0" xfId="0" applyNumberFormat="1" applyFont="1" applyFill="1" applyBorder="1" applyAlignment="1">
      <alignment horizontal="right" vertical="top"/>
    </xf>
    <xf numFmtId="3" fontId="20" fillId="16" borderId="50" xfId="0" applyNumberFormat="1" applyFont="1" applyFill="1" applyBorder="1" applyAlignment="1">
      <alignment horizontal="right" vertical="top"/>
    </xf>
    <xf numFmtId="3" fontId="20" fillId="16" borderId="114" xfId="0" applyNumberFormat="1" applyFont="1" applyFill="1" applyBorder="1" applyAlignment="1">
      <alignment horizontal="right" vertical="top"/>
    </xf>
    <xf numFmtId="3" fontId="20" fillId="16" borderId="84" xfId="0" applyNumberFormat="1" applyFont="1" applyFill="1" applyBorder="1" applyAlignment="1">
      <alignment horizontal="right" vertical="top"/>
    </xf>
    <xf numFmtId="3" fontId="20" fillId="16" borderId="84" xfId="0" applyNumberFormat="1" applyFont="1" applyFill="1" applyBorder="1" applyAlignment="1">
      <alignment horizontal="right" vertical="top" wrapText="1"/>
    </xf>
    <xf numFmtId="3" fontId="20" fillId="16" borderId="85" xfId="0" applyNumberFormat="1" applyFont="1" applyFill="1" applyBorder="1" applyAlignment="1">
      <alignment horizontal="right" vertical="top" wrapText="1"/>
    </xf>
    <xf numFmtId="3" fontId="3" fillId="3" borderId="97" xfId="0" applyNumberFormat="1" applyFont="1" applyFill="1" applyBorder="1" applyAlignment="1">
      <alignment horizontal="right" vertical="top" wrapText="1"/>
    </xf>
    <xf numFmtId="3" fontId="20" fillId="16" borderId="63" xfId="0" applyNumberFormat="1" applyFont="1" applyFill="1" applyBorder="1" applyAlignment="1">
      <alignment horizontal="right" vertical="top" wrapText="1"/>
    </xf>
    <xf numFmtId="3" fontId="20" fillId="16" borderId="48" xfId="0" applyNumberFormat="1" applyFont="1" applyFill="1" applyBorder="1" applyAlignment="1">
      <alignment horizontal="right" vertical="top" wrapText="1"/>
    </xf>
    <xf numFmtId="164" fontId="5" fillId="0" borderId="7" xfId="0" applyNumberFormat="1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vertical="top" wrapText="1"/>
    </xf>
    <xf numFmtId="3" fontId="20" fillId="16" borderId="113" xfId="0" applyNumberFormat="1" applyFont="1" applyFill="1" applyBorder="1" applyAlignment="1">
      <alignment horizontal="right" vertical="top" wrapText="1"/>
    </xf>
    <xf numFmtId="3" fontId="3" fillId="3" borderId="89" xfId="0" applyNumberFormat="1" applyFont="1" applyFill="1" applyBorder="1" applyAlignment="1">
      <alignment horizontal="right" vertical="top" wrapText="1"/>
    </xf>
    <xf numFmtId="3" fontId="20" fillId="16" borderId="97" xfId="0" applyNumberFormat="1" applyFont="1" applyFill="1" applyBorder="1" applyAlignment="1">
      <alignment horizontal="right" vertical="top" wrapText="1"/>
    </xf>
    <xf numFmtId="3" fontId="20" fillId="3" borderId="17" xfId="0" applyNumberFormat="1" applyFont="1" applyFill="1" applyBorder="1" applyAlignment="1">
      <alignment horizontal="right" vertical="top" wrapText="1"/>
    </xf>
    <xf numFmtId="3" fontId="33" fillId="8" borderId="32" xfId="0" applyNumberFormat="1" applyFont="1" applyFill="1" applyBorder="1" applyAlignment="1">
      <alignment horizontal="right" vertical="top"/>
    </xf>
    <xf numFmtId="3" fontId="5" fillId="3" borderId="15" xfId="0" applyNumberFormat="1" applyFont="1" applyFill="1" applyBorder="1" applyAlignment="1">
      <alignment horizontal="right" vertical="top"/>
    </xf>
    <xf numFmtId="3" fontId="3" fillId="3" borderId="66" xfId="0" applyNumberFormat="1" applyFont="1" applyFill="1" applyBorder="1" applyAlignment="1">
      <alignment horizontal="right" vertical="top"/>
    </xf>
    <xf numFmtId="3" fontId="3" fillId="3" borderId="17" xfId="0" applyNumberFormat="1" applyFont="1" applyFill="1" applyBorder="1" applyAlignment="1">
      <alignment horizontal="right" vertical="top"/>
    </xf>
    <xf numFmtId="3" fontId="3" fillId="3" borderId="28" xfId="0" applyNumberFormat="1" applyFont="1" applyFill="1" applyBorder="1" applyAlignment="1">
      <alignment horizontal="right" vertical="top" wrapText="1"/>
    </xf>
    <xf numFmtId="3" fontId="5" fillId="8" borderId="32" xfId="0" applyNumberFormat="1" applyFont="1" applyFill="1" applyBorder="1" applyAlignment="1">
      <alignment horizontal="right" vertical="top"/>
    </xf>
    <xf numFmtId="3" fontId="5" fillId="2" borderId="80" xfId="0" applyNumberFormat="1" applyFont="1" applyFill="1" applyBorder="1" applyAlignment="1">
      <alignment horizontal="right" vertical="top"/>
    </xf>
    <xf numFmtId="3" fontId="3" fillId="0" borderId="39" xfId="0" applyNumberFormat="1" applyFont="1" applyBorder="1" applyAlignment="1">
      <alignment horizontal="right" vertical="top"/>
    </xf>
    <xf numFmtId="3" fontId="3" fillId="0" borderId="28" xfId="0" applyNumberFormat="1" applyFont="1" applyBorder="1" applyAlignment="1">
      <alignment horizontal="right" vertical="top"/>
    </xf>
    <xf numFmtId="3" fontId="3" fillId="0" borderId="36" xfId="0" applyNumberFormat="1" applyFont="1" applyBorder="1" applyAlignment="1">
      <alignment horizontal="right" vertical="top"/>
    </xf>
    <xf numFmtId="3" fontId="3" fillId="0" borderId="14" xfId="0" applyNumberFormat="1" applyFont="1" applyBorder="1" applyAlignment="1">
      <alignment horizontal="right" vertical="top"/>
    </xf>
    <xf numFmtId="3" fontId="3" fillId="0" borderId="15" xfId="0" applyNumberFormat="1" applyFont="1" applyBorder="1" applyAlignment="1">
      <alignment horizontal="right" vertical="top"/>
    </xf>
    <xf numFmtId="3" fontId="3" fillId="0" borderId="17" xfId="0" applyNumberFormat="1" applyFont="1" applyBorder="1" applyAlignment="1">
      <alignment horizontal="right" vertical="top"/>
    </xf>
    <xf numFmtId="3" fontId="3" fillId="0" borderId="84" xfId="0" applyNumberFormat="1" applyFont="1" applyBorder="1" applyAlignment="1">
      <alignment horizontal="right" vertical="top"/>
    </xf>
    <xf numFmtId="3" fontId="3" fillId="0" borderId="85" xfId="0" applyNumberFormat="1" applyFont="1" applyBorder="1" applyAlignment="1">
      <alignment horizontal="right" vertical="top"/>
    </xf>
    <xf numFmtId="0" fontId="3" fillId="0" borderId="82" xfId="0" applyFont="1" applyBorder="1" applyAlignment="1">
      <alignment vertical="top"/>
    </xf>
    <xf numFmtId="0" fontId="5" fillId="8" borderId="76" xfId="0" applyFont="1" applyFill="1" applyBorder="1" applyAlignment="1">
      <alignment horizontal="center" vertical="top"/>
    </xf>
    <xf numFmtId="3" fontId="3" fillId="3" borderId="122" xfId="0" applyNumberFormat="1" applyFont="1" applyFill="1" applyBorder="1" applyAlignment="1">
      <alignment horizontal="right" vertical="top" wrapText="1"/>
    </xf>
    <xf numFmtId="3" fontId="3" fillId="7" borderId="63" xfId="0" applyNumberFormat="1" applyFont="1" applyFill="1" applyBorder="1" applyAlignment="1">
      <alignment horizontal="right" vertical="top"/>
    </xf>
    <xf numFmtId="3" fontId="3" fillId="3" borderId="14" xfId="0" applyNumberFormat="1" applyFont="1" applyFill="1" applyBorder="1" applyAlignment="1">
      <alignment horizontal="right" vertical="top" wrapText="1"/>
    </xf>
    <xf numFmtId="3" fontId="3" fillId="7" borderId="39" xfId="0" applyNumberFormat="1" applyFont="1" applyFill="1" applyBorder="1" applyAlignment="1">
      <alignment horizontal="right" vertical="top" wrapText="1"/>
    </xf>
    <xf numFmtId="3" fontId="5" fillId="8" borderId="50" xfId="0" applyNumberFormat="1" applyFont="1" applyFill="1" applyBorder="1" applyAlignment="1">
      <alignment horizontal="right" vertical="top"/>
    </xf>
    <xf numFmtId="3" fontId="3" fillId="3" borderId="43" xfId="0" applyNumberFormat="1" applyFont="1" applyFill="1" applyBorder="1" applyAlignment="1">
      <alignment horizontal="right" vertical="top" wrapText="1"/>
    </xf>
    <xf numFmtId="3" fontId="3" fillId="3" borderId="116" xfId="0" applyNumberFormat="1" applyFont="1" applyFill="1" applyBorder="1" applyAlignment="1">
      <alignment horizontal="right" vertical="top" wrapText="1"/>
    </xf>
    <xf numFmtId="3" fontId="3" fillId="3" borderId="43" xfId="0" applyNumberFormat="1" applyFont="1" applyFill="1" applyBorder="1" applyAlignment="1">
      <alignment horizontal="right" vertical="top"/>
    </xf>
    <xf numFmtId="3" fontId="3" fillId="0" borderId="84" xfId="0" applyNumberFormat="1" applyFont="1" applyFill="1" applyBorder="1" applyAlignment="1">
      <alignment horizontal="right" vertical="top"/>
    </xf>
    <xf numFmtId="3" fontId="3" fillId="7" borderId="50" xfId="0" applyNumberFormat="1" applyFont="1" applyFill="1" applyBorder="1" applyAlignment="1">
      <alignment horizontal="right" vertical="top"/>
    </xf>
    <xf numFmtId="3" fontId="3" fillId="3" borderId="93" xfId="0" applyNumberFormat="1" applyFont="1" applyFill="1" applyBorder="1" applyAlignment="1">
      <alignment horizontal="right" vertical="top" wrapText="1"/>
    </xf>
    <xf numFmtId="3" fontId="20" fillId="3" borderId="36" xfId="0" applyNumberFormat="1" applyFont="1" applyFill="1" applyBorder="1" applyAlignment="1">
      <alignment horizontal="right" vertical="top"/>
    </xf>
    <xf numFmtId="3" fontId="3" fillId="0" borderId="43" xfId="0" applyNumberFormat="1" applyFont="1" applyFill="1" applyBorder="1" applyAlignment="1">
      <alignment horizontal="right" vertical="top"/>
    </xf>
    <xf numFmtId="3" fontId="20" fillId="7" borderId="109" xfId="0" applyNumberFormat="1" applyFont="1" applyFill="1" applyBorder="1" applyAlignment="1">
      <alignment horizontal="right" vertical="top" wrapText="1"/>
    </xf>
    <xf numFmtId="3" fontId="20" fillId="7" borderId="97" xfId="0" applyNumberFormat="1" applyFont="1" applyFill="1" applyBorder="1" applyAlignment="1">
      <alignment horizontal="right" vertical="top" wrapText="1"/>
    </xf>
    <xf numFmtId="3" fontId="20" fillId="7" borderId="39" xfId="0" applyNumberFormat="1" applyFont="1" applyFill="1" applyBorder="1" applyAlignment="1">
      <alignment horizontal="right" vertical="top"/>
    </xf>
    <xf numFmtId="3" fontId="20" fillId="7" borderId="17" xfId="0" applyNumberFormat="1" applyFont="1" applyFill="1" applyBorder="1" applyAlignment="1">
      <alignment horizontal="right" vertical="top"/>
    </xf>
    <xf numFmtId="3" fontId="3" fillId="0" borderId="39" xfId="0" applyNumberFormat="1" applyFont="1" applyFill="1" applyBorder="1" applyAlignment="1">
      <alignment horizontal="right" vertical="top"/>
    </xf>
    <xf numFmtId="3" fontId="3" fillId="0" borderId="17" xfId="0" applyNumberFormat="1" applyFont="1" applyFill="1" applyBorder="1" applyAlignment="1">
      <alignment horizontal="right" vertical="top"/>
    </xf>
    <xf numFmtId="3" fontId="33" fillId="8" borderId="2" xfId="0" applyNumberFormat="1" applyFont="1" applyFill="1" applyBorder="1" applyAlignment="1">
      <alignment horizontal="right" vertical="top"/>
    </xf>
    <xf numFmtId="3" fontId="33" fillId="2" borderId="4" xfId="0" applyNumberFormat="1" applyFont="1" applyFill="1" applyBorder="1" applyAlignment="1">
      <alignment horizontal="right" vertical="top"/>
    </xf>
    <xf numFmtId="3" fontId="3" fillId="0" borderId="28" xfId="0" applyNumberFormat="1" applyFont="1" applyFill="1" applyBorder="1" applyAlignment="1">
      <alignment horizontal="right" vertical="top"/>
    </xf>
    <xf numFmtId="3" fontId="3" fillId="7" borderId="17" xfId="0" applyNumberFormat="1" applyFont="1" applyFill="1" applyBorder="1" applyAlignment="1">
      <alignment horizontal="right" vertical="top" wrapText="1"/>
    </xf>
    <xf numFmtId="3" fontId="3" fillId="3" borderId="36" xfId="0" applyNumberFormat="1" applyFont="1" applyFill="1" applyBorder="1" applyAlignment="1">
      <alignment horizontal="right" vertical="top"/>
    </xf>
    <xf numFmtId="3" fontId="3" fillId="3" borderId="28" xfId="0" applyNumberFormat="1" applyFont="1" applyFill="1" applyBorder="1" applyAlignment="1">
      <alignment horizontal="right" vertical="top"/>
    </xf>
    <xf numFmtId="3" fontId="20" fillId="16" borderId="109" xfId="0" applyNumberFormat="1" applyFont="1" applyFill="1" applyBorder="1" applyAlignment="1">
      <alignment horizontal="right" vertical="top" wrapText="1"/>
    </xf>
    <xf numFmtId="3" fontId="20" fillId="3" borderId="17" xfId="0" applyNumberFormat="1" applyFont="1" applyFill="1" applyBorder="1" applyAlignment="1">
      <alignment vertical="top" wrapText="1"/>
    </xf>
    <xf numFmtId="3" fontId="20" fillId="7" borderId="36" xfId="0" applyNumberFormat="1" applyFont="1" applyFill="1" applyBorder="1" applyAlignment="1">
      <alignment vertical="top"/>
    </xf>
    <xf numFmtId="3" fontId="20" fillId="3" borderId="28" xfId="0" applyNumberFormat="1" applyFont="1" applyFill="1" applyBorder="1" applyAlignment="1">
      <alignment vertical="top" wrapText="1"/>
    </xf>
    <xf numFmtId="3" fontId="20" fillId="3" borderId="15" xfId="0" applyNumberFormat="1" applyFont="1" applyFill="1" applyBorder="1" applyAlignment="1">
      <alignment vertical="top" wrapText="1"/>
    </xf>
    <xf numFmtId="3" fontId="20" fillId="3" borderId="39" xfId="0" applyNumberFormat="1" applyFont="1" applyFill="1" applyBorder="1" applyAlignment="1">
      <alignment vertical="top" wrapText="1"/>
    </xf>
    <xf numFmtId="3" fontId="20" fillId="7" borderId="125" xfId="0" applyNumberFormat="1" applyFont="1" applyFill="1" applyBorder="1" applyAlignment="1">
      <alignment vertical="top"/>
    </xf>
    <xf numFmtId="3" fontId="33" fillId="8" borderId="62" xfId="0" applyNumberFormat="1" applyFont="1" applyFill="1" applyBorder="1" applyAlignment="1">
      <alignment vertical="top"/>
    </xf>
    <xf numFmtId="3" fontId="20" fillId="3" borderId="36" xfId="0" applyNumberFormat="1" applyFont="1" applyFill="1" applyBorder="1" applyAlignment="1">
      <alignment vertical="top" wrapText="1"/>
    </xf>
    <xf numFmtId="3" fontId="20" fillId="3" borderId="14" xfId="0" applyNumberFormat="1" applyFont="1" applyFill="1" applyBorder="1" applyAlignment="1">
      <alignment vertical="top" wrapText="1"/>
    </xf>
    <xf numFmtId="3" fontId="3" fillId="3" borderId="53" xfId="0" applyNumberFormat="1" applyFont="1" applyFill="1" applyBorder="1" applyAlignment="1">
      <alignment vertical="top" wrapText="1"/>
    </xf>
    <xf numFmtId="3" fontId="3" fillId="3" borderId="79" xfId="0" applyNumberFormat="1" applyFont="1" applyFill="1" applyBorder="1" applyAlignment="1">
      <alignment vertical="top" wrapText="1"/>
    </xf>
    <xf numFmtId="164" fontId="3" fillId="3" borderId="15" xfId="0" applyNumberFormat="1" applyFont="1" applyFill="1" applyBorder="1" applyAlignment="1">
      <alignment vertical="top" wrapText="1"/>
    </xf>
    <xf numFmtId="3" fontId="3" fillId="3" borderId="32" xfId="0" applyNumberFormat="1" applyFont="1" applyFill="1" applyBorder="1" applyAlignment="1">
      <alignment vertical="top" wrapText="1"/>
    </xf>
    <xf numFmtId="3" fontId="3" fillId="3" borderId="27" xfId="0" applyNumberFormat="1" applyFont="1" applyFill="1" applyBorder="1" applyAlignment="1">
      <alignment vertical="top" wrapText="1"/>
    </xf>
    <xf numFmtId="3" fontId="3" fillId="3" borderId="18" xfId="0" applyNumberFormat="1" applyFont="1" applyFill="1" applyBorder="1" applyAlignment="1">
      <alignment vertical="top" wrapText="1"/>
    </xf>
    <xf numFmtId="3" fontId="3" fillId="3" borderId="28" xfId="0" applyNumberFormat="1" applyFont="1" applyFill="1" applyBorder="1" applyAlignment="1">
      <alignment vertical="top" wrapText="1"/>
    </xf>
    <xf numFmtId="3" fontId="33" fillId="8" borderId="32" xfId="0" applyNumberFormat="1" applyFont="1" applyFill="1" applyBorder="1" applyAlignment="1">
      <alignment vertical="top"/>
    </xf>
    <xf numFmtId="3" fontId="20" fillId="3" borderId="27" xfId="0" applyNumberFormat="1" applyFont="1" applyFill="1" applyBorder="1" applyAlignment="1">
      <alignment vertical="top" wrapText="1"/>
    </xf>
    <xf numFmtId="3" fontId="20" fillId="3" borderId="18" xfId="0" applyNumberFormat="1" applyFont="1" applyFill="1" applyBorder="1" applyAlignment="1">
      <alignment vertical="top" wrapText="1"/>
    </xf>
    <xf numFmtId="3" fontId="20" fillId="7" borderId="18" xfId="0" applyNumberFormat="1" applyFont="1" applyFill="1" applyBorder="1" applyAlignment="1">
      <alignment vertical="top"/>
    </xf>
    <xf numFmtId="3" fontId="20" fillId="7" borderId="28" xfId="0" applyNumberFormat="1" applyFont="1" applyFill="1" applyBorder="1" applyAlignment="1">
      <alignment vertical="top"/>
    </xf>
    <xf numFmtId="3" fontId="20" fillId="3" borderId="94" xfId="0" applyNumberFormat="1" applyFont="1" applyFill="1" applyBorder="1" applyAlignment="1">
      <alignment vertical="top" wrapText="1"/>
    </xf>
    <xf numFmtId="3" fontId="33" fillId="2" borderId="80" xfId="0" applyNumberFormat="1" applyFont="1" applyFill="1" applyBorder="1" applyAlignment="1">
      <alignment vertical="top"/>
    </xf>
    <xf numFmtId="3" fontId="33" fillId="9" borderId="80" xfId="0" applyNumberFormat="1" applyFont="1" applyFill="1" applyBorder="1" applyAlignment="1">
      <alignment vertical="top"/>
    </xf>
    <xf numFmtId="164" fontId="3" fillId="0" borderId="0" xfId="0" applyNumberFormat="1" applyFont="1" applyFill="1" applyAlignment="1">
      <alignment vertical="top"/>
    </xf>
    <xf numFmtId="164" fontId="3" fillId="0" borderId="0" xfId="0" applyNumberFormat="1" applyFont="1" applyFill="1" applyBorder="1" applyAlignment="1">
      <alignment vertical="top"/>
    </xf>
    <xf numFmtId="3" fontId="33" fillId="5" borderId="80" xfId="0" applyNumberFormat="1" applyFont="1" applyFill="1" applyBorder="1" applyAlignment="1">
      <alignment vertical="top"/>
    </xf>
    <xf numFmtId="0" fontId="11" fillId="0" borderId="32" xfId="0" applyFont="1" applyBorder="1" applyAlignment="1">
      <alignment vertical="top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87" xfId="0" applyFont="1" applyFill="1" applyBorder="1" applyAlignment="1">
      <alignment horizontal="center" vertical="center" wrapText="1"/>
    </xf>
    <xf numFmtId="0" fontId="3" fillId="7" borderId="31" xfId="0" applyNumberFormat="1" applyFont="1" applyFill="1" applyBorder="1" applyAlignment="1">
      <alignment vertical="center" textRotation="90"/>
    </xf>
    <xf numFmtId="0" fontId="3" fillId="7" borderId="32" xfId="0" applyNumberFormat="1" applyFont="1" applyFill="1" applyBorder="1" applyAlignment="1">
      <alignment vertical="center" textRotation="90"/>
    </xf>
    <xf numFmtId="0" fontId="11" fillId="0" borderId="9" xfId="0" applyFont="1" applyBorder="1" applyAlignment="1">
      <alignment vertical="top"/>
    </xf>
    <xf numFmtId="3" fontId="33" fillId="2" borderId="74" xfId="0" applyNumberFormat="1" applyFont="1" applyFill="1" applyBorder="1" applyAlignment="1">
      <alignment horizontal="right" vertical="top"/>
    </xf>
    <xf numFmtId="3" fontId="33" fillId="2" borderId="80" xfId="0" applyNumberFormat="1" applyFont="1" applyFill="1" applyBorder="1" applyAlignment="1">
      <alignment horizontal="right" vertical="top"/>
    </xf>
    <xf numFmtId="0" fontId="3" fillId="0" borderId="38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5" fillId="0" borderId="38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3" fillId="3" borderId="50" xfId="0" applyFont="1" applyFill="1" applyBorder="1" applyAlignment="1">
      <alignment horizontal="left" vertical="top" wrapText="1"/>
    </xf>
    <xf numFmtId="0" fontId="5" fillId="3" borderId="35" xfId="0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7" borderId="18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3" fillId="3" borderId="28" xfId="0" applyFont="1" applyFill="1" applyBorder="1" applyAlignment="1">
      <alignment horizontal="left" vertical="top" wrapText="1"/>
    </xf>
    <xf numFmtId="0" fontId="5" fillId="3" borderId="38" xfId="0" applyFont="1" applyFill="1" applyBorder="1" applyAlignment="1">
      <alignment horizontal="center" vertical="top" wrapText="1"/>
    </xf>
    <xf numFmtId="0" fontId="5" fillId="3" borderId="30" xfId="0" applyFont="1" applyFill="1" applyBorder="1" applyAlignment="1">
      <alignment horizontal="center" vertical="top" wrapText="1"/>
    </xf>
    <xf numFmtId="49" fontId="5" fillId="3" borderId="18" xfId="0" applyNumberFormat="1" applyFont="1" applyFill="1" applyBorder="1" applyAlignment="1">
      <alignment horizontal="center" vertical="top" wrapText="1"/>
    </xf>
    <xf numFmtId="49" fontId="5" fillId="7" borderId="11" xfId="0" applyNumberFormat="1" applyFont="1" applyFill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0" fontId="3" fillId="0" borderId="49" xfId="0" applyFont="1" applyFill="1" applyBorder="1" applyAlignment="1">
      <alignment horizontal="left" vertical="top" wrapText="1"/>
    </xf>
    <xf numFmtId="0" fontId="11" fillId="0" borderId="49" xfId="0" applyFont="1" applyBorder="1" applyAlignment="1">
      <alignment horizontal="left" vertical="top" wrapText="1"/>
    </xf>
    <xf numFmtId="164" fontId="3" fillId="0" borderId="7" xfId="0" applyNumberFormat="1" applyFont="1" applyFill="1" applyBorder="1" applyAlignment="1">
      <alignment horizontal="left" vertical="center" textRotation="90" wrapText="1"/>
    </xf>
    <xf numFmtId="49" fontId="5" fillId="0" borderId="28" xfId="0" applyNumberFormat="1" applyFont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0" borderId="129" xfId="0" applyFont="1" applyBorder="1" applyAlignment="1">
      <alignment vertical="top" wrapText="1"/>
    </xf>
    <xf numFmtId="0" fontId="11" fillId="0" borderId="89" xfId="0" applyFont="1" applyBorder="1" applyAlignment="1">
      <alignment vertical="top" wrapText="1"/>
    </xf>
    <xf numFmtId="0" fontId="3" fillId="8" borderId="71" xfId="0" applyFont="1" applyFill="1" applyBorder="1" applyAlignment="1">
      <alignment horizontal="left" vertical="top" wrapText="1"/>
    </xf>
    <xf numFmtId="0" fontId="3" fillId="8" borderId="66" xfId="0" applyFont="1" applyFill="1" applyBorder="1" applyAlignment="1">
      <alignment horizontal="left" vertical="top" wrapText="1"/>
    </xf>
    <xf numFmtId="0" fontId="3" fillId="8" borderId="44" xfId="0" applyFont="1" applyFill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32" xfId="0" applyFont="1" applyBorder="1" applyAlignment="1">
      <alignment vertical="top"/>
    </xf>
    <xf numFmtId="0" fontId="3" fillId="2" borderId="74" xfId="0" applyFont="1" applyFill="1" applyBorder="1" applyAlignment="1">
      <alignment horizontal="center" vertical="top" wrapText="1"/>
    </xf>
    <xf numFmtId="0" fontId="3" fillId="2" borderId="75" xfId="0" applyFont="1" applyFill="1" applyBorder="1" applyAlignment="1">
      <alignment horizontal="center" vertical="top" wrapText="1"/>
    </xf>
    <xf numFmtId="49" fontId="5" fillId="2" borderId="11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7" borderId="31" xfId="0" applyNumberFormat="1" applyFont="1" applyFill="1" applyBorder="1" applyAlignment="1">
      <alignment horizontal="center" vertical="top"/>
    </xf>
    <xf numFmtId="49" fontId="5" fillId="2" borderId="74" xfId="0" applyNumberFormat="1" applyFont="1" applyFill="1" applyBorder="1" applyAlignment="1">
      <alignment horizontal="right" vertical="top"/>
    </xf>
    <xf numFmtId="49" fontId="5" fillId="2" borderId="75" xfId="0" applyNumberFormat="1" applyFont="1" applyFill="1" applyBorder="1" applyAlignment="1">
      <alignment horizontal="right" vertical="top"/>
    </xf>
    <xf numFmtId="49" fontId="5" fillId="7" borderId="26" xfId="0" applyNumberFormat="1" applyFont="1" applyFill="1" applyBorder="1" applyAlignment="1">
      <alignment horizontal="center" vertical="top"/>
    </xf>
    <xf numFmtId="0" fontId="3" fillId="7" borderId="43" xfId="0" applyFont="1" applyFill="1" applyBorder="1" applyAlignment="1">
      <alignment horizontal="left" vertical="top" wrapText="1"/>
    </xf>
    <xf numFmtId="0" fontId="3" fillId="7" borderId="50" xfId="0" applyFont="1" applyFill="1" applyBorder="1" applyAlignment="1">
      <alignment horizontal="left" vertical="top" wrapText="1"/>
    </xf>
    <xf numFmtId="0" fontId="3" fillId="7" borderId="58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0" fontId="5" fillId="3" borderId="27" xfId="0" applyFont="1" applyFill="1" applyBorder="1" applyAlignment="1">
      <alignment vertical="top" wrapText="1"/>
    </xf>
    <xf numFmtId="0" fontId="5" fillId="3" borderId="18" xfId="0" applyFont="1" applyFill="1" applyBorder="1" applyAlignment="1">
      <alignment vertical="top" wrapText="1"/>
    </xf>
    <xf numFmtId="0" fontId="11" fillId="3" borderId="32" xfId="0" applyFont="1" applyFill="1" applyBorder="1" applyAlignment="1">
      <alignment vertical="top" wrapText="1"/>
    </xf>
    <xf numFmtId="0" fontId="3" fillId="3" borderId="27" xfId="0" applyFont="1" applyFill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2" fillId="0" borderId="7" xfId="0" applyFont="1" applyFill="1" applyBorder="1" applyAlignment="1">
      <alignment horizontal="center" textRotation="90" wrapText="1"/>
    </xf>
    <xf numFmtId="0" fontId="1" fillId="0" borderId="7" xfId="0" applyFont="1" applyBorder="1" applyAlignment="1">
      <alignment horizontal="center" textRotation="90" wrapText="1"/>
    </xf>
    <xf numFmtId="0" fontId="5" fillId="0" borderId="46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0" fontId="5" fillId="0" borderId="76" xfId="0" applyFont="1" applyFill="1" applyBorder="1" applyAlignment="1">
      <alignment horizontal="center" vertical="top" wrapText="1"/>
    </xf>
    <xf numFmtId="0" fontId="18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3" fillId="2" borderId="57" xfId="0" applyFont="1" applyFill="1" applyBorder="1" applyAlignment="1">
      <alignment horizontal="center" vertical="top" wrapText="1"/>
    </xf>
    <xf numFmtId="49" fontId="5" fillId="0" borderId="33" xfId="0" applyNumberFormat="1" applyFont="1" applyFill="1" applyBorder="1" applyAlignment="1">
      <alignment horizontal="center" vertical="top" wrapText="1"/>
    </xf>
    <xf numFmtId="49" fontId="5" fillId="9" borderId="5" xfId="0" applyNumberFormat="1" applyFont="1" applyFill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0" fontId="3" fillId="7" borderId="38" xfId="0" applyFont="1" applyFill="1" applyBorder="1" applyAlignment="1">
      <alignment horizontal="left" vertical="top" wrapText="1"/>
    </xf>
    <xf numFmtId="49" fontId="5" fillId="9" borderId="35" xfId="0" applyNumberFormat="1" applyFont="1" applyFill="1" applyBorder="1" applyAlignment="1">
      <alignment horizontal="center" vertical="top"/>
    </xf>
    <xf numFmtId="0" fontId="3" fillId="7" borderId="21" xfId="0" applyFont="1" applyFill="1" applyBorder="1" applyAlignment="1">
      <alignment horizontal="left" vertical="top" wrapText="1"/>
    </xf>
    <xf numFmtId="0" fontId="3" fillId="7" borderId="28" xfId="0" applyFont="1" applyFill="1" applyBorder="1" applyAlignment="1">
      <alignment horizontal="left" vertical="top" wrapText="1"/>
    </xf>
    <xf numFmtId="0" fontId="11" fillId="0" borderId="32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3" fillId="7" borderId="36" xfId="0" applyFont="1" applyFill="1" applyBorder="1" applyAlignment="1">
      <alignment horizontal="left" vertical="top" wrapText="1"/>
    </xf>
    <xf numFmtId="0" fontId="5" fillId="3" borderId="68" xfId="0" applyFont="1" applyFill="1" applyBorder="1" applyAlignment="1">
      <alignment horizontal="center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3" borderId="36" xfId="0" applyNumberFormat="1" applyFont="1" applyFill="1" applyBorder="1" applyAlignment="1">
      <alignment horizontal="center" vertical="top"/>
    </xf>
    <xf numFmtId="0" fontId="3" fillId="7" borderId="7" xfId="0" applyFont="1" applyFill="1" applyBorder="1" applyAlignment="1">
      <alignment vertical="top" wrapText="1"/>
    </xf>
    <xf numFmtId="0" fontId="11" fillId="0" borderId="30" xfId="0" applyFont="1" applyBorder="1" applyAlignment="1">
      <alignment vertical="top" wrapText="1"/>
    </xf>
    <xf numFmtId="49" fontId="5" fillId="2" borderId="4" xfId="0" applyNumberFormat="1" applyFont="1" applyFill="1" applyBorder="1" applyAlignment="1">
      <alignment horizontal="left" vertical="top"/>
    </xf>
    <xf numFmtId="49" fontId="5" fillId="2" borderId="26" xfId="0" applyNumberFormat="1" applyFont="1" applyFill="1" applyBorder="1" applyAlignment="1">
      <alignment horizontal="left" vertical="top"/>
    </xf>
    <xf numFmtId="49" fontId="5" fillId="2" borderId="80" xfId="0" applyNumberFormat="1" applyFont="1" applyFill="1" applyBorder="1" applyAlignment="1">
      <alignment horizontal="left" vertical="top"/>
    </xf>
    <xf numFmtId="49" fontId="3" fillId="0" borderId="20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0" fontId="11" fillId="0" borderId="29" xfId="0" applyFont="1" applyBorder="1" applyAlignment="1">
      <alignment horizontal="center" vertical="top" wrapText="1"/>
    </xf>
    <xf numFmtId="0" fontId="3" fillId="3" borderId="49" xfId="0" applyFont="1" applyFill="1" applyBorder="1" applyAlignment="1">
      <alignment horizontal="left" vertical="top" wrapText="1"/>
    </xf>
    <xf numFmtId="0" fontId="11" fillId="3" borderId="19" xfId="0" applyFont="1" applyFill="1" applyBorder="1" applyAlignment="1">
      <alignment horizontal="left" vertical="top" wrapText="1"/>
    </xf>
    <xf numFmtId="164" fontId="3" fillId="0" borderId="7" xfId="0" applyNumberFormat="1" applyFont="1" applyFill="1" applyBorder="1" applyAlignment="1">
      <alignment horizontal="center" vertical="center" textRotation="90" wrapText="1"/>
    </xf>
    <xf numFmtId="0" fontId="11" fillId="0" borderId="30" xfId="0" applyFont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3" fillId="3" borderId="9" xfId="0" applyFont="1" applyFill="1" applyBorder="1" applyAlignment="1">
      <alignment horizontal="center" vertical="center" textRotation="90" wrapText="1"/>
    </xf>
    <xf numFmtId="0" fontId="3" fillId="3" borderId="35" xfId="0" applyFont="1" applyFill="1" applyBorder="1" applyAlignment="1">
      <alignment horizontal="left" vertical="top" wrapText="1"/>
    </xf>
    <xf numFmtId="0" fontId="11" fillId="0" borderId="68" xfId="0" applyFont="1" applyBorder="1" applyAlignment="1">
      <alignment vertical="top"/>
    </xf>
    <xf numFmtId="0" fontId="3" fillId="3" borderId="18" xfId="0" applyFont="1" applyFill="1" applyBorder="1" applyAlignment="1">
      <alignment vertical="top" wrapText="1"/>
    </xf>
    <xf numFmtId="0" fontId="3" fillId="3" borderId="32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top" textRotation="90" wrapText="1"/>
    </xf>
    <xf numFmtId="0" fontId="2" fillId="0" borderId="9" xfId="0" applyFont="1" applyFill="1" applyBorder="1" applyAlignment="1">
      <alignment horizontal="center" vertical="top" textRotation="90" wrapText="1"/>
    </xf>
    <xf numFmtId="0" fontId="3" fillId="3" borderId="9" xfId="0" applyFont="1" applyFill="1" applyBorder="1" applyAlignment="1">
      <alignment horizontal="left" vertical="top" wrapText="1"/>
    </xf>
    <xf numFmtId="0" fontId="10" fillId="3" borderId="27" xfId="0" applyFont="1" applyFill="1" applyBorder="1" applyAlignment="1">
      <alignment vertical="top" wrapText="1"/>
    </xf>
    <xf numFmtId="0" fontId="11" fillId="0" borderId="28" xfId="0" applyFont="1" applyBorder="1" applyAlignment="1">
      <alignment vertical="top" wrapText="1"/>
    </xf>
    <xf numFmtId="0" fontId="5" fillId="4" borderId="76" xfId="0" applyFont="1" applyFill="1" applyBorder="1" applyAlignment="1">
      <alignment horizontal="right" vertical="top" wrapText="1"/>
    </xf>
    <xf numFmtId="0" fontId="5" fillId="4" borderId="33" xfId="0" applyFont="1" applyFill="1" applyBorder="1" applyAlignment="1">
      <alignment horizontal="right" vertical="top" wrapText="1"/>
    </xf>
    <xf numFmtId="0" fontId="5" fillId="4" borderId="34" xfId="0" applyFont="1" applyFill="1" applyBorder="1" applyAlignment="1">
      <alignment horizontal="right" vertical="top" wrapText="1"/>
    </xf>
    <xf numFmtId="0" fontId="3" fillId="3" borderId="38" xfId="0" applyFont="1" applyFill="1" applyBorder="1" applyAlignment="1">
      <alignment horizontal="left" vertical="top" wrapText="1"/>
    </xf>
    <xf numFmtId="0" fontId="3" fillId="0" borderId="71" xfId="0" applyFont="1" applyBorder="1" applyAlignment="1">
      <alignment horizontal="left" vertical="top" wrapText="1"/>
    </xf>
    <xf numFmtId="0" fontId="3" fillId="0" borderId="66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3" borderId="71" xfId="0" applyFont="1" applyFill="1" applyBorder="1" applyAlignment="1">
      <alignment horizontal="left" vertical="top" wrapText="1"/>
    </xf>
    <xf numFmtId="0" fontId="3" fillId="3" borderId="66" xfId="0" applyFont="1" applyFill="1" applyBorder="1" applyAlignment="1">
      <alignment horizontal="left" vertical="top" wrapText="1"/>
    </xf>
    <xf numFmtId="0" fontId="3" fillId="3" borderId="44" xfId="0" applyFont="1" applyFill="1" applyBorder="1" applyAlignment="1">
      <alignment horizontal="left" vertical="top" wrapText="1"/>
    </xf>
    <xf numFmtId="0" fontId="5" fillId="5" borderId="71" xfId="0" applyFont="1" applyFill="1" applyBorder="1" applyAlignment="1">
      <alignment horizontal="right" vertical="top" wrapText="1"/>
    </xf>
    <xf numFmtId="0" fontId="5" fillId="5" borderId="66" xfId="0" applyFont="1" applyFill="1" applyBorder="1" applyAlignment="1">
      <alignment horizontal="right" vertical="top" wrapText="1"/>
    </xf>
    <xf numFmtId="0" fontId="5" fillId="5" borderId="44" xfId="0" applyFont="1" applyFill="1" applyBorder="1" applyAlignment="1">
      <alignment horizontal="right" vertical="top" wrapText="1"/>
    </xf>
    <xf numFmtId="0" fontId="3" fillId="3" borderId="68" xfId="0" applyFont="1" applyFill="1" applyBorder="1" applyAlignment="1">
      <alignment horizontal="left" vertical="top" wrapText="1"/>
    </xf>
    <xf numFmtId="0" fontId="3" fillId="3" borderId="79" xfId="0" applyFont="1" applyFill="1" applyBorder="1" applyAlignment="1">
      <alignment horizontal="left" vertical="top" wrapText="1"/>
    </xf>
    <xf numFmtId="0" fontId="3" fillId="3" borderId="55" xfId="0" applyFont="1" applyFill="1" applyBorder="1" applyAlignment="1">
      <alignment horizontal="left" vertical="top" wrapText="1"/>
    </xf>
    <xf numFmtId="0" fontId="11" fillId="8" borderId="66" xfId="0" applyFont="1" applyFill="1" applyBorder="1" applyAlignment="1">
      <alignment horizontal="left" vertical="top" wrapText="1"/>
    </xf>
    <xf numFmtId="0" fontId="11" fillId="8" borderId="44" xfId="0" applyFont="1" applyFill="1" applyBorder="1" applyAlignment="1">
      <alignment horizontal="left" vertical="top" wrapText="1"/>
    </xf>
    <xf numFmtId="0" fontId="3" fillId="7" borderId="71" xfId="0" applyFont="1" applyFill="1" applyBorder="1" applyAlignment="1">
      <alignment horizontal="left" vertical="top" wrapText="1"/>
    </xf>
    <xf numFmtId="0" fontId="3" fillId="7" borderId="66" xfId="0" applyFont="1" applyFill="1" applyBorder="1" applyAlignment="1">
      <alignment horizontal="left" vertical="top" wrapText="1"/>
    </xf>
    <xf numFmtId="0" fontId="3" fillId="7" borderId="44" xfId="0" applyFont="1" applyFill="1" applyBorder="1" applyAlignment="1">
      <alignment horizontal="left" vertical="top" wrapText="1"/>
    </xf>
    <xf numFmtId="0" fontId="3" fillId="7" borderId="68" xfId="0" applyFont="1" applyFill="1" applyBorder="1" applyAlignment="1">
      <alignment horizontal="left" vertical="top" wrapText="1"/>
    </xf>
    <xf numFmtId="0" fontId="3" fillId="7" borderId="79" xfId="0" applyFont="1" applyFill="1" applyBorder="1" applyAlignment="1">
      <alignment horizontal="left" vertical="top" wrapText="1"/>
    </xf>
    <xf numFmtId="0" fontId="3" fillId="7" borderId="55" xfId="0" applyFont="1" applyFill="1" applyBorder="1" applyAlignment="1">
      <alignment horizontal="left" vertical="top" wrapText="1"/>
    </xf>
    <xf numFmtId="0" fontId="5" fillId="5" borderId="72" xfId="0" applyFont="1" applyFill="1" applyBorder="1" applyAlignment="1">
      <alignment horizontal="right" vertical="top" wrapText="1"/>
    </xf>
    <xf numFmtId="0" fontId="5" fillId="5" borderId="77" xfId="0" applyFont="1" applyFill="1" applyBorder="1" applyAlignment="1">
      <alignment horizontal="right" vertical="top" wrapText="1"/>
    </xf>
    <xf numFmtId="0" fontId="5" fillId="5" borderId="73" xfId="0" applyFont="1" applyFill="1" applyBorder="1" applyAlignment="1">
      <alignment horizontal="right" vertical="top" wrapText="1"/>
    </xf>
    <xf numFmtId="49" fontId="5" fillId="2" borderId="78" xfId="0" applyNumberFormat="1" applyFont="1" applyFill="1" applyBorder="1" applyAlignment="1">
      <alignment horizontal="left" vertical="top"/>
    </xf>
    <xf numFmtId="49" fontId="5" fillId="2" borderId="74" xfId="0" applyNumberFormat="1" applyFont="1" applyFill="1" applyBorder="1" applyAlignment="1">
      <alignment horizontal="left" vertical="top"/>
    </xf>
    <xf numFmtId="49" fontId="5" fillId="2" borderId="75" xfId="0" applyNumberFormat="1" applyFont="1" applyFill="1" applyBorder="1" applyAlignment="1">
      <alignment horizontal="left" vertical="top"/>
    </xf>
    <xf numFmtId="0" fontId="5" fillId="8" borderId="71" xfId="0" applyFont="1" applyFill="1" applyBorder="1" applyAlignment="1">
      <alignment horizontal="right" vertical="top" wrapText="1"/>
    </xf>
    <xf numFmtId="0" fontId="11" fillId="8" borderId="66" xfId="0" applyFont="1" applyFill="1" applyBorder="1" applyAlignment="1">
      <alignment horizontal="right" vertical="top" wrapText="1"/>
    </xf>
    <xf numFmtId="0" fontId="11" fillId="8" borderId="44" xfId="0" applyFont="1" applyFill="1" applyBorder="1" applyAlignment="1">
      <alignment horizontal="right" vertical="top" wrapText="1"/>
    </xf>
    <xf numFmtId="0" fontId="3" fillId="0" borderId="53" xfId="0" applyNumberFormat="1" applyFont="1" applyBorder="1" applyAlignment="1">
      <alignment vertical="top" wrapText="1"/>
    </xf>
    <xf numFmtId="0" fontId="5" fillId="0" borderId="57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49" fontId="5" fillId="9" borderId="78" xfId="0" applyNumberFormat="1" applyFont="1" applyFill="1" applyBorder="1" applyAlignment="1">
      <alignment horizontal="right" vertical="top"/>
    </xf>
    <xf numFmtId="49" fontId="5" fillId="9" borderId="74" xfId="0" applyNumberFormat="1" applyFont="1" applyFill="1" applyBorder="1" applyAlignment="1">
      <alignment horizontal="right" vertical="top"/>
    </xf>
    <xf numFmtId="49" fontId="5" fillId="9" borderId="75" xfId="0" applyNumberFormat="1" applyFont="1" applyFill="1" applyBorder="1" applyAlignment="1">
      <alignment horizontal="right" vertical="top"/>
    </xf>
    <xf numFmtId="0" fontId="3" fillId="9" borderId="57" xfId="0" applyFont="1" applyFill="1" applyBorder="1" applyAlignment="1">
      <alignment horizontal="center" vertical="top"/>
    </xf>
    <xf numFmtId="0" fontId="3" fillId="9" borderId="74" xfId="0" applyFont="1" applyFill="1" applyBorder="1" applyAlignment="1">
      <alignment horizontal="center" vertical="top"/>
    </xf>
    <xf numFmtId="0" fontId="3" fillId="9" borderId="75" xfId="0" applyFont="1" applyFill="1" applyBorder="1" applyAlignment="1">
      <alignment horizontal="center" vertical="top"/>
    </xf>
    <xf numFmtId="49" fontId="5" fillId="5" borderId="78" xfId="0" applyNumberFormat="1" applyFont="1" applyFill="1" applyBorder="1" applyAlignment="1">
      <alignment horizontal="right" vertical="top"/>
    </xf>
    <xf numFmtId="49" fontId="5" fillId="5" borderId="74" xfId="0" applyNumberFormat="1" applyFont="1" applyFill="1" applyBorder="1" applyAlignment="1">
      <alignment horizontal="right" vertical="top"/>
    </xf>
    <xf numFmtId="49" fontId="5" fillId="5" borderId="75" xfId="0" applyNumberFormat="1" applyFont="1" applyFill="1" applyBorder="1" applyAlignment="1">
      <alignment horizontal="right" vertical="top"/>
    </xf>
    <xf numFmtId="0" fontId="3" fillId="5" borderId="57" xfId="0" applyFont="1" applyFill="1" applyBorder="1" applyAlignment="1">
      <alignment horizontal="center" vertical="top"/>
    </xf>
    <xf numFmtId="0" fontId="3" fillId="5" borderId="74" xfId="0" applyFont="1" applyFill="1" applyBorder="1" applyAlignment="1">
      <alignment horizontal="center" vertical="top"/>
    </xf>
    <xf numFmtId="0" fontId="3" fillId="5" borderId="75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center" textRotation="90" wrapText="1"/>
    </xf>
    <xf numFmtId="0" fontId="17" fillId="0" borderId="7" xfId="0" applyFont="1" applyBorder="1" applyAlignment="1">
      <alignment horizontal="center" vertical="center" textRotation="90" wrapText="1"/>
    </xf>
    <xf numFmtId="0" fontId="11" fillId="0" borderId="18" xfId="0" applyFont="1" applyBorder="1" applyAlignment="1">
      <alignment horizontal="left" vertical="top" wrapText="1"/>
    </xf>
    <xf numFmtId="0" fontId="3" fillId="7" borderId="18" xfId="0" applyFont="1" applyFill="1" applyBorder="1" applyAlignment="1">
      <alignment vertical="top" wrapText="1"/>
    </xf>
    <xf numFmtId="0" fontId="11" fillId="7" borderId="32" xfId="0" applyFont="1" applyFill="1" applyBorder="1" applyAlignment="1">
      <alignment vertical="top" wrapText="1"/>
    </xf>
    <xf numFmtId="49" fontId="5" fillId="2" borderId="26" xfId="0" applyNumberFormat="1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center" textRotation="90" wrapText="1"/>
    </xf>
    <xf numFmtId="0" fontId="11" fillId="0" borderId="9" xfId="0" applyFont="1" applyBorder="1" applyAlignment="1"/>
    <xf numFmtId="0" fontId="3" fillId="7" borderId="21" xfId="0" applyFont="1" applyFill="1" applyBorder="1" applyAlignment="1">
      <alignment vertical="top" wrapText="1"/>
    </xf>
    <xf numFmtId="0" fontId="11" fillId="7" borderId="28" xfId="0" applyFont="1" applyFill="1" applyBorder="1" applyAlignment="1">
      <alignment vertical="top" wrapText="1"/>
    </xf>
    <xf numFmtId="0" fontId="3" fillId="0" borderId="46" xfId="0" applyFont="1" applyFill="1" applyBorder="1" applyAlignment="1">
      <alignment horizontal="center" vertical="center" textRotation="90" wrapText="1"/>
    </xf>
    <xf numFmtId="0" fontId="3" fillId="0" borderId="76" xfId="0" applyFont="1" applyFill="1" applyBorder="1" applyAlignment="1">
      <alignment horizontal="center" vertical="center" textRotation="90" wrapText="1"/>
    </xf>
    <xf numFmtId="49" fontId="5" fillId="0" borderId="26" xfId="0" applyNumberFormat="1" applyFont="1" applyBorder="1" applyAlignment="1">
      <alignment horizontal="center" vertical="top"/>
    </xf>
    <xf numFmtId="49" fontId="5" fillId="0" borderId="11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0" fontId="3" fillId="3" borderId="27" xfId="0" applyFont="1" applyFill="1" applyBorder="1" applyAlignment="1">
      <alignment horizontal="left" vertical="top" wrapText="1"/>
    </xf>
    <xf numFmtId="0" fontId="3" fillId="3" borderId="32" xfId="0" applyFont="1" applyFill="1" applyBorder="1" applyAlignment="1">
      <alignment horizontal="left" vertical="top" wrapText="1"/>
    </xf>
    <xf numFmtId="0" fontId="11" fillId="0" borderId="18" xfId="0" applyFont="1" applyBorder="1" applyAlignment="1">
      <alignment horizontal="center" vertical="top"/>
    </xf>
    <xf numFmtId="0" fontId="3" fillId="0" borderId="7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43" fontId="3" fillId="0" borderId="7" xfId="1" applyFont="1" applyFill="1" applyBorder="1" applyAlignment="1">
      <alignment horizontal="left" vertical="top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11" fillId="0" borderId="32" xfId="0" applyFont="1" applyBorder="1" applyAlignment="1"/>
    <xf numFmtId="49" fontId="5" fillId="7" borderId="58" xfId="0" applyNumberFormat="1" applyFont="1" applyFill="1" applyBorder="1" applyAlignment="1">
      <alignment horizontal="center" vertical="top"/>
    </xf>
    <xf numFmtId="0" fontId="3" fillId="3" borderId="48" xfId="0" applyFont="1" applyFill="1" applyBorder="1" applyAlignment="1">
      <alignment horizontal="left" vertical="top" wrapText="1"/>
    </xf>
    <xf numFmtId="0" fontId="5" fillId="3" borderId="43" xfId="0" applyFont="1" applyFill="1" applyBorder="1" applyAlignment="1">
      <alignment horizontal="left" vertical="top" wrapText="1"/>
    </xf>
    <xf numFmtId="0" fontId="11" fillId="0" borderId="36" xfId="0" applyFont="1" applyBorder="1" applyAlignment="1">
      <alignment horizontal="left" vertical="top" wrapText="1"/>
    </xf>
    <xf numFmtId="164" fontId="5" fillId="0" borderId="38" xfId="0" applyNumberFormat="1" applyFont="1" applyFill="1" applyBorder="1" applyAlignment="1">
      <alignment horizontal="center" vertical="top" wrapText="1"/>
    </xf>
    <xf numFmtId="164" fontId="5" fillId="0" borderId="7" xfId="0" applyNumberFormat="1" applyFont="1" applyFill="1" applyBorder="1" applyAlignment="1">
      <alignment horizontal="center" vertical="top" wrapText="1"/>
    </xf>
    <xf numFmtId="0" fontId="23" fillId="0" borderId="3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3" fillId="0" borderId="33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 textRotation="90" shrinkToFit="1"/>
    </xf>
    <xf numFmtId="0" fontId="3" fillId="0" borderId="7" xfId="0" applyFont="1" applyBorder="1" applyAlignment="1">
      <alignment horizontal="center" vertical="center" textRotation="90" shrinkToFit="1"/>
    </xf>
    <xf numFmtId="0" fontId="3" fillId="0" borderId="9" xfId="0" applyFont="1" applyBorder="1" applyAlignment="1">
      <alignment horizontal="center" vertical="center" textRotation="90" shrinkToFit="1"/>
    </xf>
    <xf numFmtId="0" fontId="3" fillId="0" borderId="26" xfId="0" applyFont="1" applyBorder="1" applyAlignment="1">
      <alignment horizontal="center" vertical="center" textRotation="90" shrinkToFit="1"/>
    </xf>
    <xf numFmtId="0" fontId="3" fillId="0" borderId="11" xfId="0" applyFont="1" applyBorder="1" applyAlignment="1">
      <alignment horizontal="center" vertical="center" textRotation="90" shrinkToFit="1"/>
    </xf>
    <xf numFmtId="0" fontId="3" fillId="0" borderId="31" xfId="0" applyFont="1" applyBorder="1" applyAlignment="1">
      <alignment horizontal="center" vertical="center" textRotation="90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textRotation="90" shrinkToFit="1"/>
    </xf>
    <xf numFmtId="0" fontId="3" fillId="0" borderId="35" xfId="0" applyFont="1" applyBorder="1" applyAlignment="1">
      <alignment horizontal="center" vertical="center" textRotation="90" shrinkToFit="1"/>
    </xf>
    <xf numFmtId="0" fontId="3" fillId="0" borderId="76" xfId="0" applyFont="1" applyBorder="1" applyAlignment="1">
      <alignment horizontal="center" vertical="center" textRotation="90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164" fontId="5" fillId="0" borderId="30" xfId="0" applyNumberFormat="1" applyFont="1" applyFill="1" applyBorder="1" applyAlignment="1">
      <alignment horizontal="center" vertical="top" wrapText="1"/>
    </xf>
    <xf numFmtId="49" fontId="8" fillId="6" borderId="72" xfId="0" applyNumberFormat="1" applyFont="1" applyFill="1" applyBorder="1" applyAlignment="1">
      <alignment horizontal="left" vertical="top" wrapText="1"/>
    </xf>
    <xf numFmtId="49" fontId="8" fillId="6" borderId="77" xfId="0" applyNumberFormat="1" applyFont="1" applyFill="1" applyBorder="1" applyAlignment="1">
      <alignment horizontal="left" vertical="top" wrapText="1"/>
    </xf>
    <xf numFmtId="49" fontId="8" fillId="6" borderId="73" xfId="0" applyNumberFormat="1" applyFont="1" applyFill="1" applyBorder="1" applyAlignment="1">
      <alignment horizontal="left" vertical="top" wrapText="1"/>
    </xf>
    <xf numFmtId="0" fontId="3" fillId="0" borderId="41" xfId="0" applyFont="1" applyBorder="1" applyAlignment="1">
      <alignment horizontal="center" textRotation="90" shrinkToFit="1"/>
    </xf>
    <xf numFmtId="0" fontId="3" fillId="0" borderId="6" xfId="0" applyFont="1" applyBorder="1" applyAlignment="1">
      <alignment horizontal="center" textRotation="90" shrinkToFit="1"/>
    </xf>
    <xf numFmtId="0" fontId="3" fillId="0" borderId="70" xfId="0" applyFont="1" applyBorder="1" applyAlignment="1">
      <alignment horizontal="center" textRotation="90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0" fontId="5" fillId="0" borderId="73" xfId="0" applyFont="1" applyBorder="1" applyAlignment="1">
      <alignment horizontal="center" vertical="center" shrinkToFit="1"/>
    </xf>
    <xf numFmtId="0" fontId="3" fillId="0" borderId="52" xfId="0" applyNumberFormat="1" applyFont="1" applyBorder="1" applyAlignment="1">
      <alignment horizontal="center" vertical="center" textRotation="90" shrinkToFit="1"/>
    </xf>
    <xf numFmtId="0" fontId="3" fillId="0" borderId="45" xfId="0" applyNumberFormat="1" applyFont="1" applyBorder="1" applyAlignment="1">
      <alignment horizontal="center" vertical="center" textRotation="90" shrinkToFit="1"/>
    </xf>
    <xf numFmtId="0" fontId="3" fillId="0" borderId="34" xfId="0" applyNumberFormat="1" applyFont="1" applyBorder="1" applyAlignment="1">
      <alignment horizontal="center" vertical="center" textRotation="90" shrinkToFit="1"/>
    </xf>
    <xf numFmtId="0" fontId="3" fillId="0" borderId="41" xfId="0" applyFont="1" applyBorder="1" applyAlignment="1">
      <alignment horizontal="center" vertical="center" textRotation="90" shrinkToFit="1"/>
    </xf>
    <xf numFmtId="0" fontId="3" fillId="0" borderId="6" xfId="0" applyFont="1" applyBorder="1" applyAlignment="1">
      <alignment horizontal="center" vertical="center" textRotation="90" shrinkToFit="1"/>
    </xf>
    <xf numFmtId="0" fontId="3" fillId="0" borderId="70" xfId="0" applyFont="1" applyBorder="1" applyAlignment="1">
      <alignment horizontal="center" vertical="center" textRotation="90" shrinkToFit="1"/>
    </xf>
    <xf numFmtId="0" fontId="8" fillId="5" borderId="71" xfId="0" applyFont="1" applyFill="1" applyBorder="1" applyAlignment="1">
      <alignment horizontal="left" vertical="top" wrapText="1"/>
    </xf>
    <xf numFmtId="0" fontId="8" fillId="5" borderId="66" xfId="0" applyFont="1" applyFill="1" applyBorder="1" applyAlignment="1">
      <alignment horizontal="left" vertical="top" wrapText="1"/>
    </xf>
    <xf numFmtId="0" fontId="8" fillId="5" borderId="44" xfId="0" applyFont="1" applyFill="1" applyBorder="1" applyAlignment="1">
      <alignment horizontal="left" vertical="top" wrapText="1"/>
    </xf>
    <xf numFmtId="0" fontId="5" fillId="9" borderId="39" xfId="0" applyFont="1" applyFill="1" applyBorder="1" applyAlignment="1">
      <alignment horizontal="left" vertical="top"/>
    </xf>
    <xf numFmtId="0" fontId="5" fillId="9" borderId="66" xfId="0" applyFont="1" applyFill="1" applyBorder="1" applyAlignment="1">
      <alignment horizontal="left" vertical="top"/>
    </xf>
    <xf numFmtId="0" fontId="5" fillId="9" borderId="44" xfId="0" applyFont="1" applyFill="1" applyBorder="1" applyAlignment="1">
      <alignment horizontal="left" vertical="top"/>
    </xf>
    <xf numFmtId="0" fontId="3" fillId="7" borderId="41" xfId="0" applyFont="1" applyFill="1" applyBorder="1" applyAlignment="1">
      <alignment horizontal="center" vertical="center" textRotation="90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0" xfId="0" applyFont="1" applyFill="1" applyBorder="1" applyAlignment="1">
      <alignment horizontal="center" vertical="center" wrapText="1"/>
    </xf>
    <xf numFmtId="0" fontId="3" fillId="0" borderId="129" xfId="0" applyFont="1" applyBorder="1" applyAlignment="1">
      <alignment horizontal="left" vertical="top" wrapText="1"/>
    </xf>
    <xf numFmtId="0" fontId="11" fillId="0" borderId="89" xfId="0" applyFont="1" applyBorder="1" applyAlignment="1">
      <alignment horizontal="left" vertical="top" wrapText="1"/>
    </xf>
    <xf numFmtId="0" fontId="5" fillId="2" borderId="39" xfId="0" applyFont="1" applyFill="1" applyBorder="1" applyAlignment="1">
      <alignment horizontal="left" vertical="top" wrapText="1"/>
    </xf>
    <xf numFmtId="0" fontId="5" fillId="2" borderId="66" xfId="0" applyFont="1" applyFill="1" applyBorder="1" applyAlignment="1">
      <alignment horizontal="left" vertical="top" wrapText="1"/>
    </xf>
    <xf numFmtId="0" fontId="5" fillId="2" borderId="44" xfId="0" applyFont="1" applyFill="1" applyBorder="1" applyAlignment="1">
      <alignment horizontal="left" vertical="top" wrapText="1"/>
    </xf>
    <xf numFmtId="0" fontId="3" fillId="3" borderId="89" xfId="0" applyFont="1" applyFill="1" applyBorder="1" applyAlignment="1">
      <alignment horizontal="left" vertical="top" wrapText="1"/>
    </xf>
    <xf numFmtId="49" fontId="5" fillId="0" borderId="89" xfId="0" applyNumberFormat="1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 wrapText="1"/>
    </xf>
    <xf numFmtId="0" fontId="3" fillId="3" borderId="21" xfId="0" applyFont="1" applyFill="1" applyBorder="1" applyAlignment="1">
      <alignment vertical="top" wrapText="1"/>
    </xf>
    <xf numFmtId="0" fontId="32" fillId="0" borderId="0" xfId="0" applyFont="1" applyAlignment="1">
      <alignment horizontal="right" vertical="top" wrapText="1" shrinkToFit="1"/>
    </xf>
    <xf numFmtId="0" fontId="36" fillId="0" borderId="0" xfId="0" applyFont="1" applyAlignment="1">
      <alignment horizontal="right" vertical="top" wrapText="1" shrinkToFit="1"/>
    </xf>
    <xf numFmtId="0" fontId="0" fillId="0" borderId="28" xfId="0" applyBorder="1" applyAlignment="1">
      <alignment horizontal="left" vertical="top" wrapText="1"/>
    </xf>
    <xf numFmtId="0" fontId="0" fillId="7" borderId="32" xfId="0" applyFill="1" applyBorder="1" applyAlignment="1">
      <alignment vertical="top" wrapText="1"/>
    </xf>
    <xf numFmtId="0" fontId="0" fillId="7" borderId="28" xfId="0" applyFill="1" applyBorder="1" applyAlignment="1">
      <alignment vertical="top" wrapText="1"/>
    </xf>
    <xf numFmtId="0" fontId="0" fillId="0" borderId="9" xfId="0" applyBorder="1" applyAlignment="1"/>
    <xf numFmtId="0" fontId="0" fillId="0" borderId="9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 applyAlignment="1">
      <alignment horizontal="center" vertical="top"/>
    </xf>
    <xf numFmtId="0" fontId="0" fillId="0" borderId="68" xfId="0" applyBorder="1" applyAlignment="1">
      <alignment vertical="top"/>
    </xf>
    <xf numFmtId="0" fontId="11" fillId="3" borderId="30" xfId="0" applyFont="1" applyFill="1" applyBorder="1" applyAlignment="1">
      <alignment horizontal="left" vertical="top" wrapText="1"/>
    </xf>
    <xf numFmtId="0" fontId="20" fillId="3" borderId="7" xfId="0" applyFont="1" applyFill="1" applyBorder="1" applyAlignment="1">
      <alignment horizontal="left" vertical="top" wrapText="1"/>
    </xf>
    <xf numFmtId="0" fontId="20" fillId="3" borderId="30" xfId="0" applyFont="1" applyFill="1" applyBorder="1" applyAlignment="1">
      <alignment horizontal="left" vertical="top" wrapText="1"/>
    </xf>
    <xf numFmtId="0" fontId="3" fillId="0" borderId="41" xfId="0" applyFont="1" applyBorder="1" applyAlignment="1">
      <alignment horizontal="center" vertical="center" textRotation="90" wrapText="1" shrinkToFit="1" readingOrder="1"/>
    </xf>
    <xf numFmtId="0" fontId="0" fillId="0" borderId="6" xfId="0" applyBorder="1" applyAlignment="1">
      <alignment horizontal="center" vertical="center" textRotation="90" wrapText="1" shrinkToFit="1" readingOrder="1"/>
    </xf>
    <xf numFmtId="0" fontId="0" fillId="0" borderId="70" xfId="0" applyBorder="1" applyAlignment="1">
      <alignment horizontal="center" vertical="center" textRotation="90" wrapText="1" shrinkToFit="1" readingOrder="1"/>
    </xf>
    <xf numFmtId="0" fontId="3" fillId="7" borderId="41" xfId="0" applyFont="1" applyFill="1" applyBorder="1" applyAlignment="1">
      <alignment horizontal="center" vertical="center" textRotation="90" wrapText="1" shrinkToFit="1"/>
    </xf>
    <xf numFmtId="0" fontId="3" fillId="7" borderId="6" xfId="0" applyFont="1" applyFill="1" applyBorder="1" applyAlignment="1">
      <alignment horizontal="center" vertical="center" textRotation="90" wrapText="1" shrinkToFit="1"/>
    </xf>
    <xf numFmtId="0" fontId="3" fillId="7" borderId="70" xfId="0" applyFont="1" applyFill="1" applyBorder="1" applyAlignment="1">
      <alignment horizontal="center" vertical="center" textRotation="90" wrapText="1" shrinkToFit="1"/>
    </xf>
    <xf numFmtId="0" fontId="11" fillId="7" borderId="6" xfId="0" applyFont="1" applyFill="1" applyBorder="1" applyAlignment="1">
      <alignment horizontal="center" vertical="center" textRotation="90" wrapText="1" shrinkToFit="1"/>
    </xf>
    <xf numFmtId="0" fontId="11" fillId="7" borderId="70" xfId="0" applyFont="1" applyFill="1" applyBorder="1" applyAlignment="1">
      <alignment horizontal="center" vertical="center" textRotation="90" wrapText="1" shrinkToFit="1"/>
    </xf>
    <xf numFmtId="49" fontId="8" fillId="6" borderId="46" xfId="0" applyNumberFormat="1" applyFont="1" applyFill="1" applyBorder="1" applyAlignment="1">
      <alignment horizontal="left" vertical="top" wrapText="1"/>
    </xf>
    <xf numFmtId="49" fontId="8" fillId="6" borderId="53" xfId="0" applyNumberFormat="1" applyFont="1" applyFill="1" applyBorder="1" applyAlignment="1">
      <alignment horizontal="left" vertical="top" wrapText="1"/>
    </xf>
    <xf numFmtId="0" fontId="8" fillId="14" borderId="71" xfId="0" applyFont="1" applyFill="1" applyBorder="1" applyAlignment="1">
      <alignment horizontal="left" vertical="top" wrapText="1"/>
    </xf>
    <xf numFmtId="0" fontId="8" fillId="14" borderId="66" xfId="0" applyFont="1" applyFill="1" applyBorder="1" applyAlignment="1">
      <alignment horizontal="left" vertical="top" wrapText="1"/>
    </xf>
    <xf numFmtId="0" fontId="5" fillId="9" borderId="36" xfId="0" applyFont="1" applyFill="1" applyBorder="1" applyAlignment="1">
      <alignment horizontal="left" vertical="top"/>
    </xf>
    <xf numFmtId="0" fontId="5" fillId="9" borderId="79" xfId="0" applyFont="1" applyFill="1" applyBorder="1" applyAlignment="1">
      <alignment horizontal="left" vertical="top"/>
    </xf>
    <xf numFmtId="0" fontId="5" fillId="15" borderId="39" xfId="0" applyFont="1" applyFill="1" applyBorder="1" applyAlignment="1">
      <alignment horizontal="left" vertical="top" wrapText="1"/>
    </xf>
    <xf numFmtId="0" fontId="5" fillId="15" borderId="66" xfId="0" applyFont="1" applyFill="1" applyBorder="1" applyAlignment="1">
      <alignment horizontal="left" vertical="top" wrapText="1"/>
    </xf>
    <xf numFmtId="0" fontId="18" fillId="7" borderId="21" xfId="0" applyFont="1" applyFill="1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18" fillId="7" borderId="129" xfId="0" applyFont="1" applyFill="1" applyBorder="1" applyAlignment="1">
      <alignment vertical="top" wrapText="1"/>
    </xf>
    <xf numFmtId="0" fontId="5" fillId="3" borderId="51" xfId="0" applyFont="1" applyFill="1" applyBorder="1" applyAlignment="1">
      <alignment horizontal="center" vertical="top" wrapText="1"/>
    </xf>
    <xf numFmtId="49" fontId="5" fillId="3" borderId="48" xfId="0" applyNumberFormat="1" applyFont="1" applyFill="1" applyBorder="1" applyAlignment="1">
      <alignment horizontal="center" vertical="top"/>
    </xf>
    <xf numFmtId="49" fontId="5" fillId="9" borderId="30" xfId="0" applyNumberFormat="1" applyFont="1" applyFill="1" applyBorder="1" applyAlignment="1">
      <alignment horizontal="center" vertical="top"/>
    </xf>
    <xf numFmtId="49" fontId="5" fillId="2" borderId="29" xfId="0" applyNumberFormat="1" applyFont="1" applyFill="1" applyBorder="1" applyAlignment="1">
      <alignment horizontal="center" vertical="top"/>
    </xf>
    <xf numFmtId="49" fontId="5" fillId="7" borderId="29" xfId="0" applyNumberFormat="1" applyFont="1" applyFill="1" applyBorder="1" applyAlignment="1">
      <alignment horizontal="center" vertical="top"/>
    </xf>
    <xf numFmtId="0" fontId="3" fillId="3" borderId="28" xfId="0" applyFont="1" applyFill="1" applyBorder="1" applyAlignment="1">
      <alignment vertical="top" wrapText="1"/>
    </xf>
    <xf numFmtId="0" fontId="2" fillId="0" borderId="30" xfId="0" applyFont="1" applyFill="1" applyBorder="1" applyAlignment="1">
      <alignment horizontal="center" vertical="top" textRotation="90" wrapText="1"/>
    </xf>
    <xf numFmtId="49" fontId="5" fillId="2" borderId="33" xfId="0" applyNumberFormat="1" applyFont="1" applyFill="1" applyBorder="1" applyAlignment="1">
      <alignment horizontal="right" vertical="top"/>
    </xf>
    <xf numFmtId="0" fontId="20" fillId="7" borderId="18" xfId="0" applyFont="1" applyFill="1" applyBorder="1" applyAlignment="1">
      <alignment vertical="top" wrapText="1"/>
    </xf>
    <xf numFmtId="0" fontId="37" fillId="0" borderId="32" xfId="0" applyFont="1" applyBorder="1" applyAlignment="1"/>
    <xf numFmtId="0" fontId="0" fillId="0" borderId="32" xfId="0" applyBorder="1" applyAlignment="1">
      <alignment vertical="top"/>
    </xf>
    <xf numFmtId="0" fontId="3" fillId="0" borderId="5" xfId="0" applyFont="1" applyFill="1" applyBorder="1" applyAlignment="1">
      <alignment horizontal="left" vertical="top" wrapText="1"/>
    </xf>
    <xf numFmtId="0" fontId="11" fillId="0" borderId="87" xfId="0" applyFont="1" applyBorder="1" applyAlignment="1">
      <alignment horizontal="left" vertical="top" wrapText="1"/>
    </xf>
    <xf numFmtId="0" fontId="0" fillId="0" borderId="7" xfId="0" applyBorder="1" applyAlignment="1">
      <alignment vertical="top"/>
    </xf>
    <xf numFmtId="0" fontId="3" fillId="0" borderId="46" xfId="0" applyFont="1" applyBorder="1" applyAlignment="1">
      <alignment horizontal="center" vertical="center" textRotation="90" wrapText="1"/>
    </xf>
    <xf numFmtId="0" fontId="0" fillId="0" borderId="35" xfId="0" applyBorder="1" applyAlignment="1">
      <alignment horizontal="center" vertical="center" textRotation="90" wrapText="1"/>
    </xf>
    <xf numFmtId="0" fontId="0" fillId="0" borderId="76" xfId="0" applyBorder="1" applyAlignment="1">
      <alignment horizontal="center" vertical="center" textRotation="90" wrapText="1"/>
    </xf>
    <xf numFmtId="0" fontId="32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3" fillId="0" borderId="18" xfId="0" applyFont="1" applyBorder="1" applyAlignment="1">
      <alignment horizontal="left" vertical="top" wrapText="1"/>
    </xf>
    <xf numFmtId="0" fontId="20" fillId="0" borderId="38" xfId="0" applyFont="1" applyBorder="1" applyAlignment="1">
      <alignment vertical="top" wrapText="1"/>
    </xf>
    <xf numFmtId="0" fontId="37" fillId="0" borderId="30" xfId="0" applyFont="1" applyBorder="1" applyAlignment="1">
      <alignment vertical="top" wrapText="1"/>
    </xf>
    <xf numFmtId="0" fontId="3" fillId="7" borderId="38" xfId="0" applyFont="1" applyFill="1" applyBorder="1" applyAlignment="1">
      <alignment vertical="top" wrapText="1"/>
    </xf>
    <xf numFmtId="0" fontId="0" fillId="0" borderId="30" xfId="0" applyBorder="1" applyAlignment="1">
      <alignment vertical="top"/>
    </xf>
    <xf numFmtId="0" fontId="0" fillId="0" borderId="30" xfId="0" applyBorder="1" applyAlignment="1">
      <alignment vertical="top" wrapText="1"/>
    </xf>
    <xf numFmtId="0" fontId="20" fillId="7" borderId="21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8" borderId="66" xfId="0" applyFill="1" applyBorder="1" applyAlignment="1">
      <alignment horizontal="right" vertical="top" wrapText="1"/>
    </xf>
    <xf numFmtId="0" fontId="0" fillId="8" borderId="44" xfId="0" applyFill="1" applyBorder="1" applyAlignment="1">
      <alignment horizontal="right" vertical="top" wrapText="1"/>
    </xf>
    <xf numFmtId="49" fontId="5" fillId="10" borderId="26" xfId="0" applyNumberFormat="1" applyFont="1" applyFill="1" applyBorder="1" applyAlignment="1">
      <alignment horizontal="center" vertical="top"/>
    </xf>
    <xf numFmtId="49" fontId="5" fillId="10" borderId="11" xfId="0" applyNumberFormat="1" applyFont="1" applyFill="1" applyBorder="1" applyAlignment="1">
      <alignment horizontal="center" vertical="top"/>
    </xf>
    <xf numFmtId="49" fontId="5" fillId="10" borderId="50" xfId="0" applyNumberFormat="1" applyFont="1" applyFill="1" applyBorder="1" applyAlignment="1">
      <alignment horizontal="center" vertical="top"/>
    </xf>
    <xf numFmtId="49" fontId="5" fillId="10" borderId="58" xfId="0" applyNumberFormat="1" applyFont="1" applyFill="1" applyBorder="1" applyAlignment="1">
      <alignment horizontal="center" vertical="top"/>
    </xf>
    <xf numFmtId="0" fontId="3" fillId="0" borderId="38" xfId="0" applyFont="1" applyFill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30" xfId="0" applyBorder="1" applyAlignment="1">
      <alignment horizontal="center" vertical="center" textRotation="90" wrapText="1"/>
    </xf>
    <xf numFmtId="49" fontId="2" fillId="0" borderId="124" xfId="0" applyNumberFormat="1" applyFont="1" applyBorder="1" applyAlignment="1">
      <alignment horizontal="center" vertical="top" textRotation="90" wrapText="1"/>
    </xf>
    <xf numFmtId="0" fontId="0" fillId="0" borderId="31" xfId="0" applyBorder="1" applyAlignment="1">
      <alignment horizontal="center" vertical="top" textRotation="90" wrapText="1"/>
    </xf>
    <xf numFmtId="0" fontId="3" fillId="0" borderId="127" xfId="0" applyFont="1" applyBorder="1" applyAlignment="1">
      <alignment horizontal="center" vertical="top" wrapText="1"/>
    </xf>
    <xf numFmtId="0" fontId="0" fillId="0" borderId="70" xfId="0" applyBorder="1" applyAlignment="1">
      <alignment horizontal="center" vertical="top" wrapText="1"/>
    </xf>
    <xf numFmtId="49" fontId="2" fillId="0" borderId="20" xfId="0" applyNumberFormat="1" applyFont="1" applyBorder="1" applyAlignment="1">
      <alignment horizontal="center" vertical="center" textRotation="90" wrapText="1"/>
    </xf>
    <xf numFmtId="0" fontId="0" fillId="0" borderId="29" xfId="0" applyBorder="1" applyAlignment="1">
      <alignment horizontal="center" vertical="center" textRotation="90" wrapText="1"/>
    </xf>
    <xf numFmtId="49" fontId="3" fillId="0" borderId="8" xfId="0" applyNumberFormat="1" applyFont="1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5" fillId="10" borderId="33" xfId="0" applyFont="1" applyFill="1" applyBorder="1" applyAlignment="1">
      <alignment horizontal="right" vertical="top"/>
    </xf>
    <xf numFmtId="0" fontId="11" fillId="10" borderId="34" xfId="0" applyFont="1" applyFill="1" applyBorder="1" applyAlignment="1">
      <alignment horizontal="right" vertical="top"/>
    </xf>
    <xf numFmtId="49" fontId="3" fillId="0" borderId="11" xfId="0" applyNumberFormat="1" applyFont="1" applyBorder="1" applyAlignment="1">
      <alignment horizontal="center" vertical="top"/>
    </xf>
    <xf numFmtId="49" fontId="3" fillId="0" borderId="31" xfId="0" applyNumberFormat="1" applyFont="1" applyBorder="1" applyAlignment="1">
      <alignment horizontal="center" vertical="top"/>
    </xf>
    <xf numFmtId="0" fontId="3" fillId="3" borderId="58" xfId="0" applyFont="1" applyFill="1" applyBorder="1" applyAlignment="1">
      <alignment horizontal="left" vertical="top" wrapText="1"/>
    </xf>
    <xf numFmtId="49" fontId="2" fillId="0" borderId="11" xfId="0" applyNumberFormat="1" applyFont="1" applyBorder="1" applyAlignment="1">
      <alignment horizontal="right" vertical="top" textRotation="90" wrapText="1"/>
    </xf>
    <xf numFmtId="49" fontId="2" fillId="0" borderId="31" xfId="0" applyNumberFormat="1" applyFont="1" applyBorder="1" applyAlignment="1">
      <alignment horizontal="right" vertical="top" textRotation="90" wrapText="1"/>
    </xf>
    <xf numFmtId="49" fontId="3" fillId="0" borderId="6" xfId="0" applyNumberFormat="1" applyFont="1" applyFill="1" applyBorder="1" applyAlignment="1">
      <alignment horizontal="center" vertical="top" wrapText="1"/>
    </xf>
    <xf numFmtId="49" fontId="3" fillId="0" borderId="70" xfId="0" applyNumberFormat="1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top" textRotation="90" wrapText="1"/>
    </xf>
    <xf numFmtId="0" fontId="1" fillId="0" borderId="29" xfId="0" applyFont="1" applyBorder="1" applyAlignment="1">
      <alignment horizontal="center" vertical="top" textRotation="90" wrapText="1"/>
    </xf>
    <xf numFmtId="0" fontId="3" fillId="7" borderId="48" xfId="0" applyFont="1" applyFill="1" applyBorder="1" applyAlignment="1">
      <alignment vertical="top" wrapText="1"/>
    </xf>
    <xf numFmtId="0" fontId="3" fillId="7" borderId="36" xfId="0" applyFont="1" applyFill="1" applyBorder="1" applyAlignment="1">
      <alignment vertical="top" wrapText="1"/>
    </xf>
    <xf numFmtId="0" fontId="2" fillId="3" borderId="38" xfId="0" applyFont="1" applyFill="1" applyBorder="1" applyAlignment="1">
      <alignment horizontal="center" vertical="center" textRotation="90" wrapText="1"/>
    </xf>
    <xf numFmtId="0" fontId="2" fillId="3" borderId="30" xfId="0" applyFont="1" applyFill="1" applyBorder="1" applyAlignment="1">
      <alignment horizontal="center" vertical="center" textRotation="90" wrapText="1"/>
    </xf>
    <xf numFmtId="49" fontId="2" fillId="0" borderId="1" xfId="0" applyNumberFormat="1" applyFont="1" applyBorder="1" applyAlignment="1">
      <alignment horizontal="center" vertical="top" textRotation="90" wrapText="1"/>
    </xf>
    <xf numFmtId="49" fontId="5" fillId="0" borderId="17" xfId="0" applyNumberFormat="1" applyFont="1" applyBorder="1" applyAlignment="1">
      <alignment horizontal="center" vertical="top"/>
    </xf>
    <xf numFmtId="49" fontId="3" fillId="0" borderId="40" xfId="0" applyNumberFormat="1" applyFont="1" applyBorder="1" applyAlignment="1">
      <alignment horizontal="center" vertical="top" wrapText="1"/>
    </xf>
    <xf numFmtId="49" fontId="3" fillId="0" borderId="55" xfId="0" applyNumberFormat="1" applyFont="1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49" fontId="5" fillId="0" borderId="20" xfId="0" applyNumberFormat="1" applyFont="1" applyBorder="1" applyAlignment="1">
      <alignment horizontal="center" vertical="top"/>
    </xf>
    <xf numFmtId="49" fontId="5" fillId="0" borderId="29" xfId="0" applyNumberFormat="1" applyFont="1" applyBorder="1" applyAlignment="1">
      <alignment horizontal="center" vertical="top"/>
    </xf>
    <xf numFmtId="0" fontId="20" fillId="12" borderId="21" xfId="0" applyFont="1" applyFill="1" applyBorder="1" applyAlignment="1">
      <alignment vertical="top" wrapText="1"/>
    </xf>
    <xf numFmtId="0" fontId="33" fillId="12" borderId="18" xfId="0" applyFont="1" applyFill="1" applyBorder="1" applyAlignment="1">
      <alignment vertical="top" wrapText="1"/>
    </xf>
    <xf numFmtId="0" fontId="33" fillId="12" borderId="28" xfId="0" applyFont="1" applyFill="1" applyBorder="1" applyAlignment="1">
      <alignment vertical="top" wrapText="1"/>
    </xf>
    <xf numFmtId="49" fontId="2" fillId="0" borderId="11" xfId="0" applyNumberFormat="1" applyFont="1" applyBorder="1" applyAlignment="1">
      <alignment horizontal="center" vertical="center" textRotation="90" wrapText="1"/>
    </xf>
    <xf numFmtId="49" fontId="2" fillId="0" borderId="29" xfId="0" applyNumberFormat="1" applyFont="1" applyBorder="1" applyAlignment="1">
      <alignment horizontal="center" vertical="center" textRotation="90" wrapText="1"/>
    </xf>
    <xf numFmtId="49" fontId="3" fillId="0" borderId="8" xfId="0" applyNumberFormat="1" applyFont="1" applyFill="1" applyBorder="1" applyAlignment="1">
      <alignment horizontal="center" vertical="top" wrapText="1"/>
    </xf>
    <xf numFmtId="0" fontId="11" fillId="0" borderId="24" xfId="0" applyFont="1" applyBorder="1" applyAlignment="1">
      <alignment horizontal="center" vertical="top" wrapText="1"/>
    </xf>
    <xf numFmtId="0" fontId="21" fillId="0" borderId="7" xfId="0" applyFont="1" applyFill="1" applyBorder="1" applyAlignment="1">
      <alignment horizontal="center" vertical="top" textRotation="90" wrapText="1"/>
    </xf>
    <xf numFmtId="0" fontId="26" fillId="0" borderId="30" xfId="0" applyFont="1" applyBorder="1" applyAlignment="1">
      <alignment horizontal="center" vertical="top" wrapText="1"/>
    </xf>
    <xf numFmtId="0" fontId="5" fillId="0" borderId="68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0" fillId="0" borderId="29" xfId="0" applyBorder="1" applyAlignment="1">
      <alignment horizontal="center" vertical="top" textRotation="90" wrapText="1"/>
    </xf>
    <xf numFmtId="0" fontId="11" fillId="3" borderId="18" xfId="0" applyFont="1" applyFill="1" applyBorder="1" applyAlignment="1">
      <alignment vertical="top" wrapText="1"/>
    </xf>
    <xf numFmtId="49" fontId="2" fillId="0" borderId="26" xfId="0" applyNumberFormat="1" applyFont="1" applyBorder="1" applyAlignment="1">
      <alignment horizontal="right" vertical="center" textRotation="90" wrapText="1"/>
    </xf>
    <xf numFmtId="0" fontId="0" fillId="0" borderId="11" xfId="0" applyBorder="1" applyAlignment="1">
      <alignment horizontal="right" vertical="center" textRotation="90" wrapText="1"/>
    </xf>
    <xf numFmtId="0" fontId="0" fillId="0" borderId="29" xfId="0" applyBorder="1" applyAlignment="1">
      <alignment horizontal="right" vertical="center" textRotation="90" wrapText="1"/>
    </xf>
    <xf numFmtId="0" fontId="3" fillId="10" borderId="62" xfId="0" applyFont="1" applyFill="1" applyBorder="1" applyAlignment="1">
      <alignment horizontal="center" vertical="top" wrapText="1"/>
    </xf>
    <xf numFmtId="49" fontId="3" fillId="0" borderId="21" xfId="0" applyNumberFormat="1" applyFont="1" applyFill="1" applyBorder="1" applyAlignment="1">
      <alignment horizontal="center" vertical="top" wrapText="1"/>
    </xf>
    <xf numFmtId="49" fontId="3" fillId="0" borderId="18" xfId="0" applyNumberFormat="1" applyFont="1" applyFill="1" applyBorder="1" applyAlignment="1">
      <alignment horizontal="center" vertical="top" wrapText="1"/>
    </xf>
    <xf numFmtId="49" fontId="3" fillId="0" borderId="28" xfId="0" applyNumberFormat="1" applyFont="1" applyFill="1" applyBorder="1" applyAlignment="1">
      <alignment horizontal="center" vertical="top" wrapText="1"/>
    </xf>
    <xf numFmtId="49" fontId="2" fillId="0" borderId="11" xfId="0" applyNumberFormat="1" applyFont="1" applyBorder="1" applyAlignment="1">
      <alignment horizontal="center" vertical="top" textRotation="90"/>
    </xf>
    <xf numFmtId="49" fontId="2" fillId="0" borderId="29" xfId="0" applyNumberFormat="1" applyFont="1" applyBorder="1" applyAlignment="1">
      <alignment horizontal="center" vertical="top" textRotation="90"/>
    </xf>
    <xf numFmtId="0" fontId="5" fillId="0" borderId="51" xfId="0" applyFont="1" applyFill="1" applyBorder="1" applyAlignment="1">
      <alignment horizontal="center" vertical="top" wrapText="1"/>
    </xf>
    <xf numFmtId="3" fontId="2" fillId="0" borderId="48" xfId="0" applyNumberFormat="1" applyFont="1" applyBorder="1" applyAlignment="1">
      <alignment horizontal="center" vertical="top" textRotation="90" wrapText="1"/>
    </xf>
    <xf numFmtId="0" fontId="2" fillId="0" borderId="36" xfId="0" applyNumberFormat="1" applyFont="1" applyBorder="1" applyAlignment="1">
      <alignment horizontal="center" vertical="top" textRotation="90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24" xfId="0" applyNumberFormat="1" applyFont="1" applyBorder="1" applyAlignment="1">
      <alignment horizontal="center" vertical="top" wrapText="1"/>
    </xf>
    <xf numFmtId="0" fontId="5" fillId="10" borderId="62" xfId="0" applyFont="1" applyFill="1" applyBorder="1" applyAlignment="1">
      <alignment horizontal="right" vertical="top"/>
    </xf>
    <xf numFmtId="0" fontId="11" fillId="10" borderId="65" xfId="0" applyFont="1" applyFill="1" applyBorder="1" applyAlignment="1">
      <alignment horizontal="right" vertical="top"/>
    </xf>
    <xf numFmtId="0" fontId="3" fillId="10" borderId="33" xfId="0" applyFont="1" applyFill="1" applyBorder="1" applyAlignment="1">
      <alignment horizontal="center" vertical="top" wrapText="1"/>
    </xf>
    <xf numFmtId="49" fontId="5" fillId="3" borderId="20" xfId="0" applyNumberFormat="1" applyFont="1" applyFill="1" applyBorder="1" applyAlignment="1">
      <alignment horizontal="center" vertical="top"/>
    </xf>
    <xf numFmtId="49" fontId="5" fillId="3" borderId="11" xfId="0" applyNumberFormat="1" applyFont="1" applyFill="1" applyBorder="1" applyAlignment="1">
      <alignment horizontal="center" vertical="top"/>
    </xf>
    <xf numFmtId="49" fontId="5" fillId="3" borderId="29" xfId="0" applyNumberFormat="1" applyFont="1" applyFill="1" applyBorder="1" applyAlignment="1">
      <alignment horizontal="center" vertical="top"/>
    </xf>
    <xf numFmtId="49" fontId="2" fillId="0" borderId="20" xfId="0" applyNumberFormat="1" applyFont="1" applyBorder="1" applyAlignment="1">
      <alignment horizontal="center" vertical="top" textRotation="90"/>
    </xf>
    <xf numFmtId="49" fontId="3" fillId="0" borderId="24" xfId="0" applyNumberFormat="1" applyFont="1" applyFill="1" applyBorder="1" applyAlignment="1">
      <alignment horizontal="center" vertical="top" wrapText="1"/>
    </xf>
    <xf numFmtId="0" fontId="3" fillId="10" borderId="34" xfId="0" applyFont="1" applyFill="1" applyBorder="1" applyAlignment="1">
      <alignment horizontal="center" vertical="top" wrapText="1"/>
    </xf>
    <xf numFmtId="0" fontId="11" fillId="10" borderId="33" xfId="0" applyFont="1" applyFill="1" applyBorder="1" applyAlignment="1">
      <alignment horizontal="right" vertical="top"/>
    </xf>
    <xf numFmtId="0" fontId="3" fillId="7" borderId="48" xfId="0" applyFont="1" applyFill="1" applyBorder="1" applyAlignment="1">
      <alignment horizontal="left" vertical="top" wrapText="1"/>
    </xf>
    <xf numFmtId="0" fontId="11" fillId="7" borderId="36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 textRotation="90"/>
    </xf>
    <xf numFmtId="0" fontId="1" fillId="0" borderId="29" xfId="0" applyFont="1" applyBorder="1" applyAlignment="1">
      <alignment horizontal="center" vertical="top" textRotation="90"/>
    </xf>
    <xf numFmtId="0" fontId="0" fillId="0" borderId="6" xfId="0" applyBorder="1" applyAlignment="1">
      <alignment horizontal="center" vertical="top" wrapText="1"/>
    </xf>
    <xf numFmtId="164" fontId="21" fillId="0" borderId="7" xfId="0" applyNumberFormat="1" applyFont="1" applyFill="1" applyBorder="1" applyAlignment="1">
      <alignment horizontal="center" vertical="center" textRotation="90" wrapText="1"/>
    </xf>
    <xf numFmtId="0" fontId="26" fillId="0" borderId="30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left" vertical="top" wrapText="1"/>
    </xf>
    <xf numFmtId="49" fontId="3" fillId="0" borderId="20" xfId="0" applyNumberFormat="1" applyFont="1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/>
    </xf>
    <xf numFmtId="0" fontId="0" fillId="0" borderId="29" xfId="0" applyBorder="1" applyAlignment="1">
      <alignment horizontal="center" vertical="center" textRotation="90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8" xfId="0" applyNumberFormat="1" applyFont="1" applyBorder="1" applyAlignment="1">
      <alignment horizontal="center" vertical="top" wrapText="1"/>
    </xf>
    <xf numFmtId="0" fontId="0" fillId="0" borderId="115" xfId="0" applyBorder="1" applyAlignment="1">
      <alignment horizontal="center" vertical="top" wrapText="1"/>
    </xf>
    <xf numFmtId="49" fontId="2" fillId="3" borderId="11" xfId="0" applyNumberFormat="1" applyFont="1" applyFill="1" applyBorder="1" applyAlignment="1">
      <alignment horizontal="center" vertical="top" textRotation="90" wrapText="1"/>
    </xf>
    <xf numFmtId="49" fontId="3" fillId="3" borderId="6" xfId="0" applyNumberFormat="1" applyFont="1" applyFill="1" applyBorder="1" applyAlignment="1">
      <alignment horizontal="center" vertical="top" wrapText="1"/>
    </xf>
    <xf numFmtId="49" fontId="2" fillId="3" borderId="20" xfId="0" applyNumberFormat="1" applyFont="1" applyFill="1" applyBorder="1" applyAlignment="1">
      <alignment horizontal="center" vertical="top" textRotation="90" wrapText="1"/>
    </xf>
    <xf numFmtId="49" fontId="2" fillId="3" borderId="29" xfId="0" applyNumberFormat="1" applyFont="1" applyFill="1" applyBorder="1" applyAlignment="1">
      <alignment horizontal="center" vertical="top" textRotation="90" wrapText="1"/>
    </xf>
    <xf numFmtId="49" fontId="5" fillId="3" borderId="11" xfId="0" applyNumberFormat="1" applyFont="1" applyFill="1" applyBorder="1" applyAlignment="1">
      <alignment horizontal="center" vertical="top" wrapText="1"/>
    </xf>
    <xf numFmtId="0" fontId="3" fillId="3" borderId="123" xfId="0" applyFont="1" applyFill="1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49" fontId="2" fillId="7" borderId="20" xfId="0" applyNumberFormat="1" applyFont="1" applyFill="1" applyBorder="1" applyAlignment="1">
      <alignment horizontal="center" vertical="top" textRotation="90" wrapText="1"/>
    </xf>
    <xf numFmtId="49" fontId="2" fillId="7" borderId="29" xfId="0" applyNumberFormat="1" applyFont="1" applyFill="1" applyBorder="1" applyAlignment="1">
      <alignment horizontal="center" vertical="top" textRotation="90" wrapText="1"/>
    </xf>
    <xf numFmtId="0" fontId="0" fillId="7" borderId="6" xfId="0" applyFill="1" applyBorder="1" applyAlignment="1">
      <alignment horizontal="center" vertical="center" wrapText="1"/>
    </xf>
    <xf numFmtId="0" fontId="0" fillId="7" borderId="24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0" fillId="0" borderId="33" xfId="0" applyBorder="1" applyAlignment="1">
      <alignment horizontal="right" vertical="top"/>
    </xf>
    <xf numFmtId="0" fontId="0" fillId="0" borderId="11" xfId="0" applyBorder="1" applyAlignment="1">
      <alignment horizontal="center" vertical="center" textRotation="90" shrinkToFit="1"/>
    </xf>
    <xf numFmtId="0" fontId="0" fillId="0" borderId="31" xfId="0" applyBorder="1" applyAlignment="1">
      <alignment horizontal="center" vertical="center" textRotation="90" shrinkToFit="1"/>
    </xf>
    <xf numFmtId="0" fontId="3" fillId="0" borderId="27" xfId="0" applyNumberFormat="1" applyFont="1" applyBorder="1" applyAlignment="1">
      <alignment horizontal="center" vertical="center" textRotation="90"/>
    </xf>
    <xf numFmtId="0" fontId="3" fillId="0" borderId="18" xfId="0" applyNumberFormat="1" applyFont="1" applyBorder="1" applyAlignment="1">
      <alignment horizontal="center" vertical="center" textRotation="90"/>
    </xf>
    <xf numFmtId="0" fontId="3" fillId="0" borderId="32" xfId="0" applyNumberFormat="1" applyFont="1" applyBorder="1" applyAlignment="1">
      <alignment horizontal="center" vertical="center" textRotation="90"/>
    </xf>
    <xf numFmtId="0" fontId="3" fillId="0" borderId="41" xfId="0" applyNumberFormat="1" applyFont="1" applyFill="1" applyBorder="1" applyAlignment="1">
      <alignment horizontal="center" vertical="center" textRotation="90"/>
    </xf>
    <xf numFmtId="0" fontId="3" fillId="0" borderId="6" xfId="0" applyNumberFormat="1" applyFont="1" applyFill="1" applyBorder="1" applyAlignment="1">
      <alignment horizontal="center" vertical="center" textRotation="90"/>
    </xf>
    <xf numFmtId="0" fontId="3" fillId="0" borderId="70" xfId="0" applyNumberFormat="1" applyFont="1" applyFill="1" applyBorder="1" applyAlignment="1">
      <alignment horizontal="center" vertical="center" textRotation="90"/>
    </xf>
    <xf numFmtId="0" fontId="3" fillId="0" borderId="41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70" xfId="0" applyFont="1" applyBorder="1" applyAlignment="1">
      <alignment horizontal="center" vertical="center" textRotation="90" wrapText="1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49" fontId="2" fillId="7" borderId="20" xfId="0" applyNumberFormat="1" applyFont="1" applyFill="1" applyBorder="1" applyAlignment="1">
      <alignment horizontal="center" vertical="top" textRotation="90"/>
    </xf>
    <xf numFmtId="49" fontId="2" fillId="7" borderId="29" xfId="0" applyNumberFormat="1" applyFont="1" applyFill="1" applyBorder="1" applyAlignment="1">
      <alignment horizontal="center" vertical="top" textRotation="90"/>
    </xf>
    <xf numFmtId="49" fontId="3" fillId="0" borderId="8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64" fontId="5" fillId="7" borderId="38" xfId="0" applyNumberFormat="1" applyFont="1" applyFill="1" applyBorder="1" applyAlignment="1">
      <alignment horizontal="center" vertical="top" wrapText="1"/>
    </xf>
    <xf numFmtId="0" fontId="23" fillId="7" borderId="7" xfId="0" applyFont="1" applyFill="1" applyBorder="1" applyAlignment="1">
      <alignment horizontal="center" vertical="top" wrapText="1"/>
    </xf>
    <xf numFmtId="0" fontId="23" fillId="7" borderId="30" xfId="0" applyFont="1" applyFill="1" applyBorder="1" applyAlignment="1">
      <alignment horizontal="center" vertical="top" wrapText="1"/>
    </xf>
    <xf numFmtId="49" fontId="9" fillId="7" borderId="20" xfId="0" applyNumberFormat="1" applyFont="1" applyFill="1" applyBorder="1" applyAlignment="1">
      <alignment horizontal="center" vertical="center" textRotation="90"/>
    </xf>
    <xf numFmtId="49" fontId="17" fillId="0" borderId="11" xfId="0" applyNumberFormat="1" applyFont="1" applyBorder="1" applyAlignment="1">
      <alignment horizontal="center" vertical="center" textRotation="90"/>
    </xf>
    <xf numFmtId="49" fontId="17" fillId="0" borderId="29" xfId="0" applyNumberFormat="1" applyFont="1" applyBorder="1" applyAlignment="1">
      <alignment horizontal="center" vertical="center" textRotation="90"/>
    </xf>
    <xf numFmtId="49" fontId="3" fillId="7" borderId="8" xfId="0" applyNumberFormat="1" applyFont="1" applyFill="1" applyBorder="1" applyAlignment="1">
      <alignment horizontal="center" vertical="center" wrapText="1"/>
    </xf>
    <xf numFmtId="49" fontId="3" fillId="7" borderId="6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0" fontId="11" fillId="10" borderId="62" xfId="0" applyFont="1" applyFill="1" applyBorder="1" applyAlignment="1">
      <alignment horizontal="right" vertical="top"/>
    </xf>
    <xf numFmtId="49" fontId="3" fillId="0" borderId="6" xfId="0" applyNumberFormat="1" applyFont="1" applyBorder="1" applyAlignment="1">
      <alignment horizontal="center" vertical="center" wrapText="1"/>
    </xf>
    <xf numFmtId="49" fontId="5" fillId="3" borderId="88" xfId="0" applyNumberFormat="1" applyFont="1" applyFill="1" applyBorder="1" applyAlignment="1">
      <alignment horizontal="center" vertical="top"/>
    </xf>
    <xf numFmtId="0" fontId="3" fillId="7" borderId="89" xfId="0" applyFont="1" applyFill="1" applyBorder="1" applyAlignment="1">
      <alignment horizontal="left" vertical="top" wrapText="1"/>
    </xf>
    <xf numFmtId="49" fontId="2" fillId="0" borderId="20" xfId="0" applyNumberFormat="1" applyFont="1" applyBorder="1" applyAlignment="1">
      <alignment horizontal="center" vertical="center" textRotation="90"/>
    </xf>
    <xf numFmtId="49" fontId="2" fillId="0" borderId="11" xfId="0" applyNumberFormat="1" applyFont="1" applyBorder="1" applyAlignment="1">
      <alignment horizontal="center" vertical="center" textRotation="90"/>
    </xf>
    <xf numFmtId="0" fontId="1" fillId="0" borderId="29" xfId="0" applyFont="1" applyBorder="1" applyAlignment="1">
      <alignment horizontal="center" vertical="center" textRotation="90"/>
    </xf>
    <xf numFmtId="49" fontId="2" fillId="0" borderId="20" xfId="0" applyNumberFormat="1" applyFont="1" applyBorder="1" applyAlignment="1">
      <alignment vertical="center" textRotation="90"/>
    </xf>
    <xf numFmtId="49" fontId="2" fillId="0" borderId="11" xfId="0" applyNumberFormat="1" applyFont="1" applyBorder="1" applyAlignment="1">
      <alignment vertical="center" textRotation="90"/>
    </xf>
    <xf numFmtId="49" fontId="2" fillId="0" borderId="29" xfId="0" applyNumberFormat="1" applyFont="1" applyBorder="1" applyAlignment="1">
      <alignment vertical="center" textRotation="90"/>
    </xf>
    <xf numFmtId="0" fontId="0" fillId="0" borderId="30" xfId="0" applyBorder="1" applyAlignment="1">
      <alignment horizontal="left" wrapText="1"/>
    </xf>
    <xf numFmtId="0" fontId="3" fillId="10" borderId="65" xfId="0" applyFont="1" applyFill="1" applyBorder="1" applyAlignment="1">
      <alignment horizontal="center" vertical="top" wrapText="1"/>
    </xf>
    <xf numFmtId="0" fontId="20" fillId="12" borderId="50" xfId="0" applyFont="1" applyFill="1" applyBorder="1" applyAlignment="1">
      <alignment horizontal="left" vertical="top" wrapText="1"/>
    </xf>
    <xf numFmtId="0" fontId="20" fillId="12" borderId="36" xfId="0" applyFont="1" applyFill="1" applyBorder="1" applyAlignment="1">
      <alignment horizontal="left" vertical="top" wrapText="1"/>
    </xf>
    <xf numFmtId="0" fontId="3" fillId="3" borderId="30" xfId="0" applyFont="1" applyFill="1" applyBorder="1" applyAlignment="1">
      <alignment horizontal="left" vertical="top" wrapText="1"/>
    </xf>
    <xf numFmtId="49" fontId="2" fillId="0" borderId="26" xfId="0" applyNumberFormat="1" applyFont="1" applyBorder="1" applyAlignment="1">
      <alignment horizontal="center" vertical="top" textRotation="90"/>
    </xf>
    <xf numFmtId="49" fontId="2" fillId="0" borderId="31" xfId="0" applyNumberFormat="1" applyFont="1" applyBorder="1" applyAlignment="1">
      <alignment horizontal="center" vertical="top" textRotation="90"/>
    </xf>
    <xf numFmtId="49" fontId="9" fillId="0" borderId="41" xfId="0" applyNumberFormat="1" applyFont="1" applyFill="1" applyBorder="1" applyAlignment="1">
      <alignment horizontal="center" vertical="top" wrapText="1"/>
    </xf>
    <xf numFmtId="0" fontId="17" fillId="0" borderId="6" xfId="0" applyFont="1" applyBorder="1" applyAlignment="1">
      <alignment horizontal="center" wrapText="1"/>
    </xf>
    <xf numFmtId="0" fontId="17" fillId="0" borderId="70" xfId="0" applyFont="1" applyBorder="1" applyAlignment="1">
      <alignment horizontal="center"/>
    </xf>
    <xf numFmtId="43" fontId="3" fillId="0" borderId="5" xfId="1" applyFont="1" applyFill="1" applyBorder="1" applyAlignment="1">
      <alignment horizontal="left" vertical="top" wrapText="1"/>
    </xf>
    <xf numFmtId="3" fontId="2" fillId="0" borderId="20" xfId="0" applyNumberFormat="1" applyFont="1" applyBorder="1" applyAlignment="1">
      <alignment vertical="center" textRotation="90" wrapText="1"/>
    </xf>
    <xf numFmtId="0" fontId="0" fillId="0" borderId="11" xfId="0" applyNumberFormat="1" applyBorder="1" applyAlignment="1">
      <alignment vertical="center" textRotation="90" wrapText="1"/>
    </xf>
    <xf numFmtId="0" fontId="0" fillId="0" borderId="29" xfId="0" applyNumberFormat="1" applyBorder="1" applyAlignment="1">
      <alignment vertical="center" textRotation="90" wrapText="1"/>
    </xf>
    <xf numFmtId="165" fontId="3" fillId="0" borderId="21" xfId="0" applyNumberFormat="1" applyFont="1" applyFill="1" applyBorder="1" applyAlignment="1">
      <alignment horizontal="center" vertical="center"/>
    </xf>
    <xf numFmtId="165" fontId="3" fillId="0" borderId="28" xfId="0" applyNumberFormat="1" applyFont="1" applyFill="1" applyBorder="1" applyAlignment="1">
      <alignment horizontal="center" vertical="center"/>
    </xf>
    <xf numFmtId="3" fontId="2" fillId="0" borderId="50" xfId="0" applyNumberFormat="1" applyFont="1" applyBorder="1" applyAlignment="1">
      <alignment horizontal="center" vertical="top" textRotation="90" wrapText="1"/>
    </xf>
    <xf numFmtId="0" fontId="3" fillId="7" borderId="30" xfId="0" applyFont="1" applyFill="1" applyBorder="1" applyAlignment="1">
      <alignment horizontal="left" vertical="top" wrapText="1"/>
    </xf>
    <xf numFmtId="49" fontId="3" fillId="7" borderId="8" xfId="0" applyNumberFormat="1" applyFont="1" applyFill="1" applyBorder="1" applyAlignment="1">
      <alignment horizontal="center" vertical="top" wrapText="1"/>
    </xf>
    <xf numFmtId="49" fontId="3" fillId="7" borderId="6" xfId="0" applyNumberFormat="1" applyFont="1" applyFill="1" applyBorder="1" applyAlignment="1">
      <alignment horizontal="center" vertical="top" wrapText="1"/>
    </xf>
    <xf numFmtId="0" fontId="0" fillId="7" borderId="6" xfId="0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center" textRotation="90" wrapText="1"/>
    </xf>
    <xf numFmtId="49" fontId="2" fillId="3" borderId="48" xfId="0" applyNumberFormat="1" applyFont="1" applyFill="1" applyBorder="1" applyAlignment="1">
      <alignment horizontal="center" vertical="top" textRotation="90" wrapText="1"/>
    </xf>
    <xf numFmtId="49" fontId="2" fillId="3" borderId="36" xfId="0" applyNumberFormat="1" applyFont="1" applyFill="1" applyBorder="1" applyAlignment="1">
      <alignment horizontal="center" vertical="top" textRotation="90" wrapText="1"/>
    </xf>
    <xf numFmtId="3" fontId="3" fillId="0" borderId="27" xfId="0" applyNumberFormat="1" applyFont="1" applyFill="1" applyBorder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3" fillId="7" borderId="7" xfId="0" applyFont="1" applyFill="1" applyBorder="1" applyAlignment="1">
      <alignment horizontal="center" vertical="center" textRotation="90" wrapText="1"/>
    </xf>
    <xf numFmtId="0" fontId="0" fillId="7" borderId="7" xfId="0" applyFill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top" wrapText="1"/>
    </xf>
    <xf numFmtId="49" fontId="2" fillId="0" borderId="26" xfId="0" applyNumberFormat="1" applyFont="1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top" wrapText="1"/>
    </xf>
    <xf numFmtId="49" fontId="3" fillId="0" borderId="41" xfId="0" applyNumberFormat="1" applyFont="1" applyBorder="1" applyAlignment="1">
      <alignment horizontal="center" vertical="top" wrapText="1"/>
    </xf>
    <xf numFmtId="0" fontId="7" fillId="0" borderId="46" xfId="0" applyFont="1" applyFill="1" applyBorder="1" applyAlignment="1">
      <alignment horizontal="center" vertical="top" wrapText="1"/>
    </xf>
    <xf numFmtId="0" fontId="7" fillId="0" borderId="35" xfId="0" applyFont="1" applyFill="1" applyBorder="1" applyAlignment="1">
      <alignment horizontal="center" vertical="top" wrapText="1"/>
    </xf>
    <xf numFmtId="0" fontId="7" fillId="0" borderId="76" xfId="0" applyFont="1" applyFill="1" applyBorder="1" applyAlignment="1">
      <alignment horizontal="center" vertical="top" wrapText="1"/>
    </xf>
    <xf numFmtId="49" fontId="2" fillId="0" borderId="26" xfId="0" applyNumberFormat="1" applyFont="1" applyBorder="1" applyAlignment="1">
      <alignment horizontal="right" vertical="top" textRotation="90" wrapText="1"/>
    </xf>
    <xf numFmtId="49" fontId="3" fillId="0" borderId="41" xfId="0" applyNumberFormat="1" applyFont="1" applyFill="1" applyBorder="1" applyAlignment="1">
      <alignment horizontal="center" vertical="top" wrapText="1"/>
    </xf>
    <xf numFmtId="49" fontId="2" fillId="0" borderId="43" xfId="0" applyNumberFormat="1" applyFont="1" applyBorder="1" applyAlignment="1">
      <alignment horizontal="center" vertical="top" textRotation="90" wrapText="1"/>
    </xf>
    <xf numFmtId="49" fontId="2" fillId="0" borderId="50" xfId="0" applyNumberFormat="1" applyFont="1" applyBorder="1" applyAlignment="1">
      <alignment horizontal="center" vertical="top" textRotation="90" wrapText="1"/>
    </xf>
    <xf numFmtId="49" fontId="2" fillId="0" borderId="58" xfId="0" applyNumberFormat="1" applyFont="1" applyBorder="1" applyAlignment="1">
      <alignment horizontal="center" vertical="top" textRotation="90" wrapText="1"/>
    </xf>
    <xf numFmtId="0" fontId="11" fillId="0" borderId="70" xfId="0" applyFont="1" applyBorder="1" applyAlignment="1">
      <alignment horizontal="center" vertical="top"/>
    </xf>
    <xf numFmtId="0" fontId="3" fillId="3" borderId="63" xfId="0" applyFont="1" applyFill="1" applyBorder="1" applyAlignment="1">
      <alignment vertical="top" wrapText="1"/>
    </xf>
    <xf numFmtId="0" fontId="0" fillId="0" borderId="79" xfId="0" applyBorder="1" applyAlignment="1">
      <alignment vertical="top" wrapText="1"/>
    </xf>
    <xf numFmtId="0" fontId="0" fillId="0" borderId="29" xfId="0" applyBorder="1" applyAlignment="1">
      <alignment horizontal="center" vertical="top" wrapText="1"/>
    </xf>
    <xf numFmtId="0" fontId="3" fillId="0" borderId="51" xfId="0" applyFont="1" applyFill="1" applyBorder="1" applyAlignment="1">
      <alignment horizontal="left" vertical="top" wrapText="1"/>
    </xf>
    <xf numFmtId="0" fontId="0" fillId="0" borderId="68" xfId="0" applyBorder="1" applyAlignment="1">
      <alignment horizontal="left" vertical="top" wrapText="1"/>
    </xf>
    <xf numFmtId="0" fontId="9" fillId="0" borderId="0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0" fontId="5" fillId="11" borderId="76" xfId="0" applyFont="1" applyFill="1" applyBorder="1" applyAlignment="1">
      <alignment horizontal="right" vertical="top" wrapText="1"/>
    </xf>
    <xf numFmtId="0" fontId="5" fillId="11" borderId="33" xfId="0" applyFont="1" applyFill="1" applyBorder="1" applyAlignment="1">
      <alignment horizontal="right" vertical="top" wrapText="1"/>
    </xf>
    <xf numFmtId="0" fontId="5" fillId="11" borderId="34" xfId="0" applyFont="1" applyFill="1" applyBorder="1" applyAlignment="1">
      <alignment horizontal="right" vertical="top" wrapText="1"/>
    </xf>
    <xf numFmtId="49" fontId="3" fillId="0" borderId="46" xfId="0" applyNumberFormat="1" applyFont="1" applyBorder="1" applyAlignment="1">
      <alignment horizontal="center" vertical="top" wrapText="1"/>
    </xf>
    <xf numFmtId="0" fontId="0" fillId="0" borderId="76" xfId="0" applyBorder="1" applyAlignment="1">
      <alignment horizontal="center" vertical="top" wrapText="1"/>
    </xf>
    <xf numFmtId="0" fontId="5" fillId="8" borderId="71" xfId="0" applyFont="1" applyFill="1" applyBorder="1" applyAlignment="1">
      <alignment horizontal="left" vertical="top" wrapText="1"/>
    </xf>
    <xf numFmtId="0" fontId="23" fillId="8" borderId="66" xfId="0" applyFont="1" applyFill="1" applyBorder="1" applyAlignment="1">
      <alignment horizontal="left" vertical="top" wrapText="1"/>
    </xf>
    <xf numFmtId="0" fontId="23" fillId="8" borderId="44" xfId="0" applyFont="1" applyFill="1" applyBorder="1" applyAlignment="1">
      <alignment horizontal="left" vertical="top" wrapText="1"/>
    </xf>
    <xf numFmtId="0" fontId="5" fillId="8" borderId="66" xfId="0" applyFont="1" applyFill="1" applyBorder="1" applyAlignment="1">
      <alignment horizontal="left" vertical="top" wrapText="1"/>
    </xf>
    <xf numFmtId="0" fontId="5" fillId="8" borderId="44" xfId="0" applyFont="1" applyFill="1" applyBorder="1" applyAlignment="1">
      <alignment horizontal="left" vertical="top" wrapText="1"/>
    </xf>
    <xf numFmtId="49" fontId="5" fillId="10" borderId="29" xfId="0" applyNumberFormat="1" applyFont="1" applyFill="1" applyBorder="1" applyAlignment="1">
      <alignment horizontal="center" vertical="top"/>
    </xf>
    <xf numFmtId="49" fontId="3" fillId="0" borderId="20" xfId="0" applyNumberFormat="1" applyFont="1" applyBorder="1" applyAlignment="1">
      <alignment horizontal="center" vertical="top"/>
    </xf>
    <xf numFmtId="49" fontId="3" fillId="0" borderId="29" xfId="0" applyNumberFormat="1" applyFont="1" applyBorder="1" applyAlignment="1">
      <alignment horizontal="center" vertical="top"/>
    </xf>
    <xf numFmtId="49" fontId="3" fillId="0" borderId="88" xfId="0" applyNumberFormat="1" applyFont="1" applyBorder="1" applyAlignment="1">
      <alignment horizontal="center" vertical="top"/>
    </xf>
    <xf numFmtId="49" fontId="3" fillId="3" borderId="48" xfId="0" applyNumberFormat="1" applyFont="1" applyFill="1" applyBorder="1" applyAlignment="1">
      <alignment horizontal="center" vertical="top" wrapText="1"/>
    </xf>
    <xf numFmtId="49" fontId="3" fillId="3" borderId="50" xfId="0" applyNumberFormat="1" applyFont="1" applyFill="1" applyBorder="1" applyAlignment="1">
      <alignment horizontal="center" vertical="top" wrapText="1"/>
    </xf>
    <xf numFmtId="49" fontId="3" fillId="3" borderId="36" xfId="0" applyNumberFormat="1" applyFont="1" applyFill="1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165" fontId="3" fillId="0" borderId="20" xfId="0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 wrapText="1"/>
    </xf>
    <xf numFmtId="49" fontId="3" fillId="3" borderId="11" xfId="0" applyNumberFormat="1" applyFont="1" applyFill="1" applyBorder="1" applyAlignment="1">
      <alignment horizontal="center" vertical="top" wrapText="1"/>
    </xf>
    <xf numFmtId="49" fontId="3" fillId="0" borderId="48" xfId="0" applyNumberFormat="1" applyFont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 vertical="top"/>
    </xf>
    <xf numFmtId="0" fontId="5" fillId="0" borderId="72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textRotation="90" wrapText="1"/>
    </xf>
    <xf numFmtId="0" fontId="9" fillId="0" borderId="32" xfId="0" applyFont="1" applyFill="1" applyBorder="1" applyAlignment="1">
      <alignment horizontal="center" vertical="center" textRotation="90" wrapText="1"/>
    </xf>
    <xf numFmtId="49" fontId="3" fillId="0" borderId="51" xfId="0" applyNumberFormat="1" applyFont="1" applyBorder="1" applyAlignment="1">
      <alignment horizontal="center" vertical="top" wrapText="1"/>
    </xf>
    <xf numFmtId="49" fontId="3" fillId="0" borderId="35" xfId="0" applyNumberFormat="1" applyFont="1" applyBorder="1" applyAlignment="1">
      <alignment horizontal="center" vertical="top" wrapText="1"/>
    </xf>
    <xf numFmtId="49" fontId="3" fillId="0" borderId="68" xfId="0" applyNumberFormat="1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/>
    </xf>
    <xf numFmtId="0" fontId="3" fillId="0" borderId="3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3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1" xfId="0" applyNumberFormat="1" applyFont="1" applyFill="1" applyBorder="1" applyAlignment="1">
      <alignment horizontal="center" vertical="center" textRotation="90" shrinkToFit="1"/>
    </xf>
    <xf numFmtId="0" fontId="3" fillId="0" borderId="6" xfId="0" applyNumberFormat="1" applyFont="1" applyFill="1" applyBorder="1" applyAlignment="1">
      <alignment horizontal="center" vertical="center" textRotation="90" shrinkToFit="1"/>
    </xf>
    <xf numFmtId="0" fontId="3" fillId="0" borderId="70" xfId="0" applyNumberFormat="1" applyFont="1" applyFill="1" applyBorder="1" applyAlignment="1">
      <alignment horizontal="center" vertical="center" textRotation="90" shrinkToFi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3" fillId="0" borderId="51" xfId="0" applyNumberFormat="1" applyFont="1" applyFill="1" applyBorder="1" applyAlignment="1">
      <alignment horizontal="center" vertical="top" wrapText="1"/>
    </xf>
    <xf numFmtId="49" fontId="3" fillId="0" borderId="35" xfId="0" applyNumberFormat="1" applyFont="1" applyFill="1" applyBorder="1" applyAlignment="1">
      <alignment horizontal="center" vertical="top" wrapText="1"/>
    </xf>
    <xf numFmtId="3" fontId="3" fillId="0" borderId="27" xfId="0" applyNumberFormat="1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3" fontId="3" fillId="0" borderId="20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top" wrapText="1"/>
    </xf>
    <xf numFmtId="0" fontId="5" fillId="7" borderId="18" xfId="0" applyFont="1" applyFill="1" applyBorder="1" applyAlignment="1">
      <alignment vertical="top" wrapText="1"/>
    </xf>
    <xf numFmtId="0" fontId="5" fillId="7" borderId="28" xfId="0" applyFont="1" applyFill="1" applyBorder="1" applyAlignment="1">
      <alignment vertical="top" wrapText="1"/>
    </xf>
    <xf numFmtId="49" fontId="3" fillId="0" borderId="40" xfId="0" applyNumberFormat="1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left" vertical="top" wrapText="1"/>
    </xf>
    <xf numFmtId="49" fontId="3" fillId="0" borderId="43" xfId="0" applyNumberFormat="1" applyFont="1" applyBorder="1" applyAlignment="1">
      <alignment horizontal="center" vertical="top" wrapText="1"/>
    </xf>
    <xf numFmtId="49" fontId="3" fillId="0" borderId="58" xfId="0" applyNumberFormat="1" applyFont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top" wrapText="1"/>
    </xf>
    <xf numFmtId="49" fontId="3" fillId="0" borderId="31" xfId="0" applyNumberFormat="1" applyFont="1" applyBorder="1" applyAlignment="1">
      <alignment horizontal="center" vertical="top" wrapText="1"/>
    </xf>
    <xf numFmtId="0" fontId="0" fillId="0" borderId="35" xfId="0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3" fillId="0" borderId="76" xfId="0" applyFont="1" applyBorder="1" applyAlignment="1">
      <alignment horizontal="center" vertical="top" wrapText="1"/>
    </xf>
    <xf numFmtId="0" fontId="5" fillId="3" borderId="32" xfId="0" applyFont="1" applyFill="1" applyBorder="1" applyAlignment="1">
      <alignment vertical="top" wrapText="1"/>
    </xf>
    <xf numFmtId="164" fontId="5" fillId="5" borderId="71" xfId="0" applyNumberFormat="1" applyFont="1" applyFill="1" applyBorder="1" applyAlignment="1">
      <alignment horizontal="center" vertical="top" wrapText="1"/>
    </xf>
    <xf numFmtId="164" fontId="5" fillId="5" borderId="66" xfId="0" applyNumberFormat="1" applyFont="1" applyFill="1" applyBorder="1" applyAlignment="1">
      <alignment horizontal="center" vertical="top" wrapText="1"/>
    </xf>
    <xf numFmtId="164" fontId="5" fillId="5" borderId="44" xfId="0" applyNumberFormat="1" applyFont="1" applyFill="1" applyBorder="1" applyAlignment="1">
      <alignment horizontal="center" vertical="top" wrapText="1"/>
    </xf>
    <xf numFmtId="164" fontId="3" fillId="0" borderId="71" xfId="0" applyNumberFormat="1" applyFont="1" applyBorder="1" applyAlignment="1">
      <alignment horizontal="center" vertical="top" wrapText="1"/>
    </xf>
    <xf numFmtId="164" fontId="3" fillId="0" borderId="66" xfId="0" applyNumberFormat="1" applyFont="1" applyBorder="1" applyAlignment="1">
      <alignment horizontal="center" vertical="top" wrapText="1"/>
    </xf>
    <xf numFmtId="164" fontId="3" fillId="0" borderId="44" xfId="0" applyNumberFormat="1" applyFont="1" applyBorder="1" applyAlignment="1">
      <alignment horizontal="center" vertical="top" wrapText="1"/>
    </xf>
    <xf numFmtId="164" fontId="3" fillId="8" borderId="71" xfId="0" applyNumberFormat="1" applyFont="1" applyFill="1" applyBorder="1" applyAlignment="1">
      <alignment horizontal="center" vertical="top" wrapText="1"/>
    </xf>
    <xf numFmtId="164" fontId="3" fillId="8" borderId="66" xfId="0" applyNumberFormat="1" applyFont="1" applyFill="1" applyBorder="1" applyAlignment="1">
      <alignment horizontal="center" vertical="top" wrapText="1"/>
    </xf>
    <xf numFmtId="164" fontId="3" fillId="8" borderId="44" xfId="0" applyNumberFormat="1" applyFont="1" applyFill="1" applyBorder="1" applyAlignment="1">
      <alignment horizontal="center" vertical="top" wrapText="1"/>
    </xf>
    <xf numFmtId="0" fontId="0" fillId="8" borderId="66" xfId="0" applyFill="1" applyBorder="1" applyAlignment="1">
      <alignment horizontal="left" vertical="top" wrapText="1"/>
    </xf>
    <xf numFmtId="0" fontId="0" fillId="8" borderId="44" xfId="0" applyFill="1" applyBorder="1" applyAlignment="1">
      <alignment horizontal="left" vertical="top" wrapText="1"/>
    </xf>
    <xf numFmtId="164" fontId="3" fillId="7" borderId="71" xfId="0" applyNumberFormat="1" applyFont="1" applyFill="1" applyBorder="1" applyAlignment="1">
      <alignment horizontal="center" vertical="top" wrapText="1"/>
    </xf>
    <xf numFmtId="164" fontId="3" fillId="7" borderId="66" xfId="0" applyNumberFormat="1" applyFont="1" applyFill="1" applyBorder="1" applyAlignment="1">
      <alignment horizontal="center" vertical="top" wrapText="1"/>
    </xf>
    <xf numFmtId="164" fontId="3" fillId="7" borderId="44" xfId="0" applyNumberFormat="1" applyFont="1" applyFill="1" applyBorder="1" applyAlignment="1">
      <alignment horizontal="center" vertical="top" wrapText="1"/>
    </xf>
    <xf numFmtId="164" fontId="5" fillId="4" borderId="76" xfId="0" applyNumberFormat="1" applyFont="1" applyFill="1" applyBorder="1" applyAlignment="1">
      <alignment horizontal="center" vertical="top" wrapText="1"/>
    </xf>
    <xf numFmtId="164" fontId="5" fillId="4" borderId="33" xfId="0" applyNumberFormat="1" applyFont="1" applyFill="1" applyBorder="1" applyAlignment="1">
      <alignment horizontal="center" vertical="top" wrapText="1"/>
    </xf>
    <xf numFmtId="164" fontId="5" fillId="4" borderId="34" xfId="0" applyNumberFormat="1" applyFont="1" applyFill="1" applyBorder="1" applyAlignment="1">
      <alignment horizontal="center" vertical="top" wrapText="1"/>
    </xf>
    <xf numFmtId="164" fontId="5" fillId="8" borderId="71" xfId="0" applyNumberFormat="1" applyFont="1" applyFill="1" applyBorder="1" applyAlignment="1">
      <alignment horizontal="center" vertical="top" wrapText="1"/>
    </xf>
    <xf numFmtId="0" fontId="0" fillId="8" borderId="66" xfId="0" applyFill="1" applyBorder="1" applyAlignment="1">
      <alignment horizontal="center" vertical="top" wrapText="1"/>
    </xf>
    <xf numFmtId="0" fontId="0" fillId="8" borderId="44" xfId="0" applyFill="1" applyBorder="1" applyAlignment="1">
      <alignment horizontal="center" vertical="top" wrapText="1"/>
    </xf>
    <xf numFmtId="164" fontId="5" fillId="5" borderId="72" xfId="0" applyNumberFormat="1" applyFont="1" applyFill="1" applyBorder="1" applyAlignment="1">
      <alignment horizontal="center" vertical="top" wrapText="1"/>
    </xf>
    <xf numFmtId="164" fontId="5" fillId="5" borderId="77" xfId="0" applyNumberFormat="1" applyFont="1" applyFill="1" applyBorder="1" applyAlignment="1">
      <alignment horizontal="center" vertical="top" wrapText="1"/>
    </xf>
    <xf numFmtId="164" fontId="5" fillId="5" borderId="73" xfId="0" applyNumberFormat="1" applyFont="1" applyFill="1" applyBorder="1" applyAlignment="1">
      <alignment horizontal="center" vertical="top" wrapText="1"/>
    </xf>
    <xf numFmtId="0" fontId="5" fillId="5" borderId="77" xfId="0" applyNumberFormat="1" applyFont="1" applyFill="1" applyBorder="1" applyAlignment="1">
      <alignment horizontal="center" vertical="top" wrapText="1"/>
    </xf>
    <xf numFmtId="0" fontId="5" fillId="5" borderId="73" xfId="0" applyNumberFormat="1" applyFont="1" applyFill="1" applyBorder="1" applyAlignment="1">
      <alignment horizontal="center" vertical="top" wrapText="1"/>
    </xf>
    <xf numFmtId="0" fontId="5" fillId="5" borderId="72" xfId="0" applyNumberFormat="1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left" vertical="top" wrapText="1"/>
    </xf>
    <xf numFmtId="3" fontId="3" fillId="0" borderId="26" xfId="0" applyNumberFormat="1" applyFont="1" applyFill="1" applyBorder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top"/>
    </xf>
    <xf numFmtId="49" fontId="3" fillId="0" borderId="45" xfId="0" applyNumberFormat="1" applyFont="1" applyBorder="1" applyAlignment="1">
      <alignment horizontal="center" vertical="top" wrapText="1"/>
    </xf>
    <xf numFmtId="0" fontId="3" fillId="7" borderId="50" xfId="0" applyFont="1" applyFill="1" applyBorder="1" applyAlignment="1">
      <alignment vertical="top" wrapText="1"/>
    </xf>
    <xf numFmtId="0" fontId="17" fillId="0" borderId="6" xfId="0" applyFont="1" applyBorder="1" applyAlignment="1">
      <alignment horizontal="center"/>
    </xf>
    <xf numFmtId="3" fontId="3" fillId="0" borderId="21" xfId="0" applyNumberFormat="1" applyFont="1" applyFill="1" applyBorder="1" applyAlignment="1">
      <alignment horizontal="center" vertical="center"/>
    </xf>
    <xf numFmtId="3" fontId="3" fillId="0" borderId="18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textRotation="90" wrapText="1"/>
    </xf>
    <xf numFmtId="0" fontId="3" fillId="3" borderId="48" xfId="0" applyFont="1" applyFill="1" applyBorder="1" applyAlignment="1">
      <alignment vertical="top" wrapText="1"/>
    </xf>
    <xf numFmtId="0" fontId="11" fillId="3" borderId="50" xfId="0" applyFont="1" applyFill="1" applyBorder="1" applyAlignment="1">
      <alignment vertical="top" wrapText="1"/>
    </xf>
    <xf numFmtId="49" fontId="5" fillId="9" borderId="76" xfId="0" applyNumberFormat="1" applyFont="1" applyFill="1" applyBorder="1" applyAlignment="1">
      <alignment horizontal="center" vertical="top"/>
    </xf>
    <xf numFmtId="3" fontId="3" fillId="7" borderId="0" xfId="0" applyNumberFormat="1" applyFont="1" applyFill="1" applyAlignment="1">
      <alignment vertical="top"/>
    </xf>
    <xf numFmtId="3" fontId="11" fillId="7" borderId="0" xfId="0" applyNumberFormat="1" applyFont="1" applyFill="1" applyAlignment="1">
      <alignment vertical="top"/>
    </xf>
    <xf numFmtId="0" fontId="0" fillId="0" borderId="6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26" fillId="0" borderId="7" xfId="0" applyFont="1" applyBorder="1" applyAlignment="1">
      <alignment horizontal="center" vertical="center" wrapText="1"/>
    </xf>
    <xf numFmtId="0" fontId="32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2" fillId="0" borderId="0" xfId="0" applyFont="1" applyAlignment="1">
      <alignment horizontal="center" vertical="top" wrapText="1" shrinkToFit="1"/>
    </xf>
    <xf numFmtId="0" fontId="35" fillId="0" borderId="0" xfId="0" applyFont="1" applyAlignment="1">
      <alignment horizontal="center" vertical="top" wrapText="1" shrinkToFit="1"/>
    </xf>
    <xf numFmtId="0" fontId="25" fillId="0" borderId="0" xfId="0" applyNumberFormat="1" applyFont="1" applyFill="1" applyBorder="1" applyAlignment="1">
      <alignment horizontal="left" vertical="top" wrapText="1"/>
    </xf>
    <xf numFmtId="0" fontId="20" fillId="7" borderId="48" xfId="0" applyFont="1" applyFill="1" applyBorder="1" applyAlignment="1">
      <alignment vertical="top" wrapText="1"/>
    </xf>
    <xf numFmtId="0" fontId="20" fillId="7" borderId="36" xfId="0" applyFont="1" applyFill="1" applyBorder="1" applyAlignment="1">
      <alignment vertical="top" wrapText="1"/>
    </xf>
    <xf numFmtId="0" fontId="20" fillId="3" borderId="21" xfId="0" applyFont="1" applyFill="1" applyBorder="1" applyAlignment="1">
      <alignment horizontal="left" vertical="top" wrapText="1"/>
    </xf>
    <xf numFmtId="0" fontId="37" fillId="0" borderId="2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colors>
    <mruColors>
      <color rgb="FFCCFFCC"/>
      <color rgb="FF99FF99"/>
      <color rgb="FFFF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04"/>
  <sheetViews>
    <sheetView tabSelected="1" zoomScaleNormal="100" zoomScaleSheetLayoutView="100" workbookViewId="0">
      <selection activeCell="X23" sqref="X23"/>
    </sheetView>
  </sheetViews>
  <sheetFormatPr defaultRowHeight="12.75" x14ac:dyDescent="0.2"/>
  <cols>
    <col min="1" max="3" width="2.7109375" style="9" customWidth="1"/>
    <col min="4" max="4" width="35.42578125" style="9" customWidth="1"/>
    <col min="5" max="5" width="3.42578125" style="68" customWidth="1"/>
    <col min="6" max="6" width="3.42578125" style="114" customWidth="1"/>
    <col min="7" max="7" width="7.7109375" style="10" customWidth="1"/>
    <col min="8" max="8" width="10.140625" style="9" customWidth="1"/>
    <col min="9" max="9" width="10.5703125" style="9" customWidth="1"/>
    <col min="10" max="10" width="10.28515625" style="9" customWidth="1"/>
    <col min="11" max="11" width="34.140625" style="9" customWidth="1"/>
    <col min="12" max="14" width="3.7109375" style="9" customWidth="1"/>
    <col min="15" max="16384" width="9.140625" style="6"/>
  </cols>
  <sheetData>
    <row r="1" spans="1:15" ht="15.75" x14ac:dyDescent="0.2">
      <c r="A1" s="2872" t="s">
        <v>222</v>
      </c>
      <c r="B1" s="2872"/>
      <c r="C1" s="2872"/>
      <c r="D1" s="2872"/>
      <c r="E1" s="2872"/>
      <c r="F1" s="2872"/>
      <c r="G1" s="2872"/>
      <c r="H1" s="2872"/>
      <c r="I1" s="2872"/>
      <c r="J1" s="2872"/>
      <c r="K1" s="2872"/>
      <c r="L1" s="2872"/>
      <c r="M1" s="2872"/>
      <c r="N1" s="2872"/>
    </row>
    <row r="2" spans="1:15" ht="15.75" x14ac:dyDescent="0.2">
      <c r="A2" s="2873" t="s">
        <v>46</v>
      </c>
      <c r="B2" s="2873"/>
      <c r="C2" s="2873"/>
      <c r="D2" s="2873"/>
      <c r="E2" s="2873"/>
      <c r="F2" s="2873"/>
      <c r="G2" s="2873"/>
      <c r="H2" s="2873"/>
      <c r="I2" s="2873"/>
      <c r="J2" s="2873"/>
      <c r="K2" s="2873"/>
      <c r="L2" s="2873"/>
      <c r="M2" s="2873"/>
      <c r="N2" s="2873"/>
    </row>
    <row r="3" spans="1:15" ht="15.75" x14ac:dyDescent="0.2">
      <c r="A3" s="2874" t="s">
        <v>30</v>
      </c>
      <c r="B3" s="2874"/>
      <c r="C3" s="2874"/>
      <c r="D3" s="2874"/>
      <c r="E3" s="2874"/>
      <c r="F3" s="2874"/>
      <c r="G3" s="2874"/>
      <c r="H3" s="2874"/>
      <c r="I3" s="2874"/>
      <c r="J3" s="2874"/>
      <c r="K3" s="2874"/>
      <c r="L3" s="2874"/>
      <c r="M3" s="2874"/>
      <c r="N3" s="2874"/>
      <c r="O3" s="4"/>
    </row>
    <row r="4" spans="1:15" ht="13.5" thickBot="1" x14ac:dyDescent="0.25">
      <c r="A4" s="329"/>
      <c r="B4" s="329"/>
      <c r="C4" s="329"/>
      <c r="D4" s="329"/>
      <c r="E4" s="330"/>
      <c r="F4" s="331"/>
      <c r="G4" s="2502"/>
      <c r="H4" s="329"/>
      <c r="I4" s="329"/>
      <c r="J4" s="329"/>
      <c r="K4" s="329"/>
      <c r="L4" s="2875" t="s">
        <v>265</v>
      </c>
      <c r="M4" s="2875"/>
      <c r="N4" s="2875"/>
    </row>
    <row r="5" spans="1:15" ht="42" customHeight="1" x14ac:dyDescent="0.2">
      <c r="A5" s="2876" t="s">
        <v>31</v>
      </c>
      <c r="B5" s="2879" t="s">
        <v>1</v>
      </c>
      <c r="C5" s="2879" t="s">
        <v>2</v>
      </c>
      <c r="D5" s="2882" t="s">
        <v>15</v>
      </c>
      <c r="E5" s="2885" t="s">
        <v>3</v>
      </c>
      <c r="F5" s="2903" t="s">
        <v>4</v>
      </c>
      <c r="G5" s="2906" t="s">
        <v>5</v>
      </c>
      <c r="H5" s="2915" t="s">
        <v>159</v>
      </c>
      <c r="I5" s="2897" t="s">
        <v>111</v>
      </c>
      <c r="J5" s="2897" t="s">
        <v>160</v>
      </c>
      <c r="K5" s="2900" t="s">
        <v>14</v>
      </c>
      <c r="L5" s="2901"/>
      <c r="M5" s="2901"/>
      <c r="N5" s="2902"/>
    </row>
    <row r="6" spans="1:15" ht="21" customHeight="1" x14ac:dyDescent="0.2">
      <c r="A6" s="2877"/>
      <c r="B6" s="2880"/>
      <c r="C6" s="2880"/>
      <c r="D6" s="2883"/>
      <c r="E6" s="2886"/>
      <c r="F6" s="2904"/>
      <c r="G6" s="2907"/>
      <c r="H6" s="2916"/>
      <c r="I6" s="2898"/>
      <c r="J6" s="2898"/>
      <c r="K6" s="2888" t="s">
        <v>15</v>
      </c>
      <c r="L6" s="2890" t="s">
        <v>264</v>
      </c>
      <c r="M6" s="2891"/>
      <c r="N6" s="2892"/>
    </row>
    <row r="7" spans="1:15" ht="69.75" customHeight="1" thickBot="1" x14ac:dyDescent="0.25">
      <c r="A7" s="2878"/>
      <c r="B7" s="2881"/>
      <c r="C7" s="2881"/>
      <c r="D7" s="2884"/>
      <c r="E7" s="2887"/>
      <c r="F7" s="2905"/>
      <c r="G7" s="2908"/>
      <c r="H7" s="2917"/>
      <c r="I7" s="2899"/>
      <c r="J7" s="2899"/>
      <c r="K7" s="2889"/>
      <c r="L7" s="670" t="s">
        <v>41</v>
      </c>
      <c r="M7" s="670" t="s">
        <v>115</v>
      </c>
      <c r="N7" s="671" t="s">
        <v>161</v>
      </c>
    </row>
    <row r="8" spans="1:15" s="108" customFormat="1" x14ac:dyDescent="0.2">
      <c r="A8" s="2894" t="s">
        <v>109</v>
      </c>
      <c r="B8" s="2895"/>
      <c r="C8" s="2895"/>
      <c r="D8" s="2895"/>
      <c r="E8" s="2895"/>
      <c r="F8" s="2895"/>
      <c r="G8" s="2895"/>
      <c r="H8" s="2895"/>
      <c r="I8" s="2895"/>
      <c r="J8" s="2895"/>
      <c r="K8" s="2895"/>
      <c r="L8" s="2895"/>
      <c r="M8" s="2895"/>
      <c r="N8" s="2896"/>
    </row>
    <row r="9" spans="1:15" s="108" customFormat="1" x14ac:dyDescent="0.2">
      <c r="A9" s="2909" t="s">
        <v>43</v>
      </c>
      <c r="B9" s="2910"/>
      <c r="C9" s="2910"/>
      <c r="D9" s="2910"/>
      <c r="E9" s="2910"/>
      <c r="F9" s="2910"/>
      <c r="G9" s="2910"/>
      <c r="H9" s="2910"/>
      <c r="I9" s="2910"/>
      <c r="J9" s="2910"/>
      <c r="K9" s="2910"/>
      <c r="L9" s="2910"/>
      <c r="M9" s="2910"/>
      <c r="N9" s="2911"/>
    </row>
    <row r="10" spans="1:15" ht="15" customHeight="1" x14ac:dyDescent="0.2">
      <c r="A10" s="376" t="s">
        <v>8</v>
      </c>
      <c r="B10" s="2912" t="s">
        <v>47</v>
      </c>
      <c r="C10" s="2913"/>
      <c r="D10" s="2913"/>
      <c r="E10" s="2913"/>
      <c r="F10" s="2913"/>
      <c r="G10" s="2913"/>
      <c r="H10" s="2913"/>
      <c r="I10" s="2913"/>
      <c r="J10" s="2913"/>
      <c r="K10" s="2913"/>
      <c r="L10" s="2913"/>
      <c r="M10" s="2913"/>
      <c r="N10" s="2914"/>
    </row>
    <row r="11" spans="1:15" ht="14.25" customHeight="1" x14ac:dyDescent="0.2">
      <c r="A11" s="377" t="s">
        <v>8</v>
      </c>
      <c r="B11" s="177" t="s">
        <v>8</v>
      </c>
      <c r="C11" s="2920" t="s">
        <v>48</v>
      </c>
      <c r="D11" s="2921"/>
      <c r="E11" s="2921"/>
      <c r="F11" s="2921"/>
      <c r="G11" s="2921"/>
      <c r="H11" s="2921"/>
      <c r="I11" s="2921"/>
      <c r="J11" s="2921"/>
      <c r="K11" s="2921"/>
      <c r="L11" s="2921"/>
      <c r="M11" s="2921"/>
      <c r="N11" s="2922"/>
    </row>
    <row r="12" spans="1:15" ht="27" customHeight="1" x14ac:dyDescent="0.2">
      <c r="A12" s="2440" t="s">
        <v>8</v>
      </c>
      <c r="B12" s="2442" t="s">
        <v>8</v>
      </c>
      <c r="C12" s="2443" t="s">
        <v>8</v>
      </c>
      <c r="D12" s="1206" t="s">
        <v>82</v>
      </c>
      <c r="E12" s="1819" t="s">
        <v>202</v>
      </c>
      <c r="F12" s="2496" t="s">
        <v>72</v>
      </c>
      <c r="G12" s="1207"/>
      <c r="H12" s="282"/>
      <c r="I12" s="165"/>
      <c r="J12" s="83"/>
      <c r="K12" s="60"/>
      <c r="L12" s="100"/>
      <c r="M12" s="134"/>
      <c r="N12" s="135"/>
    </row>
    <row r="13" spans="1:15" ht="39.75" customHeight="1" x14ac:dyDescent="0.2">
      <c r="A13" s="2757"/>
      <c r="B13" s="2727"/>
      <c r="C13" s="2709"/>
      <c r="D13" s="2433" t="s">
        <v>232</v>
      </c>
      <c r="E13" s="2870" t="s">
        <v>79</v>
      </c>
      <c r="F13" s="2711" t="s">
        <v>72</v>
      </c>
      <c r="G13" s="1031"/>
      <c r="H13" s="1314"/>
      <c r="I13" s="1315"/>
      <c r="J13" s="1316"/>
      <c r="K13" s="2474"/>
      <c r="L13" s="110"/>
      <c r="M13" s="726"/>
      <c r="N13" s="138"/>
    </row>
    <row r="14" spans="1:15" ht="17.25" customHeight="1" x14ac:dyDescent="0.2">
      <c r="A14" s="2757"/>
      <c r="B14" s="2727"/>
      <c r="C14" s="2709"/>
      <c r="D14" s="2918" t="s">
        <v>261</v>
      </c>
      <c r="E14" s="2870"/>
      <c r="F14" s="2711"/>
      <c r="G14" s="1031" t="s">
        <v>330</v>
      </c>
      <c r="H14" s="1314">
        <f>457.2/3.4528*1000</f>
        <v>132414</v>
      </c>
      <c r="I14" s="1217"/>
      <c r="J14" s="1221"/>
      <c r="K14" s="2495" t="s">
        <v>417</v>
      </c>
      <c r="L14" s="2435"/>
      <c r="M14" s="2436"/>
      <c r="N14" s="2437">
        <v>1</v>
      </c>
    </row>
    <row r="15" spans="1:15" ht="14.25" customHeight="1" x14ac:dyDescent="0.2">
      <c r="A15" s="2757"/>
      <c r="B15" s="2727"/>
      <c r="C15" s="2709"/>
      <c r="D15" s="2919"/>
      <c r="E15" s="2870"/>
      <c r="F15" s="2711"/>
      <c r="G15" s="721" t="s">
        <v>42</v>
      </c>
      <c r="H15" s="1317"/>
      <c r="I15" s="1318">
        <f>500/3.4528*1000</f>
        <v>144810</v>
      </c>
      <c r="J15" s="1319">
        <f>566.7/3.4528*1000</f>
        <v>164128</v>
      </c>
      <c r="K15" s="1244" t="s">
        <v>216</v>
      </c>
      <c r="L15" s="1246"/>
      <c r="M15" s="2434"/>
      <c r="N15" s="1247">
        <v>1</v>
      </c>
    </row>
    <row r="16" spans="1:15" ht="28.5" customHeight="1" x14ac:dyDescent="0.2">
      <c r="A16" s="2757"/>
      <c r="B16" s="2727"/>
      <c r="C16" s="2709"/>
      <c r="D16" s="2452" t="s">
        <v>269</v>
      </c>
      <c r="E16" s="2893"/>
      <c r="F16" s="2715"/>
      <c r="G16" s="1033"/>
      <c r="H16" s="1320"/>
      <c r="I16" s="1211"/>
      <c r="J16" s="1321"/>
      <c r="K16" s="2493"/>
      <c r="L16" s="136"/>
      <c r="M16" s="1034"/>
      <c r="N16" s="137"/>
      <c r="O16" s="1731"/>
    </row>
    <row r="17" spans="1:15" ht="24" customHeight="1" x14ac:dyDescent="0.2">
      <c r="A17" s="2440"/>
      <c r="B17" s="2442"/>
      <c r="C17" s="2443"/>
      <c r="D17" s="2699" t="s">
        <v>238</v>
      </c>
      <c r="E17" s="2447"/>
      <c r="F17" s="2438"/>
      <c r="G17" s="740" t="s">
        <v>330</v>
      </c>
      <c r="H17" s="1737">
        <f>20/3.4528*1000</f>
        <v>5792</v>
      </c>
      <c r="I17" s="1529"/>
      <c r="J17" s="1364"/>
      <c r="K17" s="2478" t="s">
        <v>248</v>
      </c>
      <c r="L17" s="210"/>
      <c r="M17" s="134">
        <v>1</v>
      </c>
      <c r="N17" s="135"/>
    </row>
    <row r="18" spans="1:15" ht="28.5" customHeight="1" x14ac:dyDescent="0.2">
      <c r="A18" s="2440"/>
      <c r="B18" s="2442"/>
      <c r="C18" s="2443"/>
      <c r="D18" s="2700"/>
      <c r="E18" s="2447"/>
      <c r="F18" s="2438"/>
      <c r="G18" s="17" t="s">
        <v>42</v>
      </c>
      <c r="H18" s="1322"/>
      <c r="I18" s="1525">
        <f>50/3.4528*1000</f>
        <v>14481</v>
      </c>
      <c r="J18" s="1324"/>
      <c r="K18" s="2478"/>
      <c r="L18" s="210"/>
      <c r="M18" s="134"/>
      <c r="N18" s="135"/>
    </row>
    <row r="19" spans="1:15" ht="15.75" customHeight="1" x14ac:dyDescent="0.2">
      <c r="A19" s="2757"/>
      <c r="B19" s="2727"/>
      <c r="C19" s="2709"/>
      <c r="D19" s="2703" t="s">
        <v>193</v>
      </c>
      <c r="E19" s="2694"/>
      <c r="F19" s="2710" t="s">
        <v>72</v>
      </c>
      <c r="G19" s="740" t="s">
        <v>330</v>
      </c>
      <c r="H19" s="1737">
        <f>50/3.4528*1000</f>
        <v>14481</v>
      </c>
      <c r="I19" s="1326"/>
      <c r="J19" s="1327"/>
      <c r="K19" s="657" t="s">
        <v>231</v>
      </c>
      <c r="L19" s="1195">
        <v>1</v>
      </c>
      <c r="M19" s="1028"/>
      <c r="N19" s="1029"/>
    </row>
    <row r="20" spans="1:15" ht="15" customHeight="1" x14ac:dyDescent="0.2">
      <c r="A20" s="2757"/>
      <c r="B20" s="2727"/>
      <c r="C20" s="2709"/>
      <c r="D20" s="2704"/>
      <c r="E20" s="2696"/>
      <c r="F20" s="2711"/>
      <c r="G20" s="40" t="s">
        <v>42</v>
      </c>
      <c r="H20" s="1320"/>
      <c r="I20" s="1315">
        <f>300/3.4528*1000</f>
        <v>86886</v>
      </c>
      <c r="J20" s="1321"/>
      <c r="K20" s="2478" t="s">
        <v>194</v>
      </c>
      <c r="L20" s="1196"/>
      <c r="M20" s="45">
        <v>1</v>
      </c>
      <c r="N20" s="46"/>
    </row>
    <row r="21" spans="1:15" ht="26.25" customHeight="1" x14ac:dyDescent="0.2">
      <c r="A21" s="2757"/>
      <c r="B21" s="2727"/>
      <c r="C21" s="2709"/>
      <c r="D21" s="2703" t="s">
        <v>239</v>
      </c>
      <c r="E21" s="2869" t="s">
        <v>79</v>
      </c>
      <c r="F21" s="2444" t="s">
        <v>72</v>
      </c>
      <c r="G21" s="1079" t="s">
        <v>330</v>
      </c>
      <c r="H21" s="1328">
        <f>50/3.4528*1000</f>
        <v>14481</v>
      </c>
      <c r="I21" s="1210"/>
      <c r="J21" s="1329"/>
      <c r="K21" s="657" t="s">
        <v>230</v>
      </c>
      <c r="L21" s="1197">
        <v>100</v>
      </c>
      <c r="M21" s="1028"/>
      <c r="N21" s="1029"/>
    </row>
    <row r="22" spans="1:15" ht="15.75" customHeight="1" x14ac:dyDescent="0.2">
      <c r="A22" s="2757"/>
      <c r="B22" s="2727"/>
      <c r="C22" s="2709"/>
      <c r="D22" s="2704"/>
      <c r="E22" s="2925"/>
      <c r="F22" s="2438"/>
      <c r="G22" s="721" t="s">
        <v>392</v>
      </c>
      <c r="H22" s="1317"/>
      <c r="I22" s="1318">
        <f>50/3.4528*1000</f>
        <v>14481</v>
      </c>
      <c r="J22" s="1319">
        <f>527/3.4528*1000</f>
        <v>152630</v>
      </c>
      <c r="K22" s="1732" t="s">
        <v>231</v>
      </c>
      <c r="L22" s="1733"/>
      <c r="M22" s="1734">
        <v>1</v>
      </c>
      <c r="N22" s="1735"/>
    </row>
    <row r="23" spans="1:15" ht="28.5" customHeight="1" x14ac:dyDescent="0.2">
      <c r="A23" s="2757"/>
      <c r="B23" s="2727"/>
      <c r="C23" s="2709"/>
      <c r="D23" s="2475"/>
      <c r="E23" s="2871"/>
      <c r="F23" s="2439"/>
      <c r="G23" s="40" t="s">
        <v>42</v>
      </c>
      <c r="H23" s="1320"/>
      <c r="I23" s="1211"/>
      <c r="J23" s="1321">
        <f>30/3.4528*1000</f>
        <v>8689</v>
      </c>
      <c r="K23" s="766" t="s">
        <v>262</v>
      </c>
      <c r="L23" s="63"/>
      <c r="M23" s="764"/>
      <c r="N23" s="765">
        <v>100</v>
      </c>
    </row>
    <row r="24" spans="1:15" ht="39.75" customHeight="1" x14ac:dyDescent="0.2">
      <c r="A24" s="2440"/>
      <c r="B24" s="2442"/>
      <c r="C24" s="2443"/>
      <c r="D24" s="1202" t="s">
        <v>240</v>
      </c>
      <c r="E24" s="1203"/>
      <c r="F24" s="2496" t="s">
        <v>72</v>
      </c>
      <c r="G24" s="38" t="s">
        <v>392</v>
      </c>
      <c r="H24" s="1330">
        <f>210.9/3.4528*1000</f>
        <v>61081</v>
      </c>
      <c r="I24" s="1331"/>
      <c r="J24" s="1332"/>
      <c r="K24" s="1066" t="s">
        <v>249</v>
      </c>
      <c r="L24" s="1067" t="s">
        <v>224</v>
      </c>
      <c r="M24" s="1204"/>
      <c r="N24" s="1205"/>
    </row>
    <row r="25" spans="1:15" ht="11.25" customHeight="1" x14ac:dyDescent="0.2">
      <c r="A25" s="2440"/>
      <c r="B25" s="2442"/>
      <c r="C25" s="2443"/>
      <c r="D25" s="2704" t="s">
        <v>143</v>
      </c>
      <c r="E25" s="2869" t="s">
        <v>79</v>
      </c>
      <c r="F25" s="2438" t="s">
        <v>72</v>
      </c>
      <c r="G25" s="17"/>
      <c r="H25" s="1214"/>
      <c r="I25" s="1333"/>
      <c r="J25" s="1210"/>
      <c r="K25" s="2690" t="s">
        <v>260</v>
      </c>
      <c r="L25" s="823"/>
      <c r="M25" s="1024"/>
      <c r="N25" s="1025"/>
    </row>
    <row r="26" spans="1:15" ht="12" customHeight="1" x14ac:dyDescent="0.2">
      <c r="A26" s="2440"/>
      <c r="B26" s="2442"/>
      <c r="C26" s="2443"/>
      <c r="D26" s="2844"/>
      <c r="E26" s="2870"/>
      <c r="F26" s="2438"/>
      <c r="G26" s="723" t="s">
        <v>330</v>
      </c>
      <c r="H26" s="1334">
        <f>66.3/3.4528*1000</f>
        <v>19202</v>
      </c>
      <c r="I26" s="1335"/>
      <c r="J26" s="1336"/>
      <c r="K26" s="2692"/>
      <c r="L26" s="336">
        <v>100</v>
      </c>
      <c r="M26" s="1024"/>
      <c r="N26" s="1025"/>
    </row>
    <row r="27" spans="1:15" ht="13.5" customHeight="1" x14ac:dyDescent="0.2">
      <c r="A27" s="2440"/>
      <c r="B27" s="2442"/>
      <c r="C27" s="2443"/>
      <c r="D27" s="2700"/>
      <c r="E27" s="2871"/>
      <c r="F27" s="2438"/>
      <c r="G27" s="40" t="s">
        <v>392</v>
      </c>
      <c r="H27" s="1337">
        <f>358/3.4528*1000</f>
        <v>103684</v>
      </c>
      <c r="I27" s="1338"/>
      <c r="J27" s="1339"/>
      <c r="K27" s="2691"/>
      <c r="L27" s="828"/>
      <c r="M27" s="1024"/>
      <c r="N27" s="1025"/>
    </row>
    <row r="28" spans="1:15" ht="12.75" customHeight="1" x14ac:dyDescent="0.2">
      <c r="A28" s="2757"/>
      <c r="B28" s="2727"/>
      <c r="C28" s="2709"/>
      <c r="D28" s="2703" t="s">
        <v>270</v>
      </c>
      <c r="E28" s="2869" t="s">
        <v>79</v>
      </c>
      <c r="F28" s="2710" t="s">
        <v>72</v>
      </c>
      <c r="G28" s="740" t="s">
        <v>392</v>
      </c>
      <c r="H28" s="1340"/>
      <c r="I28" s="1327">
        <f>76/3.4528*1000</f>
        <v>22011</v>
      </c>
      <c r="J28" s="1327"/>
      <c r="K28" s="2690" t="s">
        <v>216</v>
      </c>
      <c r="L28" s="923"/>
      <c r="M28" s="77">
        <v>1</v>
      </c>
      <c r="N28" s="78"/>
    </row>
    <row r="29" spans="1:15" ht="13.5" customHeight="1" x14ac:dyDescent="0.2">
      <c r="A29" s="2757"/>
      <c r="B29" s="2727"/>
      <c r="C29" s="2709"/>
      <c r="D29" s="2704"/>
      <c r="E29" s="2870"/>
      <c r="F29" s="2711"/>
      <c r="G29" s="17" t="s">
        <v>42</v>
      </c>
      <c r="H29" s="1214"/>
      <c r="I29" s="1221"/>
      <c r="J29" s="1333"/>
      <c r="K29" s="2692"/>
      <c r="L29" s="924"/>
      <c r="M29" s="45"/>
      <c r="N29" s="46"/>
    </row>
    <row r="30" spans="1:15" ht="15.75" customHeight="1" thickBot="1" x14ac:dyDescent="0.25">
      <c r="A30" s="2757"/>
      <c r="B30" s="2727"/>
      <c r="C30" s="2709"/>
      <c r="D30" s="2705"/>
      <c r="E30" s="2871"/>
      <c r="F30" s="2715"/>
      <c r="G30" s="875" t="s">
        <v>9</v>
      </c>
      <c r="H30" s="1219">
        <f>SUM(H12:H29)</f>
        <v>351135</v>
      </c>
      <c r="I30" s="1220">
        <f>SUM(I12:I29)</f>
        <v>282669</v>
      </c>
      <c r="J30" s="1341">
        <f>SUM(J12:J29)</f>
        <v>325447</v>
      </c>
      <c r="K30" s="2693"/>
      <c r="L30" s="925"/>
      <c r="M30" s="63"/>
      <c r="N30" s="64"/>
    </row>
    <row r="31" spans="1:15" ht="33.75" customHeight="1" x14ac:dyDescent="0.2">
      <c r="A31" s="2462" t="s">
        <v>8</v>
      </c>
      <c r="B31" s="2463" t="s">
        <v>8</v>
      </c>
      <c r="C31" s="2465" t="s">
        <v>10</v>
      </c>
      <c r="D31" s="133" t="s">
        <v>83</v>
      </c>
      <c r="E31" s="834" t="s">
        <v>205</v>
      </c>
      <c r="F31" s="2471"/>
      <c r="G31" s="74"/>
      <c r="H31" s="1342"/>
      <c r="I31" s="1343"/>
      <c r="J31" s="1343"/>
      <c r="K31" s="545"/>
      <c r="L31" s="686"/>
      <c r="M31" s="727"/>
      <c r="N31" s="728"/>
      <c r="O31" s="15"/>
    </row>
    <row r="32" spans="1:15" ht="27" customHeight="1" x14ac:dyDescent="0.2">
      <c r="A32" s="2759"/>
      <c r="B32" s="2727"/>
      <c r="C32" s="2709"/>
      <c r="D32" s="2760" t="s">
        <v>377</v>
      </c>
      <c r="E32" s="2694" t="s">
        <v>79</v>
      </c>
      <c r="F32" s="2710" t="s">
        <v>72</v>
      </c>
      <c r="G32" s="13" t="s">
        <v>392</v>
      </c>
      <c r="H32" s="1328">
        <v>155210</v>
      </c>
      <c r="I32" s="1344">
        <f>1137.6/3.4528*1000</f>
        <v>329472</v>
      </c>
      <c r="J32" s="1478"/>
      <c r="K32" s="1954" t="s">
        <v>376</v>
      </c>
      <c r="L32" s="1955">
        <v>100</v>
      </c>
      <c r="M32" s="1197"/>
      <c r="N32" s="1956"/>
    </row>
    <row r="33" spans="1:14" ht="26.25" customHeight="1" x14ac:dyDescent="0.2">
      <c r="A33" s="2759"/>
      <c r="B33" s="2727"/>
      <c r="C33" s="2709"/>
      <c r="D33" s="2702"/>
      <c r="E33" s="2695"/>
      <c r="F33" s="2711"/>
      <c r="G33" s="723" t="s">
        <v>330</v>
      </c>
      <c r="H33" s="1317">
        <f>41387+57400</f>
        <v>98787</v>
      </c>
      <c r="I33" s="1318"/>
      <c r="J33" s="1319"/>
      <c r="K33" s="711" t="s">
        <v>386</v>
      </c>
      <c r="L33" s="712">
        <v>100</v>
      </c>
      <c r="M33" s="713"/>
      <c r="N33" s="714"/>
    </row>
    <row r="34" spans="1:14" ht="25.5" x14ac:dyDescent="0.2">
      <c r="A34" s="2759"/>
      <c r="B34" s="2727"/>
      <c r="C34" s="2709"/>
      <c r="D34" s="2761"/>
      <c r="E34" s="2696"/>
      <c r="F34" s="2715"/>
      <c r="G34" s="40" t="s">
        <v>42</v>
      </c>
      <c r="H34" s="1320"/>
      <c r="I34" s="1736">
        <f>143.3/3.4528*1000</f>
        <v>41503</v>
      </c>
      <c r="J34" s="1212"/>
      <c r="K34" s="772" t="s">
        <v>190</v>
      </c>
      <c r="L34" s="757"/>
      <c r="M34" s="789">
        <v>100</v>
      </c>
      <c r="N34" s="758"/>
    </row>
    <row r="35" spans="1:14" ht="12.75" customHeight="1" x14ac:dyDescent="0.2">
      <c r="A35" s="2759"/>
      <c r="B35" s="2727"/>
      <c r="C35" s="2709"/>
      <c r="D35" s="2703" t="s">
        <v>196</v>
      </c>
      <c r="E35" s="129" t="s">
        <v>79</v>
      </c>
      <c r="F35" s="2710" t="s">
        <v>72</v>
      </c>
      <c r="G35" s="740" t="s">
        <v>392</v>
      </c>
      <c r="H35" s="1325">
        <f>320/3.4528*1000</f>
        <v>92678</v>
      </c>
      <c r="I35" s="1345">
        <f>550/3.4528*1000</f>
        <v>159291</v>
      </c>
      <c r="J35" s="1346">
        <f>600/3.4528*1000</f>
        <v>173772</v>
      </c>
      <c r="K35" s="2453" t="s">
        <v>96</v>
      </c>
      <c r="L35" s="77">
        <v>1</v>
      </c>
      <c r="M35" s="77"/>
      <c r="N35" s="78"/>
    </row>
    <row r="36" spans="1:14" ht="25.5" x14ac:dyDescent="0.2">
      <c r="A36" s="2759"/>
      <c r="B36" s="2727"/>
      <c r="C36" s="2709"/>
      <c r="D36" s="2923"/>
      <c r="E36" s="1094"/>
      <c r="F36" s="2924"/>
      <c r="G36" s="783" t="s">
        <v>42</v>
      </c>
      <c r="H36" s="1314"/>
      <c r="I36" s="1315">
        <f>50/3.4528*1000</f>
        <v>14481</v>
      </c>
      <c r="J36" s="1316">
        <f>50/3.4528*1000</f>
        <v>14481</v>
      </c>
      <c r="K36" s="1095" t="s">
        <v>195</v>
      </c>
      <c r="L36" s="1096"/>
      <c r="M36" s="1097">
        <v>40</v>
      </c>
      <c r="N36" s="1098">
        <v>100</v>
      </c>
    </row>
    <row r="37" spans="1:14" ht="27" customHeight="1" x14ac:dyDescent="0.2">
      <c r="A37" s="2440"/>
      <c r="B37" s="2442"/>
      <c r="C37" s="2443"/>
      <c r="D37" s="1093" t="s">
        <v>242</v>
      </c>
      <c r="E37" s="945"/>
      <c r="F37" s="2438" t="s">
        <v>72</v>
      </c>
      <c r="G37" s="40" t="s">
        <v>392</v>
      </c>
      <c r="H37" s="1320">
        <f>131.2/3.4528*1000</f>
        <v>37998</v>
      </c>
      <c r="I37" s="1347"/>
      <c r="J37" s="1348"/>
      <c r="K37" s="1200" t="s">
        <v>250</v>
      </c>
      <c r="L37" s="1074" t="s">
        <v>224</v>
      </c>
      <c r="M37" s="63"/>
      <c r="N37" s="64"/>
    </row>
    <row r="38" spans="1:14" ht="16.5" customHeight="1" x14ac:dyDescent="0.2">
      <c r="A38" s="2757"/>
      <c r="B38" s="2727"/>
      <c r="C38" s="2709"/>
      <c r="D38" s="2703" t="s">
        <v>210</v>
      </c>
      <c r="E38" s="129" t="s">
        <v>79</v>
      </c>
      <c r="F38" s="2710" t="s">
        <v>72</v>
      </c>
      <c r="G38" s="740" t="s">
        <v>392</v>
      </c>
      <c r="H38" s="1325">
        <f>550/3.4528*1000</f>
        <v>159291</v>
      </c>
      <c r="I38" s="1345"/>
      <c r="J38" s="1346"/>
      <c r="K38" s="2690" t="s">
        <v>251</v>
      </c>
      <c r="L38" s="77">
        <v>1</v>
      </c>
      <c r="M38" s="77"/>
      <c r="N38" s="78"/>
    </row>
    <row r="39" spans="1:14" ht="21" customHeight="1" x14ac:dyDescent="0.2">
      <c r="A39" s="2757"/>
      <c r="B39" s="2727"/>
      <c r="C39" s="2709"/>
      <c r="D39" s="2705"/>
      <c r="E39" s="945"/>
      <c r="F39" s="2715"/>
      <c r="G39" s="40" t="s">
        <v>330</v>
      </c>
      <c r="H39" s="1320">
        <f>85/3.4528*1000</f>
        <v>24618</v>
      </c>
      <c r="I39" s="1347"/>
      <c r="J39" s="1348"/>
      <c r="K39" s="2691"/>
      <c r="L39" s="63">
        <v>100</v>
      </c>
      <c r="M39" s="63"/>
      <c r="N39" s="64"/>
    </row>
    <row r="40" spans="1:14" ht="26.25" customHeight="1" x14ac:dyDescent="0.2">
      <c r="A40" s="2440"/>
      <c r="B40" s="2442"/>
      <c r="C40" s="2443"/>
      <c r="D40" s="1063" t="s">
        <v>243</v>
      </c>
      <c r="E40" s="1090"/>
      <c r="F40" s="2496" t="s">
        <v>72</v>
      </c>
      <c r="G40" s="38" t="s">
        <v>392</v>
      </c>
      <c r="H40" s="1349">
        <f>34.7/3.4528*1000</f>
        <v>10050</v>
      </c>
      <c r="I40" s="1350"/>
      <c r="J40" s="1351"/>
      <c r="K40" s="1066" t="s">
        <v>252</v>
      </c>
      <c r="L40" s="1067" t="s">
        <v>224</v>
      </c>
      <c r="M40" s="1075"/>
      <c r="N40" s="1076"/>
    </row>
    <row r="41" spans="1:14" ht="14.25" customHeight="1" x14ac:dyDescent="0.2">
      <c r="A41" s="2759"/>
      <c r="B41" s="2727"/>
      <c r="C41" s="2709"/>
      <c r="D41" s="2760" t="s">
        <v>105</v>
      </c>
      <c r="E41" s="129" t="s">
        <v>79</v>
      </c>
      <c r="F41" s="2710" t="s">
        <v>72</v>
      </c>
      <c r="G41" s="740" t="s">
        <v>42</v>
      </c>
      <c r="H41" s="1325"/>
      <c r="I41" s="1326">
        <f>500/3.4528*1000</f>
        <v>144810</v>
      </c>
      <c r="J41" s="1327">
        <f>1000/3.4528*1000</f>
        <v>289620</v>
      </c>
      <c r="K41" s="2453" t="s">
        <v>76</v>
      </c>
      <c r="L41" s="77">
        <v>1</v>
      </c>
      <c r="M41" s="2582"/>
      <c r="N41" s="78"/>
    </row>
    <row r="42" spans="1:14" ht="14.25" customHeight="1" x14ac:dyDescent="0.2">
      <c r="A42" s="2759"/>
      <c r="B42" s="2727"/>
      <c r="C42" s="2709"/>
      <c r="D42" s="2702"/>
      <c r="E42" s="2206"/>
      <c r="F42" s="2711"/>
      <c r="G42" s="17" t="s">
        <v>392</v>
      </c>
      <c r="H42" s="1322"/>
      <c r="I42" s="1217">
        <v>5786</v>
      </c>
      <c r="J42" s="1221"/>
      <c r="K42" s="2768" t="s">
        <v>419</v>
      </c>
      <c r="L42" s="45"/>
      <c r="M42" s="2583">
        <v>25</v>
      </c>
      <c r="N42" s="2581">
        <v>75</v>
      </c>
    </row>
    <row r="43" spans="1:14" ht="14.25" customHeight="1" x14ac:dyDescent="0.2">
      <c r="A43" s="2759"/>
      <c r="B43" s="2727"/>
      <c r="C43" s="2709"/>
      <c r="D43" s="2761"/>
      <c r="E43" s="813"/>
      <c r="F43" s="2715"/>
      <c r="G43" s="1085" t="s">
        <v>392</v>
      </c>
      <c r="H43" s="1320">
        <v>18455</v>
      </c>
      <c r="I43" s="2423">
        <f>434430</f>
        <v>434430</v>
      </c>
      <c r="J43" s="1212">
        <f>3000/3.4528*1000</f>
        <v>868860</v>
      </c>
      <c r="K43" s="2769"/>
      <c r="L43" s="2412"/>
      <c r="M43" s="345"/>
      <c r="N43" s="345"/>
    </row>
    <row r="44" spans="1:14" ht="39" customHeight="1" x14ac:dyDescent="0.2">
      <c r="A44" s="2440"/>
      <c r="B44" s="2442"/>
      <c r="C44" s="2443"/>
      <c r="D44" s="2702" t="s">
        <v>271</v>
      </c>
      <c r="E44" s="2470" t="s">
        <v>79</v>
      </c>
      <c r="F44" s="2438" t="s">
        <v>72</v>
      </c>
      <c r="G44" s="17" t="s">
        <v>392</v>
      </c>
      <c r="H44" s="1322"/>
      <c r="I44" s="1352">
        <f>30/3.4528*1000</f>
        <v>8689</v>
      </c>
      <c r="J44" s="1353">
        <f>120/3.4528*1000</f>
        <v>34754</v>
      </c>
      <c r="K44" s="2478" t="s">
        <v>76</v>
      </c>
      <c r="L44" s="210"/>
      <c r="M44" s="210"/>
      <c r="N44" s="211">
        <v>1</v>
      </c>
    </row>
    <row r="45" spans="1:14" ht="15" customHeight="1" thickBot="1" x14ac:dyDescent="0.25">
      <c r="A45" s="2456"/>
      <c r="B45" s="2464"/>
      <c r="C45" s="2466"/>
      <c r="D45" s="2762"/>
      <c r="E45" s="813"/>
      <c r="F45" s="2467"/>
      <c r="G45" s="875" t="s">
        <v>9</v>
      </c>
      <c r="H45" s="1341">
        <f>SUM(H31:H44)</f>
        <v>597087</v>
      </c>
      <c r="I45" s="1341">
        <f>SUM(I31:I44)</f>
        <v>1138462</v>
      </c>
      <c r="J45" s="1341">
        <f>SUM(J31:J44)</f>
        <v>1381487</v>
      </c>
      <c r="K45" s="2413"/>
      <c r="L45" s="2412"/>
      <c r="M45" s="789"/>
      <c r="N45" s="2414"/>
    </row>
    <row r="46" spans="1:14" ht="35.25" customHeight="1" x14ac:dyDescent="0.2">
      <c r="A46" s="2462" t="s">
        <v>8</v>
      </c>
      <c r="B46" s="2463" t="s">
        <v>8</v>
      </c>
      <c r="C46" s="2465" t="s">
        <v>45</v>
      </c>
      <c r="D46" s="142" t="s">
        <v>84</v>
      </c>
      <c r="E46" s="833" t="s">
        <v>209</v>
      </c>
      <c r="F46" s="236"/>
      <c r="G46" s="913"/>
      <c r="H46" s="1354"/>
      <c r="I46" s="1355"/>
      <c r="J46" s="1356"/>
      <c r="K46" s="2415"/>
      <c r="L46" s="2416"/>
      <c r="M46" s="2416"/>
      <c r="N46" s="2417"/>
    </row>
    <row r="47" spans="1:14" ht="39" customHeight="1" x14ac:dyDescent="0.2">
      <c r="A47" s="2440"/>
      <c r="B47" s="2442"/>
      <c r="C47" s="2443"/>
      <c r="D47" s="797" t="s">
        <v>100</v>
      </c>
      <c r="E47" s="567" t="s">
        <v>79</v>
      </c>
      <c r="F47" s="1442" t="s">
        <v>72</v>
      </c>
      <c r="G47" s="914" t="s">
        <v>392</v>
      </c>
      <c r="H47" s="1330">
        <v>47820</v>
      </c>
      <c r="I47" s="1332"/>
      <c r="J47" s="1218"/>
      <c r="K47" s="1065" t="s">
        <v>266</v>
      </c>
      <c r="L47" s="2418">
        <v>100</v>
      </c>
      <c r="M47" s="2419"/>
      <c r="N47" s="2420"/>
    </row>
    <row r="48" spans="1:14" ht="14.25" customHeight="1" x14ac:dyDescent="0.2">
      <c r="A48" s="2757"/>
      <c r="B48" s="2727"/>
      <c r="C48" s="2709"/>
      <c r="D48" s="2734" t="s">
        <v>375</v>
      </c>
      <c r="E48" s="2698" t="s">
        <v>79</v>
      </c>
      <c r="F48" s="2766" t="s">
        <v>72</v>
      </c>
      <c r="G48" s="2594" t="s">
        <v>392</v>
      </c>
      <c r="H48" s="1340">
        <v>4000</v>
      </c>
      <c r="I48" s="1360"/>
      <c r="J48" s="1326"/>
      <c r="K48" s="2478" t="s">
        <v>155</v>
      </c>
      <c r="L48" s="210">
        <v>1</v>
      </c>
      <c r="M48" s="210"/>
      <c r="N48" s="211"/>
    </row>
    <row r="49" spans="1:15" ht="16.5" customHeight="1" x14ac:dyDescent="0.2">
      <c r="A49" s="2757"/>
      <c r="B49" s="2727"/>
      <c r="C49" s="2709"/>
      <c r="D49" s="2734"/>
      <c r="E49" s="2698"/>
      <c r="F49" s="2766"/>
      <c r="G49" s="2059" t="s">
        <v>392</v>
      </c>
      <c r="H49" s="1214">
        <v>34730</v>
      </c>
      <c r="I49" s="1333"/>
      <c r="J49" s="1217"/>
      <c r="K49" s="2701" t="s">
        <v>418</v>
      </c>
      <c r="L49" s="210"/>
      <c r="M49" s="210">
        <v>1</v>
      </c>
      <c r="N49" s="211"/>
    </row>
    <row r="50" spans="1:15" ht="16.5" customHeight="1" x14ac:dyDescent="0.2">
      <c r="A50" s="2757"/>
      <c r="B50" s="2727"/>
      <c r="C50" s="2709"/>
      <c r="D50" s="2734"/>
      <c r="E50" s="2698"/>
      <c r="F50" s="2766"/>
      <c r="G50" s="915" t="s">
        <v>77</v>
      </c>
      <c r="H50" s="1334"/>
      <c r="I50" s="1358">
        <f>464/3.4528*1000</f>
        <v>134384</v>
      </c>
      <c r="J50" s="1318">
        <f>349/3.4528*1000</f>
        <v>101077</v>
      </c>
      <c r="K50" s="2763"/>
      <c r="L50" s="210"/>
      <c r="M50" s="210"/>
      <c r="N50" s="211"/>
    </row>
    <row r="51" spans="1:15" ht="18.75" customHeight="1" x14ac:dyDescent="0.2">
      <c r="A51" s="2757"/>
      <c r="B51" s="2727"/>
      <c r="C51" s="2709"/>
      <c r="D51" s="2764"/>
      <c r="E51" s="2765"/>
      <c r="F51" s="2767"/>
      <c r="G51" s="1815" t="s">
        <v>74</v>
      </c>
      <c r="H51" s="1213"/>
      <c r="I51" s="1321">
        <f>2629.6/3.4528*1000</f>
        <v>761585</v>
      </c>
      <c r="J51" s="1211">
        <f>1977.5/3.4528*1000</f>
        <v>572724</v>
      </c>
      <c r="K51" s="2693"/>
      <c r="L51" s="439"/>
      <c r="M51" s="439">
        <v>60</v>
      </c>
      <c r="N51" s="440">
        <v>100</v>
      </c>
    </row>
    <row r="52" spans="1:15" x14ac:dyDescent="0.2">
      <c r="A52" s="2757"/>
      <c r="B52" s="2727"/>
      <c r="C52" s="2709"/>
      <c r="D52" s="2697" t="s">
        <v>106</v>
      </c>
      <c r="E52" s="2698" t="s">
        <v>79</v>
      </c>
      <c r="F52" s="2766" t="s">
        <v>72</v>
      </c>
      <c r="G52" s="920" t="s">
        <v>392</v>
      </c>
      <c r="H52" s="1370"/>
      <c r="I52" s="1444"/>
      <c r="J52" s="1445">
        <f>200/3.4528*1000</f>
        <v>57924</v>
      </c>
      <c r="K52" s="2701" t="s">
        <v>76</v>
      </c>
      <c r="L52" s="210"/>
      <c r="M52" s="210"/>
      <c r="N52" s="211">
        <v>1</v>
      </c>
    </row>
    <row r="53" spans="1:15" x14ac:dyDescent="0.2">
      <c r="A53" s="2757"/>
      <c r="B53" s="2727"/>
      <c r="C53" s="2709"/>
      <c r="D53" s="2697"/>
      <c r="E53" s="2698"/>
      <c r="F53" s="2766"/>
      <c r="G53" s="916" t="s">
        <v>75</v>
      </c>
      <c r="H53" s="1214"/>
      <c r="I53" s="1324"/>
      <c r="J53" s="1352">
        <f>110/3.4528*1000</f>
        <v>31858</v>
      </c>
      <c r="K53" s="2701"/>
      <c r="L53" s="210"/>
      <c r="M53" s="210"/>
      <c r="N53" s="211"/>
    </row>
    <row r="54" spans="1:15" x14ac:dyDescent="0.2">
      <c r="A54" s="2757"/>
      <c r="B54" s="2727"/>
      <c r="C54" s="2709"/>
      <c r="D54" s="2703" t="s">
        <v>272</v>
      </c>
      <c r="E54" s="2484" t="s">
        <v>79</v>
      </c>
      <c r="F54" s="2491" t="s">
        <v>72</v>
      </c>
      <c r="G54" s="917" t="s">
        <v>42</v>
      </c>
      <c r="H54" s="1340"/>
      <c r="I54" s="1360"/>
      <c r="J54" s="1326"/>
      <c r="K54" s="2758" t="s">
        <v>76</v>
      </c>
      <c r="L54" s="586"/>
      <c r="M54" s="586"/>
      <c r="N54" s="587">
        <v>1</v>
      </c>
    </row>
    <row r="55" spans="1:15" x14ac:dyDescent="0.2">
      <c r="A55" s="2757"/>
      <c r="B55" s="2727"/>
      <c r="C55" s="2709"/>
      <c r="D55" s="2704"/>
      <c r="E55" s="877"/>
      <c r="F55" s="878"/>
      <c r="G55" s="918" t="s">
        <v>392</v>
      </c>
      <c r="H55" s="1337"/>
      <c r="I55" s="1338"/>
      <c r="J55" s="1361">
        <f>400/3.4528*1000</f>
        <v>115848</v>
      </c>
      <c r="K55" s="2701"/>
      <c r="L55" s="210"/>
      <c r="M55" s="210"/>
      <c r="N55" s="211"/>
    </row>
    <row r="56" spans="1:15" ht="13.5" thickBot="1" x14ac:dyDescent="0.25">
      <c r="A56" s="2456"/>
      <c r="B56" s="2464"/>
      <c r="C56" s="2468"/>
      <c r="D56" s="2762"/>
      <c r="E56" s="1816"/>
      <c r="F56" s="2467"/>
      <c r="G56" s="876" t="s">
        <v>9</v>
      </c>
      <c r="H56" s="1215">
        <f>SUM(H46:H55)</f>
        <v>86550</v>
      </c>
      <c r="I56" s="1216">
        <f>SUM(I46:I55)</f>
        <v>895969</v>
      </c>
      <c r="J56" s="1215">
        <f>SUM(J46:J55)</f>
        <v>879431</v>
      </c>
      <c r="K56" s="2413"/>
      <c r="L56" s="2421"/>
      <c r="M56" s="2421"/>
      <c r="N56" s="2422"/>
    </row>
    <row r="57" spans="1:15" ht="27" customHeight="1" x14ac:dyDescent="0.2">
      <c r="A57" s="2462" t="s">
        <v>8</v>
      </c>
      <c r="B57" s="2463" t="s">
        <v>8</v>
      </c>
      <c r="C57" s="2465" t="s">
        <v>50</v>
      </c>
      <c r="D57" s="179" t="s">
        <v>85</v>
      </c>
      <c r="E57" s="1818" t="s">
        <v>204</v>
      </c>
      <c r="F57" s="181"/>
      <c r="G57" s="231"/>
      <c r="H57" s="1342"/>
      <c r="I57" s="1362"/>
      <c r="J57" s="1363"/>
      <c r="K57" s="206"/>
      <c r="L57" s="207"/>
      <c r="M57" s="207"/>
      <c r="N57" s="208"/>
      <c r="O57" s="15"/>
    </row>
    <row r="58" spans="1:15" ht="15.75" customHeight="1" x14ac:dyDescent="0.2">
      <c r="A58" s="2440"/>
      <c r="B58" s="2442"/>
      <c r="C58" s="2443"/>
      <c r="D58" s="2702" t="s">
        <v>107</v>
      </c>
      <c r="E58" s="2716" t="s">
        <v>79</v>
      </c>
      <c r="F58" s="2708" t="s">
        <v>72</v>
      </c>
      <c r="G58" s="740" t="s">
        <v>392</v>
      </c>
      <c r="H58" s="1340">
        <v>74849</v>
      </c>
      <c r="I58" s="1537">
        <f>289620</f>
        <v>289620</v>
      </c>
      <c r="J58" s="1359">
        <f>2000/3.4528*1000</f>
        <v>579240</v>
      </c>
      <c r="K58" s="2701" t="s">
        <v>201</v>
      </c>
      <c r="L58" s="210">
        <v>1</v>
      </c>
      <c r="M58" s="210"/>
      <c r="N58" s="211"/>
      <c r="O58" s="15"/>
    </row>
    <row r="59" spans="1:15" ht="15" customHeight="1" x14ac:dyDescent="0.2">
      <c r="A59" s="2440"/>
      <c r="B59" s="2442"/>
      <c r="C59" s="2443"/>
      <c r="D59" s="2702"/>
      <c r="E59" s="2716"/>
      <c r="F59" s="2708"/>
      <c r="G59" s="920" t="s">
        <v>392</v>
      </c>
      <c r="H59" s="1370"/>
      <c r="I59" s="2592">
        <v>23622</v>
      </c>
      <c r="J59" s="2593"/>
      <c r="K59" s="2701"/>
      <c r="L59" s="210"/>
      <c r="M59" s="210"/>
      <c r="N59" s="211"/>
      <c r="O59" s="15"/>
    </row>
    <row r="60" spans="1:15" ht="15" customHeight="1" x14ac:dyDescent="0.2">
      <c r="A60" s="2440"/>
      <c r="B60" s="2442"/>
      <c r="C60" s="2443"/>
      <c r="D60" s="2702"/>
      <c r="E60" s="2716"/>
      <c r="F60" s="2708"/>
      <c r="G60" s="232" t="s">
        <v>42</v>
      </c>
      <c r="H60" s="1213"/>
      <c r="I60" s="1353">
        <f>500/3.4528*1000</f>
        <v>144810</v>
      </c>
      <c r="J60" s="1353">
        <f>500/3.4528*1000</f>
        <v>144810</v>
      </c>
      <c r="K60" s="2701"/>
      <c r="L60" s="210"/>
      <c r="M60" s="210">
        <v>10</v>
      </c>
      <c r="N60" s="211">
        <v>25</v>
      </c>
      <c r="O60" s="15"/>
    </row>
    <row r="61" spans="1:15" ht="13.5" customHeight="1" x14ac:dyDescent="0.2">
      <c r="A61" s="2757"/>
      <c r="B61" s="2727"/>
      <c r="C61" s="2709"/>
      <c r="D61" s="2703" t="s">
        <v>273</v>
      </c>
      <c r="E61" s="2694" t="s">
        <v>79</v>
      </c>
      <c r="F61" s="2710" t="s">
        <v>72</v>
      </c>
      <c r="G61" s="1693" t="s">
        <v>392</v>
      </c>
      <c r="H61" s="1357">
        <v>6342</v>
      </c>
      <c r="I61" s="2596">
        <f>141045</f>
        <v>141045</v>
      </c>
      <c r="J61" s="2596">
        <f>1000/3.4528*1000</f>
        <v>289620</v>
      </c>
      <c r="K61" s="2453" t="s">
        <v>198</v>
      </c>
      <c r="L61" s="110"/>
      <c r="M61" s="110">
        <v>1</v>
      </c>
      <c r="N61" s="138"/>
    </row>
    <row r="62" spans="1:15" ht="14.25" customHeight="1" x14ac:dyDescent="0.2">
      <c r="A62" s="2757"/>
      <c r="B62" s="2727"/>
      <c r="C62" s="2709"/>
      <c r="D62" s="2704"/>
      <c r="E62" s="2695"/>
      <c r="F62" s="2711"/>
      <c r="G62" s="1744" t="s">
        <v>392</v>
      </c>
      <c r="H62" s="1334"/>
      <c r="I62" s="2359">
        <v>22620</v>
      </c>
      <c r="J62" s="2359"/>
      <c r="K62" s="2717" t="s">
        <v>197</v>
      </c>
      <c r="L62" s="134"/>
      <c r="M62" s="134"/>
      <c r="N62" s="135"/>
    </row>
    <row r="63" spans="1:15" ht="13.5" customHeight="1" x14ac:dyDescent="0.2">
      <c r="A63" s="2757"/>
      <c r="B63" s="2727"/>
      <c r="C63" s="2709"/>
      <c r="D63" s="2704"/>
      <c r="E63" s="2695"/>
      <c r="F63" s="2711"/>
      <c r="G63" s="916" t="s">
        <v>42</v>
      </c>
      <c r="H63" s="1214"/>
      <c r="I63" s="1365"/>
      <c r="J63" s="1365">
        <f>100/3.4528*1000</f>
        <v>28962</v>
      </c>
      <c r="K63" s="2693"/>
      <c r="L63" s="134"/>
      <c r="M63" s="134"/>
      <c r="N63" s="776">
        <v>10</v>
      </c>
    </row>
    <row r="64" spans="1:15" ht="12.75" customHeight="1" x14ac:dyDescent="0.2">
      <c r="A64" s="2757"/>
      <c r="B64" s="2727"/>
      <c r="C64" s="2709"/>
      <c r="D64" s="2703" t="s">
        <v>212</v>
      </c>
      <c r="E64" s="2694" t="s">
        <v>79</v>
      </c>
      <c r="F64" s="2710" t="s">
        <v>72</v>
      </c>
      <c r="G64" s="802" t="s">
        <v>392</v>
      </c>
      <c r="H64" s="1340">
        <f>88/3.4528*1000</f>
        <v>25487</v>
      </c>
      <c r="I64" s="1346"/>
      <c r="J64" s="1346"/>
      <c r="K64" s="2690" t="s">
        <v>253</v>
      </c>
      <c r="L64" s="110">
        <v>1</v>
      </c>
      <c r="M64" s="110"/>
      <c r="N64" s="138"/>
    </row>
    <row r="65" spans="1:15" ht="12.75" customHeight="1" x14ac:dyDescent="0.2">
      <c r="A65" s="2757"/>
      <c r="B65" s="2727"/>
      <c r="C65" s="2709"/>
      <c r="D65" s="2704"/>
      <c r="E65" s="2695"/>
      <c r="F65" s="2711"/>
      <c r="G65" s="918" t="s">
        <v>75</v>
      </c>
      <c r="H65" s="1337"/>
      <c r="I65" s="1366">
        <f>650/3.4528*1000</f>
        <v>188253</v>
      </c>
      <c r="J65" s="1366">
        <f>1313/3.4528*1000</f>
        <v>380271</v>
      </c>
      <c r="K65" s="2692"/>
      <c r="L65" s="134"/>
      <c r="M65" s="134"/>
      <c r="N65" s="135"/>
    </row>
    <row r="66" spans="1:15" ht="15.75" customHeight="1" thickBot="1" x14ac:dyDescent="0.25">
      <c r="A66" s="2757"/>
      <c r="B66" s="2727"/>
      <c r="C66" s="2709"/>
      <c r="D66" s="2705"/>
      <c r="E66" s="2696"/>
      <c r="F66" s="2715"/>
      <c r="G66" s="876" t="s">
        <v>9</v>
      </c>
      <c r="H66" s="1367">
        <f>SUM(H57:H65)</f>
        <v>106678</v>
      </c>
      <c r="I66" s="1368">
        <f>SUM(I57:I65)</f>
        <v>809970</v>
      </c>
      <c r="J66" s="1369">
        <f>SUM(J57:J65)</f>
        <v>1422903</v>
      </c>
      <c r="K66" s="2693"/>
      <c r="L66" s="136"/>
      <c r="M66" s="803">
        <v>35</v>
      </c>
      <c r="N66" s="804">
        <v>100</v>
      </c>
    </row>
    <row r="67" spans="1:15" ht="30" customHeight="1" x14ac:dyDescent="0.2">
      <c r="A67" s="2462" t="s">
        <v>8</v>
      </c>
      <c r="B67" s="2463" t="s">
        <v>8</v>
      </c>
      <c r="C67" s="2465" t="s">
        <v>52</v>
      </c>
      <c r="D67" s="179" t="s">
        <v>274</v>
      </c>
      <c r="E67" s="1818" t="s">
        <v>192</v>
      </c>
      <c r="F67" s="1172"/>
      <c r="G67" s="684"/>
      <c r="H67" s="1342"/>
      <c r="I67" s="1356"/>
      <c r="J67" s="1356"/>
      <c r="K67" s="2607"/>
      <c r="L67" s="81"/>
      <c r="M67" s="81"/>
      <c r="N67" s="2492"/>
    </row>
    <row r="68" spans="1:15" ht="12.75" customHeight="1" x14ac:dyDescent="0.2">
      <c r="A68" s="2440"/>
      <c r="B68" s="2442"/>
      <c r="C68" s="2443"/>
      <c r="D68" s="2704" t="s">
        <v>275</v>
      </c>
      <c r="E68" s="2606" t="s">
        <v>79</v>
      </c>
      <c r="F68" s="982" t="s">
        <v>72</v>
      </c>
      <c r="G68" s="1031" t="s">
        <v>392</v>
      </c>
      <c r="H68" s="1370">
        <v>4481</v>
      </c>
      <c r="I68" s="1315">
        <v>66186</v>
      </c>
      <c r="J68" s="1315"/>
      <c r="K68" s="2776" t="s">
        <v>254</v>
      </c>
      <c r="L68" s="111">
        <v>1</v>
      </c>
      <c r="M68" s="77"/>
      <c r="N68" s="78"/>
    </row>
    <row r="69" spans="1:15" ht="12.75" customHeight="1" x14ac:dyDescent="0.2">
      <c r="A69" s="2440"/>
      <c r="B69" s="2442"/>
      <c r="C69" s="2443"/>
      <c r="D69" s="2704"/>
      <c r="E69" s="2606"/>
      <c r="F69" s="982"/>
      <c r="G69" s="12" t="s">
        <v>392</v>
      </c>
      <c r="H69" s="1214"/>
      <c r="I69" s="1217">
        <v>10000</v>
      </c>
      <c r="J69" s="1217"/>
      <c r="K69" s="2776"/>
      <c r="L69" s="202"/>
      <c r="M69" s="45"/>
      <c r="N69" s="46"/>
    </row>
    <row r="70" spans="1:15" x14ac:dyDescent="0.2">
      <c r="A70" s="2440"/>
      <c r="B70" s="2442"/>
      <c r="C70" s="2443"/>
      <c r="D70" s="2704"/>
      <c r="E70" s="2778"/>
      <c r="F70" s="982"/>
      <c r="G70" s="721" t="s">
        <v>74</v>
      </c>
      <c r="H70" s="1334"/>
      <c r="I70" s="1318"/>
      <c r="J70" s="1318">
        <f>2467.5/3.4528*1000</f>
        <v>714637</v>
      </c>
      <c r="K70" s="2776"/>
      <c r="L70" s="202"/>
      <c r="M70" s="45"/>
      <c r="N70" s="46"/>
    </row>
    <row r="71" spans="1:15" ht="14.25" customHeight="1" x14ac:dyDescent="0.2">
      <c r="A71" s="2440"/>
      <c r="B71" s="2442"/>
      <c r="C71" s="2443"/>
      <c r="D71" s="2780"/>
      <c r="E71" s="2779"/>
      <c r="F71" s="961"/>
      <c r="G71" s="40" t="s">
        <v>77</v>
      </c>
      <c r="H71" s="1213"/>
      <c r="I71" s="1211"/>
      <c r="J71" s="1211">
        <f>435.4/3.4528*1000</f>
        <v>126101</v>
      </c>
      <c r="K71" s="2777"/>
      <c r="L71" s="63"/>
      <c r="M71" s="63"/>
      <c r="N71" s="64">
        <v>65</v>
      </c>
    </row>
    <row r="72" spans="1:15" ht="19.5" customHeight="1" x14ac:dyDescent="0.2">
      <c r="A72" s="2757"/>
      <c r="B72" s="2727"/>
      <c r="C72" s="2709"/>
      <c r="D72" s="2703" t="s">
        <v>276</v>
      </c>
      <c r="E72" s="128" t="s">
        <v>79</v>
      </c>
      <c r="F72" s="2710" t="s">
        <v>72</v>
      </c>
      <c r="G72" s="512" t="s">
        <v>108</v>
      </c>
      <c r="H72" s="1340">
        <v>5257</v>
      </c>
      <c r="I72" s="1210"/>
      <c r="J72" s="1210"/>
      <c r="K72" s="2712" t="s">
        <v>256</v>
      </c>
      <c r="L72" s="1447">
        <v>100</v>
      </c>
      <c r="M72" s="1447"/>
      <c r="N72" s="1496"/>
    </row>
    <row r="73" spans="1:15" ht="22.5" customHeight="1" x14ac:dyDescent="0.2">
      <c r="A73" s="2757"/>
      <c r="B73" s="2727"/>
      <c r="C73" s="2709"/>
      <c r="D73" s="2844"/>
      <c r="E73" s="2714"/>
      <c r="F73" s="2711"/>
      <c r="G73" s="20" t="s">
        <v>75</v>
      </c>
      <c r="H73" s="1214">
        <f>32.2/3.4528*1000</f>
        <v>9326</v>
      </c>
      <c r="I73" s="1217"/>
      <c r="J73" s="1217"/>
      <c r="K73" s="2713"/>
      <c r="L73" s="1447"/>
      <c r="M73" s="1447"/>
      <c r="N73" s="1496"/>
    </row>
    <row r="74" spans="1:15" ht="22.5" customHeight="1" x14ac:dyDescent="0.2">
      <c r="A74" s="2757"/>
      <c r="B74" s="2727"/>
      <c r="C74" s="2709"/>
      <c r="D74" s="2718" t="s">
        <v>380</v>
      </c>
      <c r="E74" s="2714"/>
      <c r="F74" s="2711"/>
      <c r="G74" s="676" t="s">
        <v>392</v>
      </c>
      <c r="H74" s="1334">
        <v>4481</v>
      </c>
      <c r="I74" s="1318">
        <f>48946</f>
        <v>48946</v>
      </c>
      <c r="J74" s="1318"/>
      <c r="K74" s="1464" t="s">
        <v>255</v>
      </c>
      <c r="L74" s="1465"/>
      <c r="M74" s="1465">
        <v>1</v>
      </c>
      <c r="N74" s="1466"/>
    </row>
    <row r="75" spans="1:15" ht="27" customHeight="1" x14ac:dyDescent="0.2">
      <c r="A75" s="2440"/>
      <c r="B75" s="2442"/>
      <c r="C75" s="2443"/>
      <c r="D75" s="2719"/>
      <c r="E75" s="2485"/>
      <c r="F75" s="2438"/>
      <c r="G75" s="676" t="s">
        <v>392</v>
      </c>
      <c r="H75" s="1334"/>
      <c r="I75" s="1318">
        <v>10000</v>
      </c>
      <c r="J75" s="1318"/>
      <c r="K75" s="1012"/>
      <c r="L75" s="526"/>
      <c r="M75" s="526"/>
      <c r="N75" s="527"/>
    </row>
    <row r="76" spans="1:15" ht="27" customHeight="1" x14ac:dyDescent="0.2">
      <c r="A76" s="2440"/>
      <c r="B76" s="2442"/>
      <c r="C76" s="2443"/>
      <c r="D76" s="1184" t="s">
        <v>307</v>
      </c>
      <c r="E76" s="1432"/>
      <c r="F76" s="2439"/>
      <c r="G76" s="246" t="s">
        <v>392</v>
      </c>
      <c r="H76" s="1213">
        <f>472.1/3.4528*1000</f>
        <v>136730</v>
      </c>
      <c r="I76" s="1211"/>
      <c r="J76" s="1211"/>
      <c r="K76" s="2455" t="s">
        <v>308</v>
      </c>
      <c r="L76" s="364">
        <v>100</v>
      </c>
      <c r="M76" s="1447"/>
      <c r="N76" s="1496"/>
    </row>
    <row r="77" spans="1:15" ht="17.25" customHeight="1" x14ac:dyDescent="0.2">
      <c r="A77" s="2440"/>
      <c r="B77" s="2442"/>
      <c r="C77" s="2443"/>
      <c r="D77" s="2461" t="s">
        <v>257</v>
      </c>
      <c r="E77" s="2485"/>
      <c r="F77" s="982" t="s">
        <v>57</v>
      </c>
      <c r="G77" s="552" t="s">
        <v>42</v>
      </c>
      <c r="H77" s="1330">
        <f>10/3.4528*1000</f>
        <v>2896</v>
      </c>
      <c r="I77" s="1218"/>
      <c r="J77" s="1218"/>
      <c r="K77" s="2479" t="s">
        <v>258</v>
      </c>
      <c r="L77" s="586">
        <v>1</v>
      </c>
      <c r="M77" s="586"/>
      <c r="N77" s="587"/>
    </row>
    <row r="78" spans="1:15" ht="15.75" customHeight="1" thickBot="1" x14ac:dyDescent="0.25">
      <c r="A78" s="2456"/>
      <c r="B78" s="2464"/>
      <c r="C78" s="2466"/>
      <c r="D78" s="2682"/>
      <c r="E78" s="1002"/>
      <c r="F78" s="944"/>
      <c r="G78" s="1173" t="s">
        <v>9</v>
      </c>
      <c r="H78" s="1215">
        <f>SUM(H67:H77)</f>
        <v>163171</v>
      </c>
      <c r="I78" s="1215">
        <f>SUM(I67:I77)</f>
        <v>135132</v>
      </c>
      <c r="J78" s="1215">
        <f t="shared" ref="J78" si="0">SUM(J67:J77)</f>
        <v>840738</v>
      </c>
      <c r="K78" s="1171"/>
      <c r="L78" s="1010"/>
      <c r="M78" s="56"/>
      <c r="N78" s="57"/>
    </row>
    <row r="79" spans="1:15" ht="25.5" customHeight="1" x14ac:dyDescent="0.2">
      <c r="A79" s="2462" t="s">
        <v>8</v>
      </c>
      <c r="B79" s="2463" t="s">
        <v>8</v>
      </c>
      <c r="C79" s="2465" t="s">
        <v>54</v>
      </c>
      <c r="D79" s="133" t="s">
        <v>127</v>
      </c>
      <c r="E79" s="1818" t="s">
        <v>206</v>
      </c>
      <c r="F79" s="622"/>
      <c r="G79" s="1553"/>
      <c r="H79" s="1342"/>
      <c r="I79" s="1355"/>
      <c r="J79" s="1356"/>
      <c r="K79" s="16"/>
      <c r="L79" s="81"/>
      <c r="M79" s="81"/>
      <c r="N79" s="2492"/>
    </row>
    <row r="80" spans="1:15" ht="18.75" customHeight="1" x14ac:dyDescent="0.2">
      <c r="A80" s="2757"/>
      <c r="B80" s="2727"/>
      <c r="C80" s="2709"/>
      <c r="D80" s="2703" t="s">
        <v>278</v>
      </c>
      <c r="E80" s="2450" t="s">
        <v>79</v>
      </c>
      <c r="F80" s="2711" t="s">
        <v>72</v>
      </c>
      <c r="G80" s="802" t="s">
        <v>77</v>
      </c>
      <c r="H80" s="1340">
        <f>(217.8+ 199.4)/3.4528*1000</f>
        <v>120829</v>
      </c>
      <c r="I80" s="1360"/>
      <c r="J80" s="1315"/>
      <c r="K80" s="2690" t="s">
        <v>267</v>
      </c>
      <c r="L80" s="2773" t="s">
        <v>188</v>
      </c>
      <c r="M80" s="77"/>
      <c r="N80" s="78"/>
      <c r="O80" s="60"/>
    </row>
    <row r="81" spans="1:15" ht="18.75" customHeight="1" x14ac:dyDescent="0.2">
      <c r="A81" s="2757"/>
      <c r="B81" s="2727"/>
      <c r="C81" s="2709"/>
      <c r="D81" s="2704"/>
      <c r="E81" s="2476"/>
      <c r="F81" s="2711"/>
      <c r="G81" s="1744" t="s">
        <v>80</v>
      </c>
      <c r="H81" s="1334">
        <v>23199</v>
      </c>
      <c r="I81" s="1358"/>
      <c r="J81" s="1318"/>
      <c r="K81" s="2692"/>
      <c r="L81" s="2774"/>
      <c r="M81" s="45"/>
      <c r="N81" s="46"/>
    </row>
    <row r="82" spans="1:15" ht="20.25" customHeight="1" x14ac:dyDescent="0.2">
      <c r="A82" s="2757"/>
      <c r="B82" s="2727"/>
      <c r="C82" s="2709"/>
      <c r="D82" s="2704"/>
      <c r="E82" s="926"/>
      <c r="F82" s="2711"/>
      <c r="G82" s="919" t="s">
        <v>75</v>
      </c>
      <c r="H82" s="1213">
        <v>191149</v>
      </c>
      <c r="I82" s="1392"/>
      <c r="J82" s="1347"/>
      <c r="K82" s="2691"/>
      <c r="L82" s="2775"/>
      <c r="M82" s="63"/>
      <c r="N82" s="64"/>
    </row>
    <row r="83" spans="1:15" ht="21" customHeight="1" x14ac:dyDescent="0.2">
      <c r="A83" s="2757"/>
      <c r="B83" s="2727"/>
      <c r="C83" s="2709"/>
      <c r="D83" s="2703" t="s">
        <v>319</v>
      </c>
      <c r="E83" s="2706" t="s">
        <v>79</v>
      </c>
      <c r="F83" s="2710" t="s">
        <v>72</v>
      </c>
      <c r="G83" s="920" t="s">
        <v>74</v>
      </c>
      <c r="H83" s="1370">
        <f>6842.4/3.4528*1000</f>
        <v>1981696</v>
      </c>
      <c r="I83" s="1748"/>
      <c r="J83" s="1315"/>
      <c r="K83" s="2784" t="s">
        <v>320</v>
      </c>
      <c r="L83" s="753">
        <v>100</v>
      </c>
      <c r="M83" s="202"/>
      <c r="N83" s="113"/>
    </row>
    <row r="84" spans="1:15" ht="30.75" customHeight="1" x14ac:dyDescent="0.2">
      <c r="A84" s="2757"/>
      <c r="B84" s="2727"/>
      <c r="C84" s="2709"/>
      <c r="D84" s="2705"/>
      <c r="E84" s="2707"/>
      <c r="F84" s="2715"/>
      <c r="G84" s="919" t="s">
        <v>80</v>
      </c>
      <c r="H84" s="1213">
        <f>1701.8/3.4528*1000</f>
        <v>492875</v>
      </c>
      <c r="I84" s="1749"/>
      <c r="J84" s="1347"/>
      <c r="K84" s="2785"/>
      <c r="L84" s="132"/>
      <c r="M84" s="112"/>
      <c r="N84" s="64"/>
    </row>
    <row r="85" spans="1:15" ht="24.75" customHeight="1" x14ac:dyDescent="0.2">
      <c r="A85" s="2440"/>
      <c r="B85" s="2442"/>
      <c r="C85" s="2097"/>
      <c r="D85" s="2760" t="s">
        <v>154</v>
      </c>
      <c r="E85" s="2470" t="s">
        <v>79</v>
      </c>
      <c r="F85" s="2444" t="s">
        <v>72</v>
      </c>
      <c r="G85" s="914" t="s">
        <v>80</v>
      </c>
      <c r="H85" s="1214"/>
      <c r="I85" s="1324"/>
      <c r="J85" s="1352">
        <f>1000/3.4528*1000</f>
        <v>289620</v>
      </c>
      <c r="K85" s="2796" t="s">
        <v>208</v>
      </c>
      <c r="L85" s="134"/>
      <c r="M85" s="774"/>
      <c r="N85" s="1131">
        <v>1</v>
      </c>
    </row>
    <row r="86" spans="1:15" ht="19.5" customHeight="1" thickBot="1" x14ac:dyDescent="0.25">
      <c r="A86" s="2440"/>
      <c r="B86" s="2442"/>
      <c r="C86" s="2097"/>
      <c r="D86" s="2762"/>
      <c r="E86" s="2451"/>
      <c r="F86" s="2439"/>
      <c r="G86" s="876" t="s">
        <v>9</v>
      </c>
      <c r="H86" s="1219">
        <f>SUM(H79:H85)</f>
        <v>2809748</v>
      </c>
      <c r="I86" s="1385">
        <f>SUM(I79:I85)</f>
        <v>0</v>
      </c>
      <c r="J86" s="1219">
        <f>SUM(J79:J85)</f>
        <v>289620</v>
      </c>
      <c r="K86" s="2723"/>
      <c r="L86" s="880"/>
      <c r="M86" s="881"/>
      <c r="N86" s="882">
        <v>50</v>
      </c>
    </row>
    <row r="87" spans="1:15" s="73" customFormat="1" ht="27.75" customHeight="1" x14ac:dyDescent="0.2">
      <c r="A87" s="2755" t="s">
        <v>8</v>
      </c>
      <c r="B87" s="2847" t="s">
        <v>8</v>
      </c>
      <c r="C87" s="2854" t="s">
        <v>55</v>
      </c>
      <c r="D87" s="2857" t="s">
        <v>144</v>
      </c>
      <c r="E87" s="2781"/>
      <c r="F87" s="2738" t="s">
        <v>72</v>
      </c>
      <c r="G87" s="921" t="s">
        <v>42</v>
      </c>
      <c r="H87" s="1371">
        <f>10/3.4528*1000</f>
        <v>2896</v>
      </c>
      <c r="I87" s="1372">
        <f t="shared" ref="I87:J87" si="1">20/3.4528*1000</f>
        <v>5792</v>
      </c>
      <c r="J87" s="1372">
        <f t="shared" si="1"/>
        <v>5792</v>
      </c>
      <c r="K87" s="2862"/>
      <c r="L87" s="71"/>
      <c r="M87" s="71"/>
      <c r="N87" s="72"/>
    </row>
    <row r="88" spans="1:15" ht="14.25" customHeight="1" x14ac:dyDescent="0.2">
      <c r="A88" s="2757"/>
      <c r="B88" s="2727"/>
      <c r="C88" s="2855"/>
      <c r="D88" s="2704"/>
      <c r="E88" s="2782"/>
      <c r="F88" s="2711"/>
      <c r="G88" s="919"/>
      <c r="H88" s="1214"/>
      <c r="I88" s="1221"/>
      <c r="J88" s="1221"/>
      <c r="K88" s="2862"/>
      <c r="L88" s="45"/>
      <c r="M88" s="45"/>
      <c r="N88" s="46"/>
      <c r="O88" s="60"/>
    </row>
    <row r="89" spans="1:15" ht="13.5" thickBot="1" x14ac:dyDescent="0.25">
      <c r="A89" s="2756"/>
      <c r="B89" s="2728"/>
      <c r="C89" s="2856"/>
      <c r="D89" s="2858"/>
      <c r="E89" s="2783"/>
      <c r="F89" s="2739"/>
      <c r="G89" s="922" t="s">
        <v>9</v>
      </c>
      <c r="H89" s="1219">
        <f>SUM(H87:H88)</f>
        <v>2896</v>
      </c>
      <c r="I89" s="1222">
        <f>SUM(I87:I88)</f>
        <v>5792</v>
      </c>
      <c r="J89" s="1222">
        <f>SUM(J87:J88)</f>
        <v>5792</v>
      </c>
      <c r="K89" s="18"/>
      <c r="L89" s="56"/>
      <c r="M89" s="56"/>
      <c r="N89" s="57"/>
    </row>
    <row r="90" spans="1:15" ht="13.5" thickBot="1" x14ac:dyDescent="0.25">
      <c r="A90" s="382" t="s">
        <v>8</v>
      </c>
      <c r="B90" s="11" t="s">
        <v>8</v>
      </c>
      <c r="C90" s="2730" t="s">
        <v>11</v>
      </c>
      <c r="D90" s="2730"/>
      <c r="E90" s="2730"/>
      <c r="F90" s="2730"/>
      <c r="G90" s="2730"/>
      <c r="H90" s="1223">
        <f>H89+H86+H78+H56+H45+H30+H66</f>
        <v>4117265</v>
      </c>
      <c r="I90" s="1223">
        <f>I89+I86+I78+I56+I45+I30+I66</f>
        <v>3267994</v>
      </c>
      <c r="J90" s="1223">
        <f>J89+J86+J78+J56+J45+J30+J66</f>
        <v>5145418</v>
      </c>
      <c r="K90" s="2473"/>
      <c r="L90" s="58"/>
      <c r="M90" s="58"/>
      <c r="N90" s="59"/>
    </row>
    <row r="91" spans="1:15" ht="13.5" thickBot="1" x14ac:dyDescent="0.25">
      <c r="A91" s="382" t="s">
        <v>8</v>
      </c>
      <c r="B91" s="11" t="s">
        <v>10</v>
      </c>
      <c r="C91" s="2770" t="s">
        <v>49</v>
      </c>
      <c r="D91" s="2770"/>
      <c r="E91" s="2770"/>
      <c r="F91" s="2770"/>
      <c r="G91" s="2770"/>
      <c r="H91" s="2771"/>
      <c r="I91" s="2770"/>
      <c r="J91" s="2770"/>
      <c r="K91" s="2770"/>
      <c r="L91" s="2770"/>
      <c r="M91" s="2770"/>
      <c r="N91" s="2772"/>
    </row>
    <row r="92" spans="1:15" x14ac:dyDescent="0.2">
      <c r="A92" s="2462" t="s">
        <v>8</v>
      </c>
      <c r="B92" s="2463" t="s">
        <v>10</v>
      </c>
      <c r="C92" s="2465" t="s">
        <v>8</v>
      </c>
      <c r="D92" s="2791" t="s">
        <v>99</v>
      </c>
      <c r="E92" s="2842" t="s">
        <v>263</v>
      </c>
      <c r="F92" s="2471"/>
      <c r="G92" s="241" t="s">
        <v>42</v>
      </c>
      <c r="H92" s="1373">
        <f>17326.9/3.4528*1000</f>
        <v>5018217</v>
      </c>
      <c r="I92" s="1374">
        <f>17875.7/3.4528*1000</f>
        <v>5177161</v>
      </c>
      <c r="J92" s="1374">
        <f>18382.4/3.4528*1000</f>
        <v>5323911</v>
      </c>
      <c r="K92" s="131"/>
      <c r="L92" s="87"/>
      <c r="M92" s="131"/>
      <c r="N92" s="115"/>
    </row>
    <row r="93" spans="1:15" x14ac:dyDescent="0.2">
      <c r="A93" s="2440"/>
      <c r="B93" s="2442"/>
      <c r="C93" s="2443"/>
      <c r="D93" s="2744"/>
      <c r="E93" s="2843"/>
      <c r="F93" s="2438"/>
      <c r="G93" s="240" t="s">
        <v>122</v>
      </c>
      <c r="H93" s="1330">
        <f>500/3.4528*1000</f>
        <v>144810</v>
      </c>
      <c r="I93" s="1375">
        <f>545.2/3.4528*1000</f>
        <v>157901</v>
      </c>
      <c r="J93" s="1375">
        <f>845.2/3.4528*1000</f>
        <v>244787</v>
      </c>
      <c r="K93" s="6"/>
      <c r="L93" s="100"/>
      <c r="M93" s="6"/>
      <c r="N93" s="101"/>
    </row>
    <row r="94" spans="1:15" x14ac:dyDescent="0.2">
      <c r="A94" s="2440"/>
      <c r="B94" s="2442"/>
      <c r="C94" s="2443"/>
      <c r="D94" s="2792"/>
      <c r="E94" s="2843"/>
      <c r="F94" s="2439"/>
      <c r="G94" s="242" t="s">
        <v>108</v>
      </c>
      <c r="H94" s="1213">
        <v>3717</v>
      </c>
      <c r="I94" s="1237"/>
      <c r="J94" s="1237"/>
      <c r="K94" s="6"/>
      <c r="L94" s="100"/>
      <c r="M94" s="6"/>
      <c r="N94" s="101"/>
    </row>
    <row r="95" spans="1:15" ht="13.5" customHeight="1" x14ac:dyDescent="0.2">
      <c r="A95" s="2440"/>
      <c r="B95" s="2442"/>
      <c r="C95" s="2443"/>
      <c r="D95" s="1017" t="s">
        <v>87</v>
      </c>
      <c r="E95" s="2470"/>
      <c r="F95" s="2438"/>
      <c r="G95" s="884"/>
      <c r="H95" s="1214"/>
      <c r="I95" s="1376"/>
      <c r="J95" s="1377"/>
      <c r="K95" s="1013"/>
      <c r="L95" s="1014"/>
      <c r="M95" s="1015"/>
      <c r="N95" s="1016"/>
    </row>
    <row r="96" spans="1:15" ht="27" customHeight="1" x14ac:dyDescent="0.2">
      <c r="A96" s="2440"/>
      <c r="B96" s="2442"/>
      <c r="C96" s="2443"/>
      <c r="D96" s="2446" t="s">
        <v>148</v>
      </c>
      <c r="E96" s="2470"/>
      <c r="F96" s="2438" t="s">
        <v>57</v>
      </c>
      <c r="G96" s="887"/>
      <c r="H96" s="1334"/>
      <c r="I96" s="1318"/>
      <c r="J96" s="1319"/>
      <c r="K96" s="1012" t="s">
        <v>67</v>
      </c>
      <c r="L96" s="526">
        <v>5</v>
      </c>
      <c r="M96" s="526">
        <v>5</v>
      </c>
      <c r="N96" s="527">
        <v>5</v>
      </c>
    </row>
    <row r="97" spans="1:14" x14ac:dyDescent="0.2">
      <c r="A97" s="2440"/>
      <c r="B97" s="2442"/>
      <c r="C97" s="2443"/>
      <c r="D97" s="894" t="s">
        <v>149</v>
      </c>
      <c r="E97" s="2470"/>
      <c r="F97" s="2438"/>
      <c r="G97" s="887"/>
      <c r="H97" s="1334"/>
      <c r="I97" s="1318"/>
      <c r="J97" s="1319"/>
      <c r="K97" s="735" t="s">
        <v>173</v>
      </c>
      <c r="L97" s="650">
        <v>3</v>
      </c>
      <c r="M97" s="650">
        <v>3</v>
      </c>
      <c r="N97" s="651">
        <v>3</v>
      </c>
    </row>
    <row r="98" spans="1:14" ht="25.5" x14ac:dyDescent="0.2">
      <c r="A98" s="2440"/>
      <c r="B98" s="2442"/>
      <c r="C98" s="2443"/>
      <c r="D98" s="1457" t="s">
        <v>150</v>
      </c>
      <c r="E98" s="1458"/>
      <c r="F98" s="2445"/>
      <c r="G98" s="887"/>
      <c r="H98" s="1334"/>
      <c r="I98" s="1318"/>
      <c r="J98" s="1319"/>
      <c r="K98" s="735" t="s">
        <v>174</v>
      </c>
      <c r="L98" s="650">
        <v>6</v>
      </c>
      <c r="M98" s="650">
        <v>6</v>
      </c>
      <c r="N98" s="651">
        <v>6</v>
      </c>
    </row>
    <row r="99" spans="1:14" ht="27" customHeight="1" x14ac:dyDescent="0.2">
      <c r="A99" s="2440"/>
      <c r="B99" s="2442"/>
      <c r="C99" s="2443"/>
      <c r="D99" s="895" t="s">
        <v>68</v>
      </c>
      <c r="E99" s="2470"/>
      <c r="F99" s="2438" t="s">
        <v>57</v>
      </c>
      <c r="G99" s="884"/>
      <c r="H99" s="1370"/>
      <c r="I99" s="1315"/>
      <c r="J99" s="1316"/>
      <c r="K99" s="892" t="s">
        <v>92</v>
      </c>
      <c r="L99" s="893">
        <v>6.8</v>
      </c>
      <c r="M99" s="524">
        <v>7</v>
      </c>
      <c r="N99" s="525">
        <v>7</v>
      </c>
    </row>
    <row r="100" spans="1:14" ht="51.75" customHeight="1" x14ac:dyDescent="0.2">
      <c r="A100" s="2440"/>
      <c r="B100" s="2442"/>
      <c r="C100" s="2443"/>
      <c r="D100" s="894" t="s">
        <v>279</v>
      </c>
      <c r="E100" s="1005"/>
      <c r="F100" s="1006" t="s">
        <v>57</v>
      </c>
      <c r="G100" s="676"/>
      <c r="H100" s="1334"/>
      <c r="I100" s="1318"/>
      <c r="J100" s="1319"/>
      <c r="K100" s="735" t="s">
        <v>70</v>
      </c>
      <c r="L100" s="650">
        <v>3</v>
      </c>
      <c r="M100" s="650">
        <v>3</v>
      </c>
      <c r="N100" s="651">
        <v>3</v>
      </c>
    </row>
    <row r="101" spans="1:14" ht="42" customHeight="1" x14ac:dyDescent="0.2">
      <c r="A101" s="2440"/>
      <c r="B101" s="2442"/>
      <c r="C101" s="2443"/>
      <c r="D101" s="894" t="s">
        <v>145</v>
      </c>
      <c r="E101" s="1005"/>
      <c r="F101" s="1006" t="s">
        <v>57</v>
      </c>
      <c r="G101" s="676"/>
      <c r="H101" s="1334"/>
      <c r="I101" s="1318"/>
      <c r="J101" s="1319"/>
      <c r="K101" s="891" t="s">
        <v>119</v>
      </c>
      <c r="L101" s="888">
        <v>36</v>
      </c>
      <c r="M101" s="888">
        <v>37</v>
      </c>
      <c r="N101" s="889">
        <v>38</v>
      </c>
    </row>
    <row r="102" spans="1:14" ht="21.75" customHeight="1" x14ac:dyDescent="0.2">
      <c r="A102" s="2757"/>
      <c r="B102" s="2727"/>
      <c r="C102" s="2709"/>
      <c r="D102" s="2786" t="s">
        <v>69</v>
      </c>
      <c r="E102" s="2788" t="s">
        <v>136</v>
      </c>
      <c r="F102" s="2711" t="s">
        <v>57</v>
      </c>
      <c r="G102" s="885"/>
      <c r="H102" s="1370"/>
      <c r="I102" s="1315"/>
      <c r="J102" s="1316"/>
      <c r="K102" s="2717" t="s">
        <v>93</v>
      </c>
      <c r="L102" s="1447">
        <v>0</v>
      </c>
      <c r="M102" s="1447">
        <v>8</v>
      </c>
      <c r="N102" s="1496">
        <v>8</v>
      </c>
    </row>
    <row r="103" spans="1:14" ht="13.5" thickBot="1" x14ac:dyDescent="0.25">
      <c r="A103" s="2756"/>
      <c r="B103" s="2728"/>
      <c r="C103" s="2729"/>
      <c r="D103" s="2787"/>
      <c r="E103" s="2789"/>
      <c r="F103" s="2739"/>
      <c r="G103" s="922" t="s">
        <v>9</v>
      </c>
      <c r="H103" s="1219">
        <f>SUM(H91:H102)</f>
        <v>5166744</v>
      </c>
      <c r="I103" s="1219">
        <f>SUM(I92:I102)</f>
        <v>5335062</v>
      </c>
      <c r="J103" s="1219">
        <f>SUM(J92:J102)</f>
        <v>5568698</v>
      </c>
      <c r="K103" s="2790"/>
      <c r="L103" s="248"/>
      <c r="M103" s="248"/>
      <c r="N103" s="249"/>
    </row>
    <row r="104" spans="1:14" ht="13.5" thickBot="1" x14ac:dyDescent="0.25">
      <c r="A104" s="383" t="s">
        <v>8</v>
      </c>
      <c r="B104" s="11" t="s">
        <v>10</v>
      </c>
      <c r="C104" s="2730" t="s">
        <v>11</v>
      </c>
      <c r="D104" s="2730"/>
      <c r="E104" s="2730"/>
      <c r="F104" s="2730"/>
      <c r="G104" s="2730"/>
      <c r="H104" s="1223">
        <f>H103</f>
        <v>5166744</v>
      </c>
      <c r="I104" s="1223">
        <f t="shared" ref="I104:J104" si="2">I103</f>
        <v>5335062</v>
      </c>
      <c r="J104" s="1223">
        <f t="shared" si="2"/>
        <v>5568698</v>
      </c>
      <c r="K104" s="2725"/>
      <c r="L104" s="2725"/>
      <c r="M104" s="2725"/>
      <c r="N104" s="2726"/>
    </row>
    <row r="105" spans="1:14" ht="13.5" thickBot="1" x14ac:dyDescent="0.25">
      <c r="A105" s="382" t="s">
        <v>8</v>
      </c>
      <c r="B105" s="11" t="s">
        <v>45</v>
      </c>
      <c r="C105" s="2820" t="s">
        <v>51</v>
      </c>
      <c r="D105" s="2821"/>
      <c r="E105" s="2821"/>
      <c r="F105" s="2821"/>
      <c r="G105" s="2821"/>
      <c r="H105" s="2821"/>
      <c r="I105" s="2821"/>
      <c r="J105" s="2821"/>
      <c r="K105" s="2821"/>
      <c r="L105" s="2821"/>
      <c r="M105" s="2821"/>
      <c r="N105" s="2822"/>
    </row>
    <row r="106" spans="1:14" ht="38.25" customHeight="1" x14ac:dyDescent="0.2">
      <c r="A106" s="2462" t="s">
        <v>8</v>
      </c>
      <c r="B106" s="2463" t="s">
        <v>45</v>
      </c>
      <c r="C106" s="2096" t="s">
        <v>8</v>
      </c>
      <c r="D106" s="630" t="s">
        <v>295</v>
      </c>
      <c r="E106" s="1459" t="s">
        <v>141</v>
      </c>
      <c r="F106" s="622"/>
      <c r="G106" s="19"/>
      <c r="H106" s="1460"/>
      <c r="I106" s="1378"/>
      <c r="J106" s="1390"/>
      <c r="K106" s="545"/>
      <c r="L106" s="686"/>
      <c r="M106" s="686"/>
      <c r="N106" s="687"/>
    </row>
    <row r="107" spans="1:14" ht="15" customHeight="1" x14ac:dyDescent="0.2">
      <c r="A107" s="2440"/>
      <c r="B107" s="2442"/>
      <c r="C107" s="2097"/>
      <c r="D107" s="2926" t="s">
        <v>116</v>
      </c>
      <c r="E107" s="1768"/>
      <c r="F107" s="1081" t="s">
        <v>57</v>
      </c>
      <c r="G107" s="512" t="s">
        <v>122</v>
      </c>
      <c r="H107" s="1379">
        <f>364.8/3.4528*1000</f>
        <v>105653</v>
      </c>
      <c r="I107" s="1326">
        <f>305.5/3.4528*1000</f>
        <v>88479</v>
      </c>
      <c r="J107" s="1327">
        <f>305.5/3.4528*1000</f>
        <v>88479</v>
      </c>
      <c r="K107" s="2478"/>
      <c r="L107" s="210"/>
      <c r="M107" s="210"/>
      <c r="N107" s="211"/>
    </row>
    <row r="108" spans="1:14" ht="14.25" customHeight="1" x14ac:dyDescent="0.2">
      <c r="A108" s="2488"/>
      <c r="B108" s="2489"/>
      <c r="C108" s="1810"/>
      <c r="D108" s="2792"/>
      <c r="E108" s="1811"/>
      <c r="F108" s="1084"/>
      <c r="G108" s="1812" t="s">
        <v>392</v>
      </c>
      <c r="H108" s="1813">
        <v>152311</v>
      </c>
      <c r="I108" s="1736">
        <v>145433</v>
      </c>
      <c r="J108" s="1814">
        <v>145433</v>
      </c>
      <c r="K108" s="2494"/>
      <c r="L108" s="439"/>
      <c r="M108" s="439"/>
      <c r="N108" s="440"/>
    </row>
    <row r="109" spans="1:14" ht="38.25" customHeight="1" x14ac:dyDescent="0.2">
      <c r="A109" s="2440"/>
      <c r="B109" s="2442"/>
      <c r="C109" s="2097"/>
      <c r="D109" s="2704"/>
      <c r="E109" s="1774" t="s">
        <v>137</v>
      </c>
      <c r="F109" s="2711"/>
      <c r="G109" s="992"/>
      <c r="H109" s="1229"/>
      <c r="I109" s="1217"/>
      <c r="J109" s="1221"/>
      <c r="K109" s="2454" t="s">
        <v>152</v>
      </c>
      <c r="L109" s="1447">
        <v>2</v>
      </c>
      <c r="M109" s="1447">
        <v>2</v>
      </c>
      <c r="N109" s="1496">
        <v>2</v>
      </c>
    </row>
    <row r="110" spans="1:14" ht="25.5" customHeight="1" x14ac:dyDescent="0.2">
      <c r="A110" s="2440"/>
      <c r="B110" s="2442"/>
      <c r="C110" s="2097"/>
      <c r="D110" s="2744"/>
      <c r="E110" s="2683"/>
      <c r="F110" s="2859"/>
      <c r="G110" s="20"/>
      <c r="H110" s="1229"/>
      <c r="I110" s="1217"/>
      <c r="J110" s="1221"/>
      <c r="K110" s="2482" t="s">
        <v>153</v>
      </c>
      <c r="L110" s="2501">
        <v>1</v>
      </c>
      <c r="M110" s="2501">
        <v>1</v>
      </c>
      <c r="N110" s="2497">
        <v>1</v>
      </c>
    </row>
    <row r="111" spans="1:14" ht="14.25" customHeight="1" x14ac:dyDescent="0.2">
      <c r="A111" s="2440"/>
      <c r="B111" s="2442"/>
      <c r="C111" s="2097"/>
      <c r="D111" s="2744"/>
      <c r="E111" s="2683"/>
      <c r="F111" s="2438"/>
      <c r="G111" s="836"/>
      <c r="H111" s="1502"/>
      <c r="I111" s="1315"/>
      <c r="J111" s="1316"/>
      <c r="K111" s="523" t="s">
        <v>59</v>
      </c>
      <c r="L111" s="524">
        <v>67</v>
      </c>
      <c r="M111" s="524">
        <v>67</v>
      </c>
      <c r="N111" s="525">
        <v>67</v>
      </c>
    </row>
    <row r="112" spans="1:14" ht="24" customHeight="1" x14ac:dyDescent="0.2">
      <c r="A112" s="2440"/>
      <c r="B112" s="2442"/>
      <c r="C112" s="2097"/>
      <c r="D112" s="2446"/>
      <c r="E112" s="2684"/>
      <c r="F112" s="2445"/>
      <c r="G112" s="1772" t="s">
        <v>133</v>
      </c>
      <c r="H112" s="1773">
        <v>65825</v>
      </c>
      <c r="I112" s="1315"/>
      <c r="J112" s="1316"/>
      <c r="K112" s="523" t="s">
        <v>336</v>
      </c>
      <c r="L112" s="1771">
        <v>2</v>
      </c>
      <c r="M112" s="524"/>
      <c r="N112" s="525"/>
    </row>
    <row r="113" spans="1:14" ht="13.5" customHeight="1" x14ac:dyDescent="0.2">
      <c r="A113" s="2440"/>
      <c r="B113" s="2442"/>
      <c r="C113" s="2097"/>
      <c r="D113" s="2216" t="s">
        <v>117</v>
      </c>
      <c r="E113" s="2217"/>
      <c r="F113" s="2170"/>
      <c r="G113" s="1449" t="s">
        <v>392</v>
      </c>
      <c r="H113" s="1461">
        <v>174911</v>
      </c>
      <c r="I113" s="1450">
        <v>145431</v>
      </c>
      <c r="J113" s="1462">
        <v>145431</v>
      </c>
      <c r="K113" s="2482" t="s">
        <v>164</v>
      </c>
      <c r="L113" s="507">
        <v>0.5</v>
      </c>
      <c r="M113" s="507">
        <v>0.5</v>
      </c>
      <c r="N113" s="508">
        <v>0.5</v>
      </c>
    </row>
    <row r="114" spans="1:14" ht="13.5" customHeight="1" x14ac:dyDescent="0.2">
      <c r="A114" s="2440"/>
      <c r="B114" s="2442"/>
      <c r="C114" s="2097"/>
      <c r="D114" s="2446"/>
      <c r="E114" s="2218"/>
      <c r="F114" s="2438"/>
      <c r="G114" s="246"/>
      <c r="H114" s="1225"/>
      <c r="I114" s="1211"/>
      <c r="J114" s="1321"/>
      <c r="K114" s="2482" t="s">
        <v>397</v>
      </c>
      <c r="L114" s="507" t="s">
        <v>98</v>
      </c>
      <c r="M114" s="507"/>
      <c r="N114" s="508"/>
    </row>
    <row r="115" spans="1:14" ht="42" customHeight="1" x14ac:dyDescent="0.2">
      <c r="A115" s="2440"/>
      <c r="B115" s="2442"/>
      <c r="C115" s="2097"/>
      <c r="D115" s="1063" t="s">
        <v>328</v>
      </c>
      <c r="E115" s="1132" t="s">
        <v>79</v>
      </c>
      <c r="F115" s="1133" t="s">
        <v>72</v>
      </c>
      <c r="G115" s="39" t="s">
        <v>392</v>
      </c>
      <c r="H115" s="1224">
        <f>30/3.4528*1000</f>
        <v>8689</v>
      </c>
      <c r="I115" s="1380">
        <f>243/3.4528*1000</f>
        <v>70378</v>
      </c>
      <c r="J115" s="1381"/>
      <c r="K115" s="1065" t="s">
        <v>335</v>
      </c>
      <c r="L115" s="588">
        <v>1</v>
      </c>
      <c r="M115" s="1750">
        <v>100</v>
      </c>
      <c r="N115" s="1021"/>
    </row>
    <row r="116" spans="1:14" ht="27" customHeight="1" x14ac:dyDescent="0.2">
      <c r="A116" s="2440"/>
      <c r="B116" s="2442"/>
      <c r="C116" s="2097"/>
      <c r="D116" s="2760" t="s">
        <v>280</v>
      </c>
      <c r="E116" s="2490"/>
      <c r="F116" s="1208" t="s">
        <v>57</v>
      </c>
      <c r="G116" s="39" t="s">
        <v>42</v>
      </c>
      <c r="H116" s="1224">
        <f>18/3.4528*1000</f>
        <v>5213</v>
      </c>
      <c r="I116" s="1380">
        <f>20/3.4528*1000</f>
        <v>5792</v>
      </c>
      <c r="J116" s="1382">
        <f>20/3.4528*1000</f>
        <v>5792</v>
      </c>
      <c r="K116" s="1209" t="s">
        <v>186</v>
      </c>
      <c r="L116" s="623">
        <v>3</v>
      </c>
      <c r="M116" s="623">
        <v>3</v>
      </c>
      <c r="N116" s="624" t="s">
        <v>187</v>
      </c>
    </row>
    <row r="117" spans="1:14" ht="23.25" customHeight="1" thickBot="1" x14ac:dyDescent="0.25">
      <c r="A117" s="2440"/>
      <c r="B117" s="2442"/>
      <c r="C117" s="2097"/>
      <c r="D117" s="2762"/>
      <c r="E117" s="2448"/>
      <c r="F117" s="2449"/>
      <c r="G117" s="1008" t="s">
        <v>9</v>
      </c>
      <c r="H117" s="1383">
        <f>SUM(H106:H116)</f>
        <v>512602</v>
      </c>
      <c r="I117" s="1219">
        <f>SUM(I106:I116)</f>
        <v>455513</v>
      </c>
      <c r="J117" s="1383">
        <f>SUM(J106:J116)</f>
        <v>385135</v>
      </c>
      <c r="K117" s="2478"/>
      <c r="L117" s="1447"/>
      <c r="M117" s="210"/>
      <c r="N117" s="211"/>
    </row>
    <row r="118" spans="1:14" ht="15.75" customHeight="1" x14ac:dyDescent="0.2">
      <c r="A118" s="2755" t="s">
        <v>8</v>
      </c>
      <c r="B118" s="2847" t="s">
        <v>45</v>
      </c>
      <c r="C118" s="2732" t="s">
        <v>10</v>
      </c>
      <c r="D118" s="2743" t="s">
        <v>60</v>
      </c>
      <c r="E118" s="2472"/>
      <c r="F118" s="613" t="s">
        <v>57</v>
      </c>
      <c r="G118" s="897" t="s">
        <v>122</v>
      </c>
      <c r="H118" s="1226">
        <f>1730.2/3.4528*1000</f>
        <v>501101</v>
      </c>
      <c r="I118" s="1227">
        <f>1730.3/3.4528*1000</f>
        <v>501130</v>
      </c>
      <c r="J118" s="1228">
        <f>1780.3/3.4528*1000</f>
        <v>515611</v>
      </c>
      <c r="K118" s="2487" t="s">
        <v>86</v>
      </c>
      <c r="L118" s="2498">
        <v>155</v>
      </c>
      <c r="M118" s="2498">
        <v>160</v>
      </c>
      <c r="N118" s="2500">
        <v>160</v>
      </c>
    </row>
    <row r="119" spans="1:14" ht="25.5" x14ac:dyDescent="0.2">
      <c r="A119" s="2757"/>
      <c r="B119" s="2727"/>
      <c r="C119" s="2709"/>
      <c r="D119" s="2744"/>
      <c r="E119" s="2459"/>
      <c r="F119" s="612"/>
      <c r="G119" s="1463" t="s">
        <v>133</v>
      </c>
      <c r="H119" s="1461">
        <v>6482</v>
      </c>
      <c r="I119" s="1450"/>
      <c r="J119" s="1462"/>
      <c r="K119" s="627" t="s">
        <v>169</v>
      </c>
      <c r="L119" s="888">
        <v>487</v>
      </c>
      <c r="M119" s="888">
        <v>500</v>
      </c>
      <c r="N119" s="889">
        <v>500</v>
      </c>
    </row>
    <row r="120" spans="1:14" ht="25.5" x14ac:dyDescent="0.2">
      <c r="A120" s="2757"/>
      <c r="B120" s="2727"/>
      <c r="C120" s="2709"/>
      <c r="D120" s="2457"/>
      <c r="E120" s="2459"/>
      <c r="F120" s="612"/>
      <c r="G120" s="992"/>
      <c r="H120" s="1229"/>
      <c r="I120" s="1217"/>
      <c r="J120" s="1221"/>
      <c r="K120" s="988" t="s">
        <v>168</v>
      </c>
      <c r="L120" s="977">
        <v>3</v>
      </c>
      <c r="M120" s="977">
        <v>3</v>
      </c>
      <c r="N120" s="993">
        <v>3</v>
      </c>
    </row>
    <row r="121" spans="1:14" ht="25.5" x14ac:dyDescent="0.2">
      <c r="A121" s="2757"/>
      <c r="B121" s="2727"/>
      <c r="C121" s="2709"/>
      <c r="D121" s="2457"/>
      <c r="E121" s="2459"/>
      <c r="F121" s="612"/>
      <c r="G121" s="992"/>
      <c r="H121" s="1229"/>
      <c r="I121" s="1384"/>
      <c r="J121" s="1365"/>
      <c r="K121" s="988" t="s">
        <v>268</v>
      </c>
      <c r="L121" s="994">
        <v>770</v>
      </c>
      <c r="M121" s="994">
        <v>280</v>
      </c>
      <c r="N121" s="995">
        <v>280</v>
      </c>
    </row>
    <row r="122" spans="1:14" ht="38.25" x14ac:dyDescent="0.2">
      <c r="A122" s="2757"/>
      <c r="B122" s="2727"/>
      <c r="C122" s="2709"/>
      <c r="D122" s="2457"/>
      <c r="E122" s="2459"/>
      <c r="F122" s="612"/>
      <c r="G122" s="509"/>
      <c r="H122" s="1229"/>
      <c r="I122" s="1384"/>
      <c r="J122" s="1365"/>
      <c r="K122" s="438" t="s">
        <v>183</v>
      </c>
      <c r="L122" s="570">
        <v>1</v>
      </c>
      <c r="M122" s="930"/>
      <c r="N122" s="931"/>
    </row>
    <row r="123" spans="1:14" ht="14.25" customHeight="1" thickBot="1" x14ac:dyDescent="0.25">
      <c r="A123" s="2756"/>
      <c r="B123" s="2728"/>
      <c r="C123" s="2729"/>
      <c r="D123" s="2458"/>
      <c r="E123" s="2460"/>
      <c r="F123" s="1009"/>
      <c r="G123" s="299" t="s">
        <v>9</v>
      </c>
      <c r="H123" s="1385">
        <f>SUM(H118:H122)</f>
        <v>507583</v>
      </c>
      <c r="I123" s="1219">
        <f t="shared" ref="I123:J123" si="3">SUM(I118:I122)</f>
        <v>501130</v>
      </c>
      <c r="J123" s="1385">
        <f t="shared" si="3"/>
        <v>515611</v>
      </c>
      <c r="K123" s="2483"/>
      <c r="L123" s="927"/>
      <c r="M123" s="2685"/>
      <c r="N123" s="2686"/>
    </row>
    <row r="124" spans="1:14" ht="25.5" customHeight="1" x14ac:dyDescent="0.2">
      <c r="A124" s="2755" t="s">
        <v>8</v>
      </c>
      <c r="B124" s="2847" t="s">
        <v>45</v>
      </c>
      <c r="C124" s="2732" t="s">
        <v>45</v>
      </c>
      <c r="D124" s="2740" t="s">
        <v>172</v>
      </c>
      <c r="E124" s="2469" t="s">
        <v>79</v>
      </c>
      <c r="F124" s="2471" t="s">
        <v>57</v>
      </c>
      <c r="G124" s="94" t="s">
        <v>122</v>
      </c>
      <c r="H124" s="1231">
        <f>200/3.4528*1000</f>
        <v>57924</v>
      </c>
      <c r="I124" s="1386">
        <f>800/3.4528*1000</f>
        <v>231696</v>
      </c>
      <c r="J124" s="1387">
        <f>500/3.4528*1000</f>
        <v>144810</v>
      </c>
      <c r="K124" s="2487" t="s">
        <v>175</v>
      </c>
      <c r="L124" s="1144">
        <v>1</v>
      </c>
      <c r="M124" s="1144"/>
      <c r="N124" s="1495"/>
    </row>
    <row r="125" spans="1:14" x14ac:dyDescent="0.2">
      <c r="A125" s="2757"/>
      <c r="B125" s="2727"/>
      <c r="C125" s="2709"/>
      <c r="D125" s="2741"/>
      <c r="E125" s="2745" t="s">
        <v>139</v>
      </c>
      <c r="F125" s="2438"/>
      <c r="G125" s="20"/>
      <c r="H125" s="1229"/>
      <c r="I125" s="1384"/>
      <c r="J125" s="1353"/>
      <c r="K125" s="627" t="s">
        <v>176</v>
      </c>
      <c r="L125" s="888"/>
      <c r="M125" s="888">
        <v>50</v>
      </c>
      <c r="N125" s="889">
        <v>50</v>
      </c>
    </row>
    <row r="126" spans="1:14" ht="25.5" x14ac:dyDescent="0.2">
      <c r="A126" s="2757"/>
      <c r="B126" s="2727"/>
      <c r="C126" s="2709"/>
      <c r="D126" s="2741"/>
      <c r="E126" s="2746"/>
      <c r="F126" s="2438"/>
      <c r="G126" s="20"/>
      <c r="H126" s="1229"/>
      <c r="I126" s="1384"/>
      <c r="J126" s="1353"/>
      <c r="K126" s="627" t="s">
        <v>177</v>
      </c>
      <c r="L126" s="1779">
        <v>2</v>
      </c>
      <c r="M126" s="888"/>
      <c r="N126" s="889"/>
    </row>
    <row r="127" spans="1:14" x14ac:dyDescent="0.2">
      <c r="A127" s="2757"/>
      <c r="B127" s="2727"/>
      <c r="C127" s="2709"/>
      <c r="D127" s="2741"/>
      <c r="E127" s="2470"/>
      <c r="F127" s="2438"/>
      <c r="G127" s="246"/>
      <c r="H127" s="1225"/>
      <c r="I127" s="1347"/>
      <c r="J127" s="1388"/>
      <c r="K127" s="1464" t="s">
        <v>178</v>
      </c>
      <c r="L127" s="1780">
        <v>1</v>
      </c>
      <c r="M127" s="1465"/>
      <c r="N127" s="1466"/>
    </row>
    <row r="128" spans="1:14" ht="13.5" thickBot="1" x14ac:dyDescent="0.25">
      <c r="A128" s="2756"/>
      <c r="B128" s="2728"/>
      <c r="C128" s="2729"/>
      <c r="D128" s="2742"/>
      <c r="E128" s="551"/>
      <c r="F128" s="2467"/>
      <c r="G128" s="299" t="s">
        <v>9</v>
      </c>
      <c r="H128" s="1385">
        <f>H124+H125</f>
        <v>57924</v>
      </c>
      <c r="I128" s="1219">
        <f>SUM(I124:I127)</f>
        <v>231696</v>
      </c>
      <c r="J128" s="1220">
        <f>SUM(J124:J127)</f>
        <v>144810</v>
      </c>
      <c r="K128" s="537"/>
      <c r="L128" s="1781"/>
      <c r="M128" s="248"/>
      <c r="N128" s="249"/>
    </row>
    <row r="129" spans="1:14" ht="25.5" x14ac:dyDescent="0.2">
      <c r="A129" s="2440" t="s">
        <v>8</v>
      </c>
      <c r="B129" s="2442" t="s">
        <v>45</v>
      </c>
      <c r="C129" s="2443" t="s">
        <v>50</v>
      </c>
      <c r="D129" s="738" t="s">
        <v>228</v>
      </c>
      <c r="E129" s="2470"/>
      <c r="F129" s="2438"/>
      <c r="G129" s="246"/>
      <c r="H129" s="1320"/>
      <c r="I129" s="1211"/>
      <c r="J129" s="1212"/>
      <c r="K129" s="2455"/>
      <c r="L129" s="364"/>
      <c r="M129" s="364"/>
      <c r="N129" s="365"/>
    </row>
    <row r="130" spans="1:14" ht="38.25" x14ac:dyDescent="0.2">
      <c r="A130" s="2441"/>
      <c r="B130" s="2442"/>
      <c r="C130" s="2443"/>
      <c r="D130" s="1467" t="s">
        <v>219</v>
      </c>
      <c r="E130" s="1468"/>
      <c r="F130" s="1469" t="s">
        <v>57</v>
      </c>
      <c r="G130" s="1470" t="s">
        <v>122</v>
      </c>
      <c r="H130" s="1325">
        <f>20/3.4528*1000</f>
        <v>5792</v>
      </c>
      <c r="I130" s="1345"/>
      <c r="J130" s="1346"/>
      <c r="K130" s="1471" t="s">
        <v>220</v>
      </c>
      <c r="L130" s="1472">
        <v>1</v>
      </c>
      <c r="M130" s="1473"/>
      <c r="N130" s="1474"/>
    </row>
    <row r="131" spans="1:14" ht="28.5" customHeight="1" x14ac:dyDescent="0.2">
      <c r="A131" s="2441"/>
      <c r="B131" s="2442"/>
      <c r="C131" s="2443"/>
      <c r="D131" s="2845" t="s">
        <v>416</v>
      </c>
      <c r="E131" s="2848" t="s">
        <v>214</v>
      </c>
      <c r="F131" s="2715" t="s">
        <v>57</v>
      </c>
      <c r="G131" s="1449" t="s">
        <v>122</v>
      </c>
      <c r="H131" s="1475">
        <v>86037</v>
      </c>
      <c r="I131" s="1450">
        <v>166962</v>
      </c>
      <c r="J131" s="1462">
        <v>166962</v>
      </c>
      <c r="K131" s="2481" t="s">
        <v>389</v>
      </c>
      <c r="L131" s="831">
        <v>3</v>
      </c>
      <c r="M131" s="1447">
        <v>7</v>
      </c>
      <c r="N131" s="1496">
        <v>7</v>
      </c>
    </row>
    <row r="132" spans="1:14" ht="30" customHeight="1" x14ac:dyDescent="0.2">
      <c r="A132" s="2441"/>
      <c r="B132" s="2442"/>
      <c r="C132" s="2443"/>
      <c r="D132" s="2845"/>
      <c r="E132" s="2848"/>
      <c r="F132" s="2711"/>
      <c r="G132" s="20"/>
      <c r="H132" s="1322"/>
      <c r="I132" s="1217"/>
      <c r="J132" s="1221"/>
      <c r="K132" s="2481" t="s">
        <v>390</v>
      </c>
      <c r="L132" s="831">
        <v>3</v>
      </c>
      <c r="M132" s="1447">
        <v>7</v>
      </c>
      <c r="N132" s="1496">
        <v>7</v>
      </c>
    </row>
    <row r="133" spans="1:14" ht="14.25" customHeight="1" x14ac:dyDescent="0.2">
      <c r="A133" s="2441"/>
      <c r="B133" s="2442"/>
      <c r="C133" s="2443"/>
      <c r="D133" s="2845"/>
      <c r="E133" s="2848"/>
      <c r="F133" s="2710"/>
      <c r="G133" s="20"/>
      <c r="H133" s="1322"/>
      <c r="I133" s="1352"/>
      <c r="J133" s="1365"/>
      <c r="K133" s="2750" t="s">
        <v>391</v>
      </c>
      <c r="L133" s="831">
        <v>3</v>
      </c>
      <c r="M133" s="932">
        <v>7</v>
      </c>
      <c r="N133" s="1496">
        <v>7</v>
      </c>
    </row>
    <row r="134" spans="1:14" ht="16.5" customHeight="1" thickBot="1" x14ac:dyDescent="0.25">
      <c r="A134" s="2441"/>
      <c r="B134" s="2442"/>
      <c r="C134" s="2443"/>
      <c r="D134" s="2864"/>
      <c r="E134" s="2849"/>
      <c r="F134" s="2438"/>
      <c r="G134" s="299" t="s">
        <v>9</v>
      </c>
      <c r="H134" s="1341">
        <f>SUM(H130:H133)</f>
        <v>91829</v>
      </c>
      <c r="I134" s="1219">
        <f>SUM(I129:I133)</f>
        <v>166962</v>
      </c>
      <c r="J134" s="1219">
        <f>SUM(J129:J133)</f>
        <v>166962</v>
      </c>
      <c r="K134" s="2723"/>
      <c r="L134" s="1447"/>
      <c r="M134" s="1447"/>
      <c r="N134" s="1496"/>
    </row>
    <row r="135" spans="1:14" ht="15.75" customHeight="1" x14ac:dyDescent="0.2">
      <c r="A135" s="2755" t="s">
        <v>8</v>
      </c>
      <c r="B135" s="2847" t="s">
        <v>45</v>
      </c>
      <c r="C135" s="2732" t="s">
        <v>52</v>
      </c>
      <c r="D135" s="2743" t="s">
        <v>81</v>
      </c>
      <c r="E135" s="2747" t="s">
        <v>135</v>
      </c>
      <c r="F135" s="2738" t="s">
        <v>98</v>
      </c>
      <c r="G135" s="94" t="s">
        <v>42</v>
      </c>
      <c r="H135" s="1476">
        <f>340/3.4528*1000</f>
        <v>98471</v>
      </c>
      <c r="I135" s="1477">
        <f>340/3.4528*1000</f>
        <v>98471</v>
      </c>
      <c r="J135" s="1478">
        <f>140/3.4528*1000</f>
        <v>40547</v>
      </c>
      <c r="K135" s="16" t="s">
        <v>121</v>
      </c>
      <c r="L135" s="1144">
        <v>18</v>
      </c>
      <c r="M135" s="1144">
        <v>18</v>
      </c>
      <c r="N135" s="1495">
        <v>18</v>
      </c>
    </row>
    <row r="136" spans="1:14" ht="13.5" customHeight="1" x14ac:dyDescent="0.2">
      <c r="A136" s="2757"/>
      <c r="B136" s="2727"/>
      <c r="C136" s="2709"/>
      <c r="D136" s="2786"/>
      <c r="E136" s="2748"/>
      <c r="F136" s="2711"/>
      <c r="G136" s="1091"/>
      <c r="H136" s="1320"/>
      <c r="I136" s="1211"/>
      <c r="J136" s="1212"/>
      <c r="K136" s="2751" t="s">
        <v>171</v>
      </c>
      <c r="L136" s="1447">
        <v>5</v>
      </c>
      <c r="M136" s="1447">
        <v>5</v>
      </c>
      <c r="N136" s="1496">
        <v>5</v>
      </c>
    </row>
    <row r="137" spans="1:14" ht="13.5" thickBot="1" x14ac:dyDescent="0.25">
      <c r="A137" s="2756"/>
      <c r="B137" s="2728"/>
      <c r="C137" s="2729"/>
      <c r="D137" s="2787"/>
      <c r="E137" s="2749"/>
      <c r="F137" s="2739"/>
      <c r="G137" s="299" t="s">
        <v>9</v>
      </c>
      <c r="H137" s="1341">
        <f>SUM(H135:H136)</f>
        <v>98471</v>
      </c>
      <c r="I137" s="1219">
        <f t="shared" ref="I137:J137" si="4">SUM(I135:I136)</f>
        <v>98471</v>
      </c>
      <c r="J137" s="1222">
        <f t="shared" si="4"/>
        <v>40547</v>
      </c>
      <c r="K137" s="2752"/>
      <c r="L137" s="248"/>
      <c r="M137" s="248"/>
      <c r="N137" s="249"/>
    </row>
    <row r="138" spans="1:14" ht="15" customHeight="1" x14ac:dyDescent="0.2">
      <c r="A138" s="2755" t="s">
        <v>8</v>
      </c>
      <c r="B138" s="2847" t="s">
        <v>45</v>
      </c>
      <c r="C138" s="2732" t="s">
        <v>54</v>
      </c>
      <c r="D138" s="2743" t="s">
        <v>91</v>
      </c>
      <c r="E138" s="2747" t="s">
        <v>79</v>
      </c>
      <c r="F138" s="2738" t="s">
        <v>72</v>
      </c>
      <c r="G138" s="908" t="s">
        <v>392</v>
      </c>
      <c r="H138" s="1479">
        <f>250/3.4528*1000</f>
        <v>72405</v>
      </c>
      <c r="I138" s="1227">
        <f>300/3.4528*1000</f>
        <v>86886</v>
      </c>
      <c r="J138" s="1228"/>
      <c r="K138" s="1480" t="s">
        <v>199</v>
      </c>
      <c r="L138" s="1481">
        <v>1</v>
      </c>
      <c r="M138" s="1481"/>
      <c r="N138" s="1482"/>
    </row>
    <row r="139" spans="1:14" ht="14.25" customHeight="1" x14ac:dyDescent="0.2">
      <c r="A139" s="2757"/>
      <c r="B139" s="2727"/>
      <c r="C139" s="2709"/>
      <c r="D139" s="2786"/>
      <c r="E139" s="2748"/>
      <c r="F139" s="2711"/>
      <c r="G139" s="1091" t="s">
        <v>122</v>
      </c>
      <c r="H139" s="1322">
        <f>50/3.4528*1000</f>
        <v>14481</v>
      </c>
      <c r="I139" s="1217">
        <f>50/3.4528*1000</f>
        <v>14481</v>
      </c>
      <c r="J139" s="1221"/>
      <c r="K139" s="2486" t="s">
        <v>97</v>
      </c>
      <c r="L139" s="210">
        <v>3</v>
      </c>
      <c r="M139" s="210">
        <v>7</v>
      </c>
      <c r="N139" s="211"/>
    </row>
    <row r="140" spans="1:14" ht="13.5" customHeight="1" thickBot="1" x14ac:dyDescent="0.25">
      <c r="A140" s="2756"/>
      <c r="B140" s="2728"/>
      <c r="C140" s="2729"/>
      <c r="D140" s="2787"/>
      <c r="E140" s="2749"/>
      <c r="F140" s="2739"/>
      <c r="G140" s="299" t="s">
        <v>9</v>
      </c>
      <c r="H140" s="1341">
        <f>H138+H139</f>
        <v>86886</v>
      </c>
      <c r="I140" s="1341">
        <f t="shared" ref="I140:J140" si="5">I138+I139</f>
        <v>101367</v>
      </c>
      <c r="J140" s="1341">
        <f t="shared" si="5"/>
        <v>0</v>
      </c>
      <c r="K140" s="212"/>
      <c r="L140" s="213"/>
      <c r="M140" s="213"/>
      <c r="N140" s="214"/>
    </row>
    <row r="141" spans="1:14" ht="29.25" x14ac:dyDescent="0.2">
      <c r="A141" s="2462" t="s">
        <v>8</v>
      </c>
      <c r="B141" s="2463" t="s">
        <v>45</v>
      </c>
      <c r="C141" s="2465" t="s">
        <v>55</v>
      </c>
      <c r="D141" s="899" t="s">
        <v>221</v>
      </c>
      <c r="E141" s="1011" t="s">
        <v>139</v>
      </c>
      <c r="F141" s="900"/>
      <c r="G141" s="19"/>
      <c r="H141" s="1232"/>
      <c r="I141" s="1391"/>
      <c r="J141" s="1378"/>
      <c r="K141" s="2499"/>
      <c r="L141" s="1144"/>
      <c r="M141" s="1144"/>
      <c r="N141" s="1495"/>
    </row>
    <row r="142" spans="1:14" ht="12.75" customHeight="1" x14ac:dyDescent="0.2">
      <c r="A142" s="2440"/>
      <c r="B142" s="2442"/>
      <c r="C142" s="2443"/>
      <c r="D142" s="2850" t="s">
        <v>329</v>
      </c>
      <c r="E142" s="2450" t="s">
        <v>79</v>
      </c>
      <c r="F142" s="2710" t="s">
        <v>72</v>
      </c>
      <c r="G142" s="512" t="s">
        <v>122</v>
      </c>
      <c r="H142" s="1340">
        <f>30/3.4528*1000</f>
        <v>8689</v>
      </c>
      <c r="I142" s="1360">
        <f>45.4/3.4528*1000</f>
        <v>13149</v>
      </c>
      <c r="J142" s="1326"/>
      <c r="K142" s="898" t="s">
        <v>199</v>
      </c>
      <c r="L142" s="658">
        <v>1</v>
      </c>
      <c r="M142" s="658"/>
      <c r="N142" s="659"/>
    </row>
    <row r="143" spans="1:14" ht="12.75" customHeight="1" x14ac:dyDescent="0.2">
      <c r="A143" s="2440"/>
      <c r="B143" s="2442"/>
      <c r="C143" s="2443"/>
      <c r="D143" s="2845"/>
      <c r="E143" s="2470"/>
      <c r="F143" s="2711"/>
      <c r="G143" s="836" t="s">
        <v>392</v>
      </c>
      <c r="H143" s="1370">
        <v>4000</v>
      </c>
      <c r="I143" s="1748"/>
      <c r="J143" s="1315"/>
      <c r="K143" s="890" t="s">
        <v>185</v>
      </c>
      <c r="L143" s="650">
        <v>20</v>
      </c>
      <c r="M143" s="650">
        <v>100</v>
      </c>
      <c r="N143" s="2078"/>
    </row>
    <row r="144" spans="1:14" x14ac:dyDescent="0.2">
      <c r="A144" s="2440"/>
      <c r="B144" s="2442"/>
      <c r="C144" s="2443"/>
      <c r="D144" s="2845"/>
      <c r="E144" s="1313"/>
      <c r="F144" s="2711"/>
      <c r="G144" s="836" t="s">
        <v>392</v>
      </c>
      <c r="H144" s="1370">
        <v>72410</v>
      </c>
      <c r="I144" s="2411">
        <f>1300/3.4528*1000</f>
        <v>376506</v>
      </c>
      <c r="J144" s="1318"/>
      <c r="K144" s="2286"/>
      <c r="L144" s="2021"/>
      <c r="M144" s="2021"/>
      <c r="N144" s="2287"/>
    </row>
    <row r="145" spans="1:16" x14ac:dyDescent="0.2">
      <c r="A145" s="2440"/>
      <c r="B145" s="2442"/>
      <c r="C145" s="2443"/>
      <c r="D145" s="2845"/>
      <c r="E145" s="1313"/>
      <c r="F145" s="2711"/>
      <c r="G145" s="246" t="s">
        <v>75</v>
      </c>
      <c r="H145" s="1213">
        <f>163.5/3.4528*1000</f>
        <v>47353</v>
      </c>
      <c r="I145" s="1392"/>
      <c r="J145" s="1393"/>
      <c r="K145" s="346"/>
      <c r="L145" s="132"/>
      <c r="M145" s="132"/>
      <c r="N145" s="1307"/>
      <c r="O145" s="1731"/>
      <c r="P145" s="1731"/>
    </row>
    <row r="146" spans="1:16" ht="28.5" customHeight="1" x14ac:dyDescent="0.2">
      <c r="A146" s="2441"/>
      <c r="B146" s="2442"/>
      <c r="C146" s="2443"/>
      <c r="D146" s="2850" t="s">
        <v>411</v>
      </c>
      <c r="E146" s="2450" t="s">
        <v>79</v>
      </c>
      <c r="F146" s="2444" t="s">
        <v>57</v>
      </c>
      <c r="G146" s="552" t="s">
        <v>122</v>
      </c>
      <c r="H146" s="1330">
        <v>147078</v>
      </c>
      <c r="I146" s="1394">
        <f>350/3.4528*1000</f>
        <v>101367</v>
      </c>
      <c r="J146" s="1389">
        <f>350/3.4528*1000</f>
        <v>101367</v>
      </c>
      <c r="K146" s="1471" t="s">
        <v>304</v>
      </c>
      <c r="L146" s="1483" t="s">
        <v>188</v>
      </c>
      <c r="M146" s="1484"/>
      <c r="N146" s="1485"/>
    </row>
    <row r="147" spans="1:16" ht="27.75" customHeight="1" thickBot="1" x14ac:dyDescent="0.25">
      <c r="A147" s="2456"/>
      <c r="B147" s="2464"/>
      <c r="C147" s="2466"/>
      <c r="D147" s="2851"/>
      <c r="E147" s="2687"/>
      <c r="F147" s="944"/>
      <c r="G147" s="299" t="s">
        <v>9</v>
      </c>
      <c r="H147" s="1215">
        <f>SUM(H141:H146)</f>
        <v>279530</v>
      </c>
      <c r="I147" s="1216">
        <f>SUM(I141:I146)</f>
        <v>491022</v>
      </c>
      <c r="J147" s="1215">
        <f>SUM(J141:J146)</f>
        <v>101367</v>
      </c>
      <c r="K147" s="438" t="s">
        <v>303</v>
      </c>
      <c r="L147" s="1083" t="s">
        <v>396</v>
      </c>
      <c r="M147" s="946"/>
      <c r="N147" s="947"/>
    </row>
    <row r="148" spans="1:16" ht="12.75" customHeight="1" x14ac:dyDescent="0.2">
      <c r="A148" s="2462" t="s">
        <v>8</v>
      </c>
      <c r="B148" s="120" t="s">
        <v>45</v>
      </c>
      <c r="C148" s="2732" t="s">
        <v>218</v>
      </c>
      <c r="D148" s="2733" t="s">
        <v>102</v>
      </c>
      <c r="E148" s="2736"/>
      <c r="F148" s="2738" t="s">
        <v>57</v>
      </c>
      <c r="G148" s="19" t="s">
        <v>392</v>
      </c>
      <c r="H148" s="1232">
        <v>93571</v>
      </c>
      <c r="I148" s="1752">
        <f>100.3/3.4528*1000</f>
        <v>29049</v>
      </c>
      <c r="J148" s="1753">
        <f>100.3/3.4528*1000</f>
        <v>29049</v>
      </c>
      <c r="K148" s="1770" t="s">
        <v>103</v>
      </c>
      <c r="L148" s="2219">
        <v>12</v>
      </c>
      <c r="M148" s="2219">
        <v>5</v>
      </c>
      <c r="N148" s="1495">
        <v>5</v>
      </c>
    </row>
    <row r="149" spans="1:16" ht="12.75" customHeight="1" x14ac:dyDescent="0.2">
      <c r="A149" s="2440"/>
      <c r="B149" s="1751"/>
      <c r="C149" s="2709"/>
      <c r="D149" s="2734"/>
      <c r="E149" s="2716"/>
      <c r="F149" s="2711"/>
      <c r="G149" s="1769" t="s">
        <v>133</v>
      </c>
      <c r="H149" s="1214"/>
      <c r="I149" s="1365"/>
      <c r="J149" s="1365"/>
      <c r="K149" s="2482"/>
      <c r="L149" s="932"/>
      <c r="M149" s="932"/>
      <c r="N149" s="1496"/>
    </row>
    <row r="150" spans="1:16" ht="13.5" thickBot="1" x14ac:dyDescent="0.25">
      <c r="A150" s="2456"/>
      <c r="B150" s="122"/>
      <c r="C150" s="2729"/>
      <c r="D150" s="2735"/>
      <c r="E150" s="2737"/>
      <c r="F150" s="2739"/>
      <c r="G150" s="325" t="s">
        <v>9</v>
      </c>
      <c r="H150" s="1219">
        <f>SUM(H148:H149)</f>
        <v>93571</v>
      </c>
      <c r="I150" s="1222">
        <f t="shared" ref="I150:J150" si="6">I148</f>
        <v>29049</v>
      </c>
      <c r="J150" s="1222">
        <f t="shared" si="6"/>
        <v>29049</v>
      </c>
      <c r="K150" s="18"/>
      <c r="L150" s="933"/>
      <c r="M150" s="933"/>
      <c r="N150" s="249"/>
    </row>
    <row r="151" spans="1:16" ht="13.5" thickBot="1" x14ac:dyDescent="0.25">
      <c r="A151" s="383" t="s">
        <v>8</v>
      </c>
      <c r="B151" s="11" t="s">
        <v>45</v>
      </c>
      <c r="C151" s="2730" t="s">
        <v>11</v>
      </c>
      <c r="D151" s="2730"/>
      <c r="E151" s="2730"/>
      <c r="F151" s="2730"/>
      <c r="G151" s="2731"/>
      <c r="H151" s="1230">
        <f>H150+H147+H140+H137+H134+H128+H123+H117</f>
        <v>1728396</v>
      </c>
      <c r="I151" s="1230">
        <f>I150+I147+I140+I137+I134+I128+I123+I117</f>
        <v>2075210</v>
      </c>
      <c r="J151" s="1230">
        <f>J150+J147+J140+J137+J134+J128+J123+J117</f>
        <v>1383481</v>
      </c>
      <c r="K151" s="2753"/>
      <c r="L151" s="2725"/>
      <c r="M151" s="2725"/>
      <c r="N151" s="2726"/>
    </row>
    <row r="152" spans="1:16" ht="15" customHeight="1" thickBot="1" x14ac:dyDescent="0.25">
      <c r="A152" s="382" t="s">
        <v>8</v>
      </c>
      <c r="B152" s="11" t="s">
        <v>50</v>
      </c>
      <c r="C152" s="2820" t="s">
        <v>53</v>
      </c>
      <c r="D152" s="2821"/>
      <c r="E152" s="2821"/>
      <c r="F152" s="2821"/>
      <c r="G152" s="2821"/>
      <c r="H152" s="2821"/>
      <c r="I152" s="2821"/>
      <c r="J152" s="2821"/>
      <c r="K152" s="2821"/>
      <c r="L152" s="2821"/>
      <c r="M152" s="2821"/>
      <c r="N152" s="2822"/>
    </row>
    <row r="153" spans="1:16" ht="25.5" x14ac:dyDescent="0.2">
      <c r="A153" s="2462" t="s">
        <v>8</v>
      </c>
      <c r="B153" s="2463" t="s">
        <v>50</v>
      </c>
      <c r="C153" s="1440" t="s">
        <v>8</v>
      </c>
      <c r="D153" s="630" t="s">
        <v>182</v>
      </c>
      <c r="E153" s="620"/>
      <c r="F153" s="622"/>
      <c r="G153" s="19"/>
      <c r="H153" s="1395"/>
      <c r="I153" s="1396"/>
      <c r="J153" s="1396"/>
      <c r="K153" s="545"/>
      <c r="L153" s="543"/>
      <c r="M153" s="543"/>
      <c r="N153" s="546"/>
    </row>
    <row r="154" spans="1:16" ht="39" customHeight="1" thickBot="1" x14ac:dyDescent="0.25">
      <c r="A154" s="2456"/>
      <c r="B154" s="2464"/>
      <c r="C154" s="902"/>
      <c r="D154" s="2253" t="s">
        <v>184</v>
      </c>
      <c r="E154" s="2460"/>
      <c r="F154" s="2467" t="s">
        <v>72</v>
      </c>
      <c r="G154" s="2254" t="s">
        <v>392</v>
      </c>
      <c r="H154" s="2255">
        <f>10/3.4528*1000</f>
        <v>2896</v>
      </c>
      <c r="I154" s="2256">
        <f>10/3.4528*1000</f>
        <v>2896</v>
      </c>
      <c r="J154" s="2256">
        <f>10/3.4528*1000</f>
        <v>2896</v>
      </c>
      <c r="K154" s="2257" t="s">
        <v>200</v>
      </c>
      <c r="L154" s="2258">
        <v>100</v>
      </c>
      <c r="M154" s="2258">
        <v>100</v>
      </c>
      <c r="N154" s="2259">
        <v>100</v>
      </c>
    </row>
    <row r="155" spans="1:16" ht="16.5" customHeight="1" x14ac:dyDescent="0.2">
      <c r="A155" s="2440"/>
      <c r="B155" s="2442"/>
      <c r="C155" s="901"/>
      <c r="D155" s="2457" t="s">
        <v>410</v>
      </c>
      <c r="E155" s="2459"/>
      <c r="F155" s="2438" t="s">
        <v>57</v>
      </c>
      <c r="G155" s="20" t="s">
        <v>392</v>
      </c>
      <c r="H155" s="1397">
        <v>795451</v>
      </c>
      <c r="I155" s="1398">
        <f>1200/3.4528*1000</f>
        <v>347544</v>
      </c>
      <c r="J155" s="1398">
        <f>1200/3.4528*1000</f>
        <v>347544</v>
      </c>
      <c r="K155" s="2454" t="s">
        <v>406</v>
      </c>
      <c r="L155" s="905">
        <v>3.5</v>
      </c>
      <c r="M155" s="905">
        <v>2.5</v>
      </c>
      <c r="N155" s="906">
        <v>2.5</v>
      </c>
      <c r="O155" s="130"/>
    </row>
    <row r="156" spans="1:16" ht="27" customHeight="1" x14ac:dyDescent="0.2">
      <c r="A156" s="2440"/>
      <c r="B156" s="2442"/>
      <c r="C156" s="901"/>
      <c r="D156" s="2277" t="s">
        <v>408</v>
      </c>
      <c r="E156" s="1088"/>
      <c r="F156" s="1081"/>
      <c r="G156" s="992"/>
      <c r="H156" s="1397"/>
      <c r="I156" s="1398"/>
      <c r="J156" s="1398"/>
      <c r="K156" s="2478"/>
      <c r="L156" s="2278"/>
      <c r="M156" s="2278"/>
      <c r="N156" s="2279"/>
      <c r="O156" s="130"/>
    </row>
    <row r="157" spans="1:16" ht="15" customHeight="1" x14ac:dyDescent="0.2">
      <c r="A157" s="2440"/>
      <c r="B157" s="2442"/>
      <c r="C157" s="901"/>
      <c r="D157" s="2277" t="s">
        <v>409</v>
      </c>
      <c r="E157" s="1088"/>
      <c r="F157" s="1081"/>
      <c r="G157" s="992"/>
      <c r="H157" s="1397"/>
      <c r="I157" s="1398"/>
      <c r="J157" s="1398"/>
      <c r="K157" s="2478"/>
      <c r="L157" s="2278"/>
      <c r="M157" s="2278"/>
      <c r="N157" s="2279"/>
      <c r="O157" s="130"/>
    </row>
    <row r="158" spans="1:16" ht="26.25" customHeight="1" x14ac:dyDescent="0.2">
      <c r="A158" s="2440"/>
      <c r="B158" s="2442"/>
      <c r="C158" s="901"/>
      <c r="D158" s="1451" t="s">
        <v>414</v>
      </c>
      <c r="E158" s="1088"/>
      <c r="F158" s="1081"/>
      <c r="G158" s="992"/>
      <c r="H158" s="1397"/>
      <c r="I158" s="1398"/>
      <c r="J158" s="1398"/>
      <c r="K158" s="2486"/>
      <c r="L158" s="2278"/>
      <c r="M158" s="2278"/>
      <c r="N158" s="2279"/>
      <c r="O158" s="130"/>
    </row>
    <row r="159" spans="1:16" ht="27" customHeight="1" x14ac:dyDescent="0.2">
      <c r="A159" s="2440"/>
      <c r="B159" s="2442"/>
      <c r="C159" s="901"/>
      <c r="D159" s="1451" t="s">
        <v>415</v>
      </c>
      <c r="E159" s="2459"/>
      <c r="F159" s="2438"/>
      <c r="G159" s="246"/>
      <c r="H159" s="1405"/>
      <c r="I159" s="1406"/>
      <c r="J159" s="1406"/>
      <c r="K159" s="2860"/>
      <c r="L159" s="905"/>
      <c r="M159" s="905"/>
      <c r="N159" s="906"/>
      <c r="O159" s="130"/>
    </row>
    <row r="160" spans="1:16" ht="15.75" customHeight="1" thickBot="1" x14ac:dyDescent="0.25">
      <c r="A160" s="2456"/>
      <c r="B160" s="2464"/>
      <c r="C160" s="902"/>
      <c r="D160" s="2480"/>
      <c r="E160" s="903"/>
      <c r="F160" s="904"/>
      <c r="G160" s="1551" t="s">
        <v>9</v>
      </c>
      <c r="H160" s="1400">
        <f>SUM(H153:H155)</f>
        <v>798347</v>
      </c>
      <c r="I160" s="1401">
        <f>SUM(I153:I155)</f>
        <v>350440</v>
      </c>
      <c r="J160" s="1401">
        <f>SUM(J153:J155)</f>
        <v>350440</v>
      </c>
      <c r="K160" s="2861"/>
      <c r="L160" s="213"/>
      <c r="M160" s="213"/>
      <c r="N160" s="214"/>
    </row>
    <row r="161" spans="1:14" x14ac:dyDescent="0.2">
      <c r="A161" s="2755" t="s">
        <v>8</v>
      </c>
      <c r="B161" s="2847" t="s">
        <v>50</v>
      </c>
      <c r="C161" s="2732" t="s">
        <v>10</v>
      </c>
      <c r="D161" s="2867" t="s">
        <v>90</v>
      </c>
      <c r="E161" s="907"/>
      <c r="F161" s="2471"/>
      <c r="G161" s="94"/>
      <c r="H161" s="1402"/>
      <c r="I161" s="1403"/>
      <c r="J161" s="1404"/>
      <c r="K161" s="2487"/>
      <c r="L161" s="53"/>
      <c r="M161" s="53"/>
      <c r="N161" s="54"/>
    </row>
    <row r="162" spans="1:14" x14ac:dyDescent="0.2">
      <c r="A162" s="2757"/>
      <c r="B162" s="2727"/>
      <c r="C162" s="2709"/>
      <c r="D162" s="2868"/>
      <c r="E162" s="2459"/>
      <c r="F162" s="2438" t="s">
        <v>57</v>
      </c>
      <c r="G162" s="246"/>
      <c r="H162" s="1405"/>
      <c r="I162" s="1406"/>
      <c r="J162" s="1407"/>
      <c r="K162" s="2455"/>
      <c r="L162" s="905"/>
      <c r="M162" s="905"/>
      <c r="N162" s="906"/>
    </row>
    <row r="163" spans="1:14" ht="25.5" x14ac:dyDescent="0.2">
      <c r="A163" s="2757"/>
      <c r="B163" s="2727"/>
      <c r="C163" s="2709"/>
      <c r="D163" s="2866" t="s">
        <v>89</v>
      </c>
      <c r="E163" s="1088"/>
      <c r="F163" s="1081"/>
      <c r="G163" s="20" t="s">
        <v>392</v>
      </c>
      <c r="H163" s="1397">
        <v>780613</v>
      </c>
      <c r="I163" s="1398">
        <f>2170/3.4528*1000</f>
        <v>628475</v>
      </c>
      <c r="J163" s="1408">
        <f>2170/3.4528*1000</f>
        <v>628475</v>
      </c>
      <c r="K163" s="2454" t="s">
        <v>65</v>
      </c>
      <c r="L163" s="623" t="s">
        <v>180</v>
      </c>
      <c r="M163" s="623" t="s">
        <v>180</v>
      </c>
      <c r="N163" s="624" t="s">
        <v>180</v>
      </c>
    </row>
    <row r="164" spans="1:14" ht="25.5" x14ac:dyDescent="0.2">
      <c r="A164" s="2757"/>
      <c r="B164" s="2727"/>
      <c r="C164" s="2709"/>
      <c r="D164" s="2697"/>
      <c r="E164" s="1088"/>
      <c r="F164" s="1081"/>
      <c r="G164" s="92"/>
      <c r="H164" s="1397"/>
      <c r="I164" s="1398"/>
      <c r="J164" s="1408"/>
      <c r="K164" s="627" t="s">
        <v>64</v>
      </c>
      <c r="L164" s="628" t="s">
        <v>396</v>
      </c>
      <c r="M164" s="628" t="s">
        <v>181</v>
      </c>
      <c r="N164" s="629" t="s">
        <v>181</v>
      </c>
    </row>
    <row r="165" spans="1:14" ht="13.5" customHeight="1" x14ac:dyDescent="0.2">
      <c r="A165" s="2757"/>
      <c r="B165" s="2727"/>
      <c r="C165" s="2709"/>
      <c r="D165" s="2697"/>
      <c r="E165" s="2459"/>
      <c r="F165" s="2438"/>
      <c r="G165" s="1091"/>
      <c r="H165" s="1405"/>
      <c r="I165" s="1406"/>
      <c r="J165" s="1407"/>
      <c r="K165" s="2455" t="s">
        <v>118</v>
      </c>
      <c r="L165" s="625" t="s">
        <v>401</v>
      </c>
      <c r="M165" s="625" t="s">
        <v>179</v>
      </c>
      <c r="N165" s="626" t="s">
        <v>179</v>
      </c>
    </row>
    <row r="166" spans="1:14" ht="15.75" customHeight="1" x14ac:dyDescent="0.2">
      <c r="A166" s="2757"/>
      <c r="B166" s="2727"/>
      <c r="C166" s="2709"/>
      <c r="D166" s="2703" t="s">
        <v>88</v>
      </c>
      <c r="E166" s="2459"/>
      <c r="F166" s="2438"/>
      <c r="G166" s="39" t="s">
        <v>42</v>
      </c>
      <c r="H166" s="1233">
        <f>500/3.4528*1000</f>
        <v>144810</v>
      </c>
      <c r="I166" s="1399">
        <f>629.9/3.4528*1000</f>
        <v>182432</v>
      </c>
      <c r="J166" s="1513">
        <f>629.9/3.4528*1000</f>
        <v>182432</v>
      </c>
      <c r="K166" s="2690" t="s">
        <v>63</v>
      </c>
      <c r="L166" s="194">
        <v>0.8</v>
      </c>
      <c r="M166" s="194">
        <v>0.9</v>
      </c>
      <c r="N166" s="195">
        <v>0.9</v>
      </c>
    </row>
    <row r="167" spans="1:14" ht="13.5" thickBot="1" x14ac:dyDescent="0.25">
      <c r="A167" s="2756"/>
      <c r="B167" s="2728"/>
      <c r="C167" s="2865"/>
      <c r="D167" s="2724"/>
      <c r="E167" s="903"/>
      <c r="F167" s="909"/>
      <c r="G167" s="1551" t="s">
        <v>9</v>
      </c>
      <c r="H167" s="1400">
        <f>SUM(H161:H166)</f>
        <v>925423</v>
      </c>
      <c r="I167" s="1401">
        <f>SUM(I161:I166)</f>
        <v>810907</v>
      </c>
      <c r="J167" s="1409">
        <f>SUM(J161:J166)</f>
        <v>810907</v>
      </c>
      <c r="K167" s="2723"/>
      <c r="L167" s="910"/>
      <c r="M167" s="910"/>
      <c r="N167" s="911"/>
    </row>
    <row r="168" spans="1:14" ht="12.75" customHeight="1" x14ac:dyDescent="0.2">
      <c r="A168" s="2757" t="s">
        <v>8</v>
      </c>
      <c r="B168" s="2727" t="s">
        <v>50</v>
      </c>
      <c r="C168" s="2709" t="s">
        <v>45</v>
      </c>
      <c r="D168" s="2786" t="s">
        <v>281</v>
      </c>
      <c r="E168" s="2863"/>
      <c r="F168" s="2711" t="s">
        <v>57</v>
      </c>
      <c r="G168" s="908" t="s">
        <v>122</v>
      </c>
      <c r="H168" s="1413">
        <f>45/3.4528*1000</f>
        <v>13033</v>
      </c>
      <c r="I168" s="1486">
        <f t="shared" ref="I168:J168" si="7">45/3.4528*1000</f>
        <v>13033</v>
      </c>
      <c r="J168" s="1487">
        <f t="shared" si="7"/>
        <v>13033</v>
      </c>
      <c r="K168" s="2454" t="s">
        <v>62</v>
      </c>
      <c r="L168" s="905">
        <v>1</v>
      </c>
      <c r="M168" s="905">
        <v>0.3</v>
      </c>
      <c r="N168" s="906">
        <v>0.3</v>
      </c>
    </row>
    <row r="169" spans="1:14" x14ac:dyDescent="0.2">
      <c r="A169" s="2757"/>
      <c r="B169" s="2727"/>
      <c r="C169" s="2709"/>
      <c r="D169" s="2786"/>
      <c r="E169" s="2863"/>
      <c r="F169" s="2711"/>
      <c r="G169" s="246" t="s">
        <v>392</v>
      </c>
      <c r="H169" s="1397">
        <v>451220</v>
      </c>
      <c r="I169" s="1488">
        <f t="shared" ref="I169:J169" si="8">455/3.4528*1000</f>
        <v>131777</v>
      </c>
      <c r="J169" s="1489">
        <f t="shared" si="8"/>
        <v>131777</v>
      </c>
      <c r="K169" s="2454"/>
      <c r="L169" s="1447"/>
      <c r="M169" s="1447"/>
      <c r="N169" s="1496"/>
    </row>
    <row r="170" spans="1:14" ht="14.25" customHeight="1" thickBot="1" x14ac:dyDescent="0.25">
      <c r="A170" s="2756"/>
      <c r="B170" s="2728"/>
      <c r="C170" s="2729"/>
      <c r="D170" s="2787"/>
      <c r="E170" s="2853"/>
      <c r="F170" s="2739"/>
      <c r="G170" s="299" t="s">
        <v>9</v>
      </c>
      <c r="H170" s="1410">
        <f>SUM(H168:H169)</f>
        <v>464253</v>
      </c>
      <c r="I170" s="1411">
        <f>I169+I168</f>
        <v>144810</v>
      </c>
      <c r="J170" s="1412">
        <f>SUM(J168:J169)</f>
        <v>144810</v>
      </c>
      <c r="K170" s="18"/>
      <c r="L170" s="248"/>
      <c r="M170" s="248"/>
      <c r="N170" s="249"/>
    </row>
    <row r="171" spans="1:14" ht="27.75" customHeight="1" x14ac:dyDescent="0.2">
      <c r="A171" s="2755" t="s">
        <v>8</v>
      </c>
      <c r="B171" s="2847" t="s">
        <v>50</v>
      </c>
      <c r="C171" s="2732" t="s">
        <v>50</v>
      </c>
      <c r="D171" s="962" t="s">
        <v>282</v>
      </c>
      <c r="E171" s="968"/>
      <c r="F171" s="970" t="s">
        <v>57</v>
      </c>
      <c r="G171" s="908" t="s">
        <v>42</v>
      </c>
      <c r="H171" s="1413">
        <f>182/3.4528*1000</f>
        <v>52711</v>
      </c>
      <c r="I171" s="1414"/>
      <c r="J171" s="1415"/>
      <c r="K171" s="963" t="s">
        <v>227</v>
      </c>
      <c r="L171" s="964">
        <v>20</v>
      </c>
      <c r="M171" s="965"/>
      <c r="N171" s="966"/>
    </row>
    <row r="172" spans="1:14" ht="18" customHeight="1" x14ac:dyDescent="0.2">
      <c r="A172" s="2757"/>
      <c r="B172" s="2727"/>
      <c r="C172" s="2709"/>
      <c r="D172" s="2845" t="s">
        <v>283</v>
      </c>
      <c r="E172" s="2459"/>
      <c r="F172" s="2438" t="s">
        <v>72</v>
      </c>
      <c r="G172" s="20" t="s">
        <v>392</v>
      </c>
      <c r="H172" s="1397">
        <v>8689</v>
      </c>
      <c r="I172" s="1398">
        <f>203/3.4528*1000</f>
        <v>58793</v>
      </c>
      <c r="J172" s="1408"/>
      <c r="K172" s="976" t="s">
        <v>199</v>
      </c>
      <c r="L172" s="977">
        <v>1</v>
      </c>
      <c r="M172" s="978"/>
      <c r="N172" s="979"/>
    </row>
    <row r="173" spans="1:14" ht="26.25" customHeight="1" thickBot="1" x14ac:dyDescent="0.25">
      <c r="A173" s="2756"/>
      <c r="B173" s="2728"/>
      <c r="C173" s="2729"/>
      <c r="D173" s="2846"/>
      <c r="E173" s="2460"/>
      <c r="F173" s="2467"/>
      <c r="G173" s="299" t="s">
        <v>9</v>
      </c>
      <c r="H173" s="1410">
        <f>SUM(H171:H172)</f>
        <v>61400</v>
      </c>
      <c r="I173" s="1411">
        <f t="shared" ref="I173:J173" si="9">SUM(I171:I172)</f>
        <v>58793</v>
      </c>
      <c r="J173" s="1416">
        <f t="shared" si="9"/>
        <v>0</v>
      </c>
      <c r="K173" s="18" t="s">
        <v>246</v>
      </c>
      <c r="L173" s="248"/>
      <c r="M173" s="248">
        <v>100</v>
      </c>
      <c r="N173" s="249"/>
    </row>
    <row r="174" spans="1:14" ht="15" customHeight="1" x14ac:dyDescent="0.2">
      <c r="A174" s="2755" t="s">
        <v>8</v>
      </c>
      <c r="B174" s="2847" t="s">
        <v>50</v>
      </c>
      <c r="C174" s="2732" t="s">
        <v>52</v>
      </c>
      <c r="D174" s="2743" t="s">
        <v>61</v>
      </c>
      <c r="E174" s="2852"/>
      <c r="F174" s="2738" t="s">
        <v>57</v>
      </c>
      <c r="G174" s="94" t="s">
        <v>392</v>
      </c>
      <c r="H174" s="1402">
        <f>317.7/3.4528*1000</f>
        <v>92012</v>
      </c>
      <c r="I174" s="1403">
        <f>320/3.4528*1000</f>
        <v>92678</v>
      </c>
      <c r="J174" s="1404">
        <f>320/3.4528*1000</f>
        <v>92678</v>
      </c>
      <c r="K174" s="2499" t="s">
        <v>94</v>
      </c>
      <c r="L174" s="1144">
        <v>14</v>
      </c>
      <c r="M174" s="1144">
        <v>14</v>
      </c>
      <c r="N174" s="1495">
        <v>14</v>
      </c>
    </row>
    <row r="175" spans="1:14" ht="15.75" customHeight="1" thickBot="1" x14ac:dyDescent="0.25">
      <c r="A175" s="2756"/>
      <c r="B175" s="2728"/>
      <c r="C175" s="2729"/>
      <c r="D175" s="2787"/>
      <c r="E175" s="2853"/>
      <c r="F175" s="2739"/>
      <c r="G175" s="299" t="s">
        <v>9</v>
      </c>
      <c r="H175" s="1410">
        <f>SUM(H174:H174)</f>
        <v>92012</v>
      </c>
      <c r="I175" s="1411">
        <f>SUM(I174:I174)</f>
        <v>92678</v>
      </c>
      <c r="J175" s="1412">
        <f>SUM(J174:J174)</f>
        <v>92678</v>
      </c>
      <c r="K175" s="635"/>
      <c r="L175" s="248"/>
      <c r="M175" s="248"/>
      <c r="N175" s="249"/>
    </row>
    <row r="176" spans="1:14" ht="14.25" customHeight="1" thickBot="1" x14ac:dyDescent="0.25">
      <c r="A176" s="383" t="s">
        <v>8</v>
      </c>
      <c r="B176" s="11" t="s">
        <v>50</v>
      </c>
      <c r="C176" s="2730" t="s">
        <v>11</v>
      </c>
      <c r="D176" s="2730"/>
      <c r="E176" s="2730"/>
      <c r="F176" s="2730"/>
      <c r="G176" s="2731"/>
      <c r="H176" s="1417">
        <f>SUM(H175,H170,H167,H160,,H173)</f>
        <v>2341435</v>
      </c>
      <c r="I176" s="1418">
        <f>SUM(I175,I170,I167,I160,,I173)</f>
        <v>1457628</v>
      </c>
      <c r="J176" s="1419">
        <f>SUM(J175,J170,J167,J160,,J173)</f>
        <v>1398835</v>
      </c>
      <c r="K176" s="2753"/>
      <c r="L176" s="2725"/>
      <c r="M176" s="2725"/>
      <c r="N176" s="2726"/>
    </row>
    <row r="177" spans="1:31" ht="14.25" customHeight="1" thickBot="1" x14ac:dyDescent="0.25">
      <c r="A177" s="383" t="s">
        <v>8</v>
      </c>
      <c r="B177" s="2830" t="s">
        <v>12</v>
      </c>
      <c r="C177" s="2831"/>
      <c r="D177" s="2831"/>
      <c r="E177" s="2831"/>
      <c r="F177" s="2831"/>
      <c r="G177" s="2832"/>
      <c r="H177" s="1420">
        <f>H176+H151+H104+H90</f>
        <v>13353840</v>
      </c>
      <c r="I177" s="1421">
        <f>I176+I151+I104+I90</f>
        <v>12135894</v>
      </c>
      <c r="J177" s="1422">
        <f>J176+J151+J104+J90</f>
        <v>13496432</v>
      </c>
      <c r="K177" s="2833"/>
      <c r="L177" s="2834"/>
      <c r="M177" s="2834"/>
      <c r="N177" s="2835"/>
    </row>
    <row r="178" spans="1:31" ht="14.25" customHeight="1" thickBot="1" x14ac:dyDescent="0.25">
      <c r="A178" s="154" t="s">
        <v>54</v>
      </c>
      <c r="B178" s="2836" t="s">
        <v>101</v>
      </c>
      <c r="C178" s="2837"/>
      <c r="D178" s="2837"/>
      <c r="E178" s="2837"/>
      <c r="F178" s="2837"/>
      <c r="G178" s="2838"/>
      <c r="H178" s="1423">
        <f>H177</f>
        <v>13353840</v>
      </c>
      <c r="I178" s="1424">
        <f t="shared" ref="I178:J178" si="10">SUM(I177)</f>
        <v>12135894</v>
      </c>
      <c r="J178" s="1425">
        <f t="shared" si="10"/>
        <v>13496432</v>
      </c>
      <c r="K178" s="2839"/>
      <c r="L178" s="2840"/>
      <c r="M178" s="2840"/>
      <c r="N178" s="2841"/>
    </row>
    <row r="179" spans="1:31" s="22" customFormat="1" ht="12.75" customHeight="1" x14ac:dyDescent="0.2">
      <c r="A179" s="2826"/>
      <c r="B179" s="2826"/>
      <c r="C179" s="2826"/>
      <c r="D179" s="2826"/>
      <c r="E179" s="2826"/>
      <c r="F179" s="2826"/>
      <c r="G179" s="2826"/>
      <c r="H179" s="2826"/>
      <c r="I179" s="2826"/>
      <c r="J179" s="2826"/>
      <c r="K179" s="2826"/>
      <c r="L179" s="2826"/>
      <c r="M179" s="2826"/>
      <c r="N179" s="2826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</row>
    <row r="180" spans="1:31" s="22" customFormat="1" ht="15" customHeight="1" thickBot="1" x14ac:dyDescent="0.25">
      <c r="A180" s="2754" t="s">
        <v>17</v>
      </c>
      <c r="B180" s="2754"/>
      <c r="C180" s="2754"/>
      <c r="D180" s="2754"/>
      <c r="E180" s="2754"/>
      <c r="F180" s="2754"/>
      <c r="G180" s="2754"/>
      <c r="H180" s="2754"/>
      <c r="I180" s="2754"/>
      <c r="J180" s="2754"/>
      <c r="K180" s="5"/>
      <c r="L180" s="5"/>
      <c r="M180" s="5"/>
      <c r="N180" s="5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</row>
    <row r="181" spans="1:31" ht="51" customHeight="1" thickBot="1" x14ac:dyDescent="0.25">
      <c r="A181" s="2827" t="s">
        <v>13</v>
      </c>
      <c r="B181" s="2828"/>
      <c r="C181" s="2828"/>
      <c r="D181" s="2828"/>
      <c r="E181" s="2828"/>
      <c r="F181" s="2828"/>
      <c r="G181" s="2829"/>
      <c r="H181" s="1007" t="s">
        <v>229</v>
      </c>
      <c r="I181" s="935" t="s">
        <v>114</v>
      </c>
      <c r="J181" s="935" t="s">
        <v>163</v>
      </c>
    </row>
    <row r="182" spans="1:31" ht="14.25" customHeight="1" x14ac:dyDescent="0.2">
      <c r="A182" s="2817" t="s">
        <v>18</v>
      </c>
      <c r="B182" s="2818"/>
      <c r="C182" s="2818"/>
      <c r="D182" s="2818"/>
      <c r="E182" s="2818"/>
      <c r="F182" s="2818"/>
      <c r="G182" s="2819"/>
      <c r="H182" s="1234">
        <f ca="1">H183+H189+H191+H190</f>
        <v>10608242</v>
      </c>
      <c r="I182" s="1234">
        <f t="shared" ref="I182:J182" si="11">I183+I189+I191+I190</f>
        <v>11186056</v>
      </c>
      <c r="J182" s="1234">
        <f t="shared" si="11"/>
        <v>11507322</v>
      </c>
    </row>
    <row r="183" spans="1:31" ht="14.25" customHeight="1" x14ac:dyDescent="0.2">
      <c r="A183" s="2823" t="s">
        <v>217</v>
      </c>
      <c r="B183" s="2824"/>
      <c r="C183" s="2824"/>
      <c r="D183" s="2824"/>
      <c r="E183" s="2824"/>
      <c r="F183" s="2824"/>
      <c r="G183" s="2825"/>
      <c r="H183" s="1235">
        <f ca="1">SUM(H184:H188)</f>
        <v>10226160</v>
      </c>
      <c r="I183" s="1235">
        <f t="shared" ref="I183:J183" si="12">SUM(I184:I188)</f>
        <v>11186056</v>
      </c>
      <c r="J183" s="1235">
        <f t="shared" si="12"/>
        <v>11507322</v>
      </c>
    </row>
    <row r="184" spans="1:31" x14ac:dyDescent="0.2">
      <c r="A184" s="2814" t="s">
        <v>33</v>
      </c>
      <c r="B184" s="2815"/>
      <c r="C184" s="2815"/>
      <c r="D184" s="2815"/>
      <c r="E184" s="2815"/>
      <c r="F184" s="2815"/>
      <c r="G184" s="2816"/>
      <c r="H184" s="1236">
        <f>SUMIF(G12:G178,"SB",H12:H178)</f>
        <v>5325214</v>
      </c>
      <c r="I184" s="1236">
        <f>SUMIF(G12:G178,"SB",I12:I178)</f>
        <v>6061429</v>
      </c>
      <c r="J184" s="1236">
        <f>SUMIF(G12:G178,"SB",J12:J178)</f>
        <v>6209164</v>
      </c>
      <c r="K184" s="118"/>
    </row>
    <row r="185" spans="1:31" x14ac:dyDescent="0.2">
      <c r="A185" s="2811" t="s">
        <v>34</v>
      </c>
      <c r="B185" s="2812"/>
      <c r="C185" s="2812"/>
      <c r="D185" s="2812"/>
      <c r="E185" s="2812"/>
      <c r="F185" s="2812"/>
      <c r="G185" s="2813"/>
      <c r="H185" s="1236">
        <f>SUMIF(G12:G178,"SB(P)",H12:H178)</f>
        <v>120829</v>
      </c>
      <c r="I185" s="1236">
        <f>SUMIF(G12:G178,"SB(P)",I12:I178)</f>
        <v>134384</v>
      </c>
      <c r="J185" s="1236">
        <f>SUMIF(G12:G178,"SB(P)",J12:J178)</f>
        <v>227178</v>
      </c>
      <c r="K185" s="118"/>
    </row>
    <row r="186" spans="1:31" x14ac:dyDescent="0.2">
      <c r="A186" s="2811" t="s">
        <v>123</v>
      </c>
      <c r="B186" s="2812"/>
      <c r="C186" s="2812"/>
      <c r="D186" s="2812"/>
      <c r="E186" s="2812"/>
      <c r="F186" s="2812"/>
      <c r="G186" s="2813"/>
      <c r="H186" s="1236">
        <f>SUMIF(G12:G178,"SB(VR)",H12:H178)</f>
        <v>1084598</v>
      </c>
      <c r="I186" s="1236">
        <f>SUMIF(G12:G178,"SB(VR)",I12:I178)</f>
        <v>1288198</v>
      </c>
      <c r="J186" s="1236">
        <f>SUMIF(G12:G178,"SB(VR)",J12:J178)</f>
        <v>1275049</v>
      </c>
      <c r="K186" s="118"/>
    </row>
    <row r="187" spans="1:31" x14ac:dyDescent="0.2">
      <c r="A187" s="2811" t="s">
        <v>332</v>
      </c>
      <c r="B187" s="2812"/>
      <c r="C187" s="2812"/>
      <c r="D187" s="2812"/>
      <c r="E187" s="2812"/>
      <c r="F187" s="2812"/>
      <c r="G187" s="2813"/>
      <c r="H187" s="1236">
        <f ca="1">SUMIF(G13:G178,"SB(L)",H13:H176)</f>
        <v>8974</v>
      </c>
      <c r="I187" s="1236">
        <f>SUMIF(G11:G176,"SB(L)",I11:I176)</f>
        <v>0</v>
      </c>
      <c r="J187" s="1236">
        <f>SUMIF(G11:G176,"SB(L)",J11:J176)</f>
        <v>0</v>
      </c>
    </row>
    <row r="188" spans="1:31" x14ac:dyDescent="0.2">
      <c r="A188" s="2800" t="s">
        <v>403</v>
      </c>
      <c r="B188" s="2801"/>
      <c r="C188" s="2801"/>
      <c r="D188" s="2801"/>
      <c r="E188" s="2801"/>
      <c r="F188" s="2801"/>
      <c r="G188" s="2802"/>
      <c r="H188" s="1237">
        <f>SUMIF(G13:G178,"SB(KPP)",H13:H178)</f>
        <v>3686545</v>
      </c>
      <c r="I188" s="1237">
        <f>SUMIF(G13:G178,"SB(KPP)",I13:I178)</f>
        <v>3702045</v>
      </c>
      <c r="J188" s="1237">
        <f>SUMIF(G13:G178,"SB(KPP)",J13:J178)</f>
        <v>3795931</v>
      </c>
      <c r="K188" s="118"/>
    </row>
    <row r="189" spans="1:31" x14ac:dyDescent="0.2">
      <c r="A189" s="2720" t="s">
        <v>134</v>
      </c>
      <c r="B189" s="2721"/>
      <c r="C189" s="2721"/>
      <c r="D189" s="2721"/>
      <c r="E189" s="2721"/>
      <c r="F189" s="2721"/>
      <c r="G189" s="2722"/>
      <c r="H189" s="1213">
        <f>SUMIF(G12:G178,"SB(VRL)",H12:H178)</f>
        <v>72307</v>
      </c>
      <c r="I189" s="1213">
        <f>SUMIF(G12:G178,"SB(VRL)",I12:I178)</f>
        <v>0</v>
      </c>
      <c r="J189" s="1213">
        <f>SUMIF(G12:G179,"SB(VRL)",J12:J179)</f>
        <v>0</v>
      </c>
      <c r="K189" s="118"/>
    </row>
    <row r="190" spans="1:31" x14ac:dyDescent="0.2">
      <c r="A190" s="2720" t="s">
        <v>331</v>
      </c>
      <c r="B190" s="2721"/>
      <c r="C190" s="2721"/>
      <c r="D190" s="2721"/>
      <c r="E190" s="2721"/>
      <c r="F190" s="2721"/>
      <c r="G190" s="2722"/>
      <c r="H190" s="1213">
        <f>SUMIF(G12:G179,"SB(ŽPL)",H12:H179)</f>
        <v>309775</v>
      </c>
      <c r="I190" s="1213">
        <f>SUMIF(G13:G179,"SB(ŽPL)",I13:I179)</f>
        <v>0</v>
      </c>
      <c r="J190" s="1213">
        <f>SUMIF(G13:G180,"SB(ŽPL)",J13:J180)</f>
        <v>0</v>
      </c>
      <c r="K190" s="118"/>
    </row>
    <row r="191" spans="1:31" x14ac:dyDescent="0.2">
      <c r="A191" s="2720" t="s">
        <v>140</v>
      </c>
      <c r="B191" s="2809"/>
      <c r="C191" s="2809"/>
      <c r="D191" s="2809"/>
      <c r="E191" s="2809"/>
      <c r="F191" s="2809"/>
      <c r="G191" s="2810"/>
      <c r="H191" s="1213">
        <f>SUMIF(G12:G178,"PF",H12:H178)</f>
        <v>0</v>
      </c>
      <c r="I191" s="1213">
        <f>SUMIF(G12:G176,"PF",I12:I178)</f>
        <v>0</v>
      </c>
      <c r="J191" s="1213">
        <f>SUMIF(G12:G176,"PF",J12:J178)</f>
        <v>0</v>
      </c>
    </row>
    <row r="192" spans="1:31" x14ac:dyDescent="0.2">
      <c r="A192" s="2803" t="s">
        <v>19</v>
      </c>
      <c r="B192" s="2804"/>
      <c r="C192" s="2804"/>
      <c r="D192" s="2804"/>
      <c r="E192" s="2804"/>
      <c r="F192" s="2804"/>
      <c r="G192" s="2805"/>
      <c r="H192" s="1238">
        <f>H193+H194+H195+H196</f>
        <v>2745598</v>
      </c>
      <c r="I192" s="1238">
        <f t="shared" ref="I192:J192" si="13">I193+I194+I195+I196</f>
        <v>949838</v>
      </c>
      <c r="J192" s="1238">
        <f t="shared" si="13"/>
        <v>1989110</v>
      </c>
    </row>
    <row r="193" spans="1:14" x14ac:dyDescent="0.2">
      <c r="A193" s="2806" t="s">
        <v>35</v>
      </c>
      <c r="B193" s="2807"/>
      <c r="C193" s="2807"/>
      <c r="D193" s="2807"/>
      <c r="E193" s="2807"/>
      <c r="F193" s="2807"/>
      <c r="G193" s="2808"/>
      <c r="H193" s="1237">
        <f>SUMIF(G12:G178,"ES",H12:H178)</f>
        <v>1981696</v>
      </c>
      <c r="I193" s="1237">
        <f>SUMIF(G12:G178,"ES",I12:I178)</f>
        <v>761585</v>
      </c>
      <c r="J193" s="1237">
        <f>SUMIF(G12:G178,"ES",J12:J178)</f>
        <v>1287361</v>
      </c>
      <c r="K193" s="118"/>
    </row>
    <row r="194" spans="1:14" x14ac:dyDescent="0.2">
      <c r="A194" s="2800" t="s">
        <v>37</v>
      </c>
      <c r="B194" s="2801"/>
      <c r="C194" s="2801"/>
      <c r="D194" s="2801"/>
      <c r="E194" s="2801"/>
      <c r="F194" s="2801"/>
      <c r="G194" s="2802"/>
      <c r="H194" s="1237">
        <f>SUMIF(G12:G178,"KVJUD",H12:H178)</f>
        <v>516074</v>
      </c>
      <c r="I194" s="1237">
        <f>SUMIF(G12:G178,"KVJUD",I12:I178)</f>
        <v>0</v>
      </c>
      <c r="J194" s="1237">
        <f>SUMIF(G12:G178,"KVJUD",J12:J178)</f>
        <v>289620</v>
      </c>
      <c r="K194" s="130"/>
      <c r="L194" s="6"/>
      <c r="M194" s="6"/>
      <c r="N194" s="6"/>
    </row>
    <row r="195" spans="1:14" x14ac:dyDescent="0.2">
      <c r="A195" s="2797" t="s">
        <v>38</v>
      </c>
      <c r="B195" s="2798"/>
      <c r="C195" s="2798"/>
      <c r="D195" s="2798"/>
      <c r="E195" s="2798"/>
      <c r="F195" s="2798"/>
      <c r="G195" s="2799"/>
      <c r="H195" s="1237">
        <f>SUMIF(G12:G178,"LRVB",H12:H178)</f>
        <v>0</v>
      </c>
      <c r="I195" s="1237">
        <f>SUMIF(G12:G178,"LRVB",I12:I178)</f>
        <v>0</v>
      </c>
      <c r="J195" s="1237">
        <f>SUMIF(G12:G178,"LRVB",J12:J178)</f>
        <v>0</v>
      </c>
      <c r="K195" s="130"/>
      <c r="L195" s="6"/>
      <c r="M195" s="6"/>
      <c r="N195" s="6"/>
    </row>
    <row r="196" spans="1:14" x14ac:dyDescent="0.2">
      <c r="A196" s="2797" t="s">
        <v>39</v>
      </c>
      <c r="B196" s="2798"/>
      <c r="C196" s="2798"/>
      <c r="D196" s="2798"/>
      <c r="E196" s="2798"/>
      <c r="F196" s="2798"/>
      <c r="G196" s="2799"/>
      <c r="H196" s="1237">
        <f>SUMIF(G12:G178,"Kt",H12:H178)</f>
        <v>247828</v>
      </c>
      <c r="I196" s="1237">
        <f>SUMIF(G12:G178,"Kt",I12:I178)</f>
        <v>188253</v>
      </c>
      <c r="J196" s="1237">
        <f>SUMIF(G12:G178,"Kt",J12:J178)</f>
        <v>412129</v>
      </c>
      <c r="K196" s="130"/>
      <c r="L196" s="6"/>
      <c r="M196" s="6"/>
      <c r="N196" s="6"/>
    </row>
    <row r="197" spans="1:14" ht="13.5" thickBot="1" x14ac:dyDescent="0.25">
      <c r="A197" s="2793" t="s">
        <v>20</v>
      </c>
      <c r="B197" s="2794"/>
      <c r="C197" s="2794"/>
      <c r="D197" s="2794"/>
      <c r="E197" s="2794"/>
      <c r="F197" s="2794"/>
      <c r="G197" s="2795"/>
      <c r="H197" s="1239">
        <f ca="1">H192+H182</f>
        <v>13353840</v>
      </c>
      <c r="I197" s="1239">
        <f t="shared" ref="I197:J197" si="14">I192+I182</f>
        <v>12135894</v>
      </c>
      <c r="J197" s="1239">
        <f t="shared" si="14"/>
        <v>13496432</v>
      </c>
      <c r="K197" s="6"/>
      <c r="L197" s="6"/>
      <c r="M197" s="6"/>
      <c r="N197" s="6"/>
    </row>
    <row r="199" spans="1:14" x14ac:dyDescent="0.2">
      <c r="G199" s="936"/>
      <c r="I199" s="118"/>
      <c r="J199" s="118"/>
      <c r="K199" s="118"/>
    </row>
    <row r="200" spans="1:14" x14ac:dyDescent="0.2">
      <c r="I200" s="118"/>
    </row>
    <row r="201" spans="1:14" x14ac:dyDescent="0.2">
      <c r="H201" s="2080"/>
    </row>
    <row r="202" spans="1:14" x14ac:dyDescent="0.2">
      <c r="I202" s="118"/>
      <c r="J202" s="118"/>
    </row>
    <row r="203" spans="1:14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</row>
    <row r="204" spans="1:14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</row>
  </sheetData>
  <mergeCells count="247">
    <mergeCell ref="A188:G188"/>
    <mergeCell ref="A35:A36"/>
    <mergeCell ref="B35:B36"/>
    <mergeCell ref="C35:C36"/>
    <mergeCell ref="D35:D36"/>
    <mergeCell ref="F35:F36"/>
    <mergeCell ref="F19:F20"/>
    <mergeCell ref="D21:D22"/>
    <mergeCell ref="A21:A23"/>
    <mergeCell ref="B21:B23"/>
    <mergeCell ref="C21:C23"/>
    <mergeCell ref="E21:E23"/>
    <mergeCell ref="F32:F34"/>
    <mergeCell ref="A32:A34"/>
    <mergeCell ref="B32:B34"/>
    <mergeCell ref="C32:C34"/>
    <mergeCell ref="D32:D34"/>
    <mergeCell ref="D107:D108"/>
    <mergeCell ref="D142:D145"/>
    <mergeCell ref="F61:F63"/>
    <mergeCell ref="A61:A63"/>
    <mergeCell ref="A72:A74"/>
    <mergeCell ref="F38:F39"/>
    <mergeCell ref="E28:E30"/>
    <mergeCell ref="E13:E16"/>
    <mergeCell ref="F28:F30"/>
    <mergeCell ref="A8:N8"/>
    <mergeCell ref="I5:I7"/>
    <mergeCell ref="J5:J7"/>
    <mergeCell ref="K5:N5"/>
    <mergeCell ref="F5:F7"/>
    <mergeCell ref="G5:G7"/>
    <mergeCell ref="A9:N9"/>
    <mergeCell ref="B10:N10"/>
    <mergeCell ref="H5:H7"/>
    <mergeCell ref="K25:K27"/>
    <mergeCell ref="D14:D15"/>
    <mergeCell ref="C11:N11"/>
    <mergeCell ref="F13:F16"/>
    <mergeCell ref="A13:A16"/>
    <mergeCell ref="B13:B16"/>
    <mergeCell ref="C13:C16"/>
    <mergeCell ref="D19:D20"/>
    <mergeCell ref="E19:E20"/>
    <mergeCell ref="A28:A30"/>
    <mergeCell ref="B28:B30"/>
    <mergeCell ref="C28:C30"/>
    <mergeCell ref="D28:D30"/>
    <mergeCell ref="A1:N1"/>
    <mergeCell ref="A2:N2"/>
    <mergeCell ref="A3:N3"/>
    <mergeCell ref="L4:N4"/>
    <mergeCell ref="A5:A7"/>
    <mergeCell ref="B5:B7"/>
    <mergeCell ref="C5:C7"/>
    <mergeCell ref="D5:D7"/>
    <mergeCell ref="E5:E7"/>
    <mergeCell ref="K6:K7"/>
    <mergeCell ref="L6:N6"/>
    <mergeCell ref="A19:A20"/>
    <mergeCell ref="B19:B20"/>
    <mergeCell ref="C19:C20"/>
    <mergeCell ref="A38:A39"/>
    <mergeCell ref="B38:B39"/>
    <mergeCell ref="C38:C39"/>
    <mergeCell ref="D38:D39"/>
    <mergeCell ref="D25:D27"/>
    <mergeCell ref="E25:E27"/>
    <mergeCell ref="A171:A173"/>
    <mergeCell ref="A118:A123"/>
    <mergeCell ref="K159:K160"/>
    <mergeCell ref="A138:A140"/>
    <mergeCell ref="A87:A89"/>
    <mergeCell ref="K87:K88"/>
    <mergeCell ref="A168:A170"/>
    <mergeCell ref="D168:D170"/>
    <mergeCell ref="E168:E170"/>
    <mergeCell ref="D131:D134"/>
    <mergeCell ref="A135:A137"/>
    <mergeCell ref="B135:B137"/>
    <mergeCell ref="C135:C137"/>
    <mergeCell ref="F168:F170"/>
    <mergeCell ref="A161:A167"/>
    <mergeCell ref="B161:B167"/>
    <mergeCell ref="C161:C167"/>
    <mergeCell ref="D163:D165"/>
    <mergeCell ref="D161:D162"/>
    <mergeCell ref="D138:D140"/>
    <mergeCell ref="E138:E140"/>
    <mergeCell ref="F138:F140"/>
    <mergeCell ref="F142:F145"/>
    <mergeCell ref="B174:B175"/>
    <mergeCell ref="C174:C175"/>
    <mergeCell ref="D174:D175"/>
    <mergeCell ref="E174:E175"/>
    <mergeCell ref="F174:F175"/>
    <mergeCell ref="C87:C89"/>
    <mergeCell ref="D87:D89"/>
    <mergeCell ref="D109:D111"/>
    <mergeCell ref="F109:F110"/>
    <mergeCell ref="D116:D117"/>
    <mergeCell ref="C104:G104"/>
    <mergeCell ref="C105:N105"/>
    <mergeCell ref="B61:B63"/>
    <mergeCell ref="C61:C63"/>
    <mergeCell ref="D61:D63"/>
    <mergeCell ref="E92:E94"/>
    <mergeCell ref="B72:B74"/>
    <mergeCell ref="C72:C74"/>
    <mergeCell ref="D72:D73"/>
    <mergeCell ref="F80:F82"/>
    <mergeCell ref="D172:D173"/>
    <mergeCell ref="B171:B173"/>
    <mergeCell ref="B124:B128"/>
    <mergeCell ref="B118:B123"/>
    <mergeCell ref="C168:C170"/>
    <mergeCell ref="D135:D137"/>
    <mergeCell ref="E131:E134"/>
    <mergeCell ref="F131:F133"/>
    <mergeCell ref="C124:C128"/>
    <mergeCell ref="C118:C123"/>
    <mergeCell ref="B138:B140"/>
    <mergeCell ref="C138:C140"/>
    <mergeCell ref="D146:D147"/>
    <mergeCell ref="B168:B170"/>
    <mergeCell ref="B87:B89"/>
    <mergeCell ref="C90:G90"/>
    <mergeCell ref="A197:G197"/>
    <mergeCell ref="K85:K86"/>
    <mergeCell ref="D85:D86"/>
    <mergeCell ref="A195:G195"/>
    <mergeCell ref="A196:G196"/>
    <mergeCell ref="A194:G194"/>
    <mergeCell ref="A192:G192"/>
    <mergeCell ref="A193:G193"/>
    <mergeCell ref="A189:G189"/>
    <mergeCell ref="A191:G191"/>
    <mergeCell ref="A186:G186"/>
    <mergeCell ref="A187:G187"/>
    <mergeCell ref="A184:G184"/>
    <mergeCell ref="A185:G185"/>
    <mergeCell ref="A182:G182"/>
    <mergeCell ref="C152:N152"/>
    <mergeCell ref="A183:G183"/>
    <mergeCell ref="A179:N179"/>
    <mergeCell ref="A181:G181"/>
    <mergeCell ref="B177:G177"/>
    <mergeCell ref="K177:N177"/>
    <mergeCell ref="B178:G178"/>
    <mergeCell ref="K178:N178"/>
    <mergeCell ref="A124:A128"/>
    <mergeCell ref="A64:A66"/>
    <mergeCell ref="B64:B66"/>
    <mergeCell ref="A102:A103"/>
    <mergeCell ref="C91:N91"/>
    <mergeCell ref="L80:L82"/>
    <mergeCell ref="K68:K71"/>
    <mergeCell ref="E70:E71"/>
    <mergeCell ref="D68:D71"/>
    <mergeCell ref="E64:E66"/>
    <mergeCell ref="F64:F66"/>
    <mergeCell ref="A83:A84"/>
    <mergeCell ref="B83:B84"/>
    <mergeCell ref="E87:E89"/>
    <mergeCell ref="F87:F89"/>
    <mergeCell ref="A80:A82"/>
    <mergeCell ref="B80:B82"/>
    <mergeCell ref="K83:K84"/>
    <mergeCell ref="D102:D103"/>
    <mergeCell ref="E102:E103"/>
    <mergeCell ref="F102:F103"/>
    <mergeCell ref="K102:K103"/>
    <mergeCell ref="D92:D94"/>
    <mergeCell ref="C83:C84"/>
    <mergeCell ref="C64:C66"/>
    <mergeCell ref="A54:A55"/>
    <mergeCell ref="B54:B55"/>
    <mergeCell ref="C54:C55"/>
    <mergeCell ref="K54:K55"/>
    <mergeCell ref="A52:A53"/>
    <mergeCell ref="B52:B53"/>
    <mergeCell ref="A41:A43"/>
    <mergeCell ref="B41:B43"/>
    <mergeCell ref="C41:C43"/>
    <mergeCell ref="F41:F43"/>
    <mergeCell ref="D41:D43"/>
    <mergeCell ref="D54:D56"/>
    <mergeCell ref="C52:C53"/>
    <mergeCell ref="K49:K51"/>
    <mergeCell ref="A48:A51"/>
    <mergeCell ref="B48:B51"/>
    <mergeCell ref="C48:C51"/>
    <mergeCell ref="D48:D51"/>
    <mergeCell ref="E48:E51"/>
    <mergeCell ref="F48:F51"/>
    <mergeCell ref="D44:D45"/>
    <mergeCell ref="K42:K43"/>
    <mergeCell ref="F52:F53"/>
    <mergeCell ref="A190:G190"/>
    <mergeCell ref="K166:K167"/>
    <mergeCell ref="D166:D167"/>
    <mergeCell ref="K104:N104"/>
    <mergeCell ref="B102:B103"/>
    <mergeCell ref="C102:C103"/>
    <mergeCell ref="C151:G151"/>
    <mergeCell ref="C148:C150"/>
    <mergeCell ref="D148:D150"/>
    <mergeCell ref="E148:E150"/>
    <mergeCell ref="F148:F150"/>
    <mergeCell ref="D124:D128"/>
    <mergeCell ref="D118:D119"/>
    <mergeCell ref="E125:E126"/>
    <mergeCell ref="E135:E137"/>
    <mergeCell ref="F135:F137"/>
    <mergeCell ref="K133:K134"/>
    <mergeCell ref="K136:K137"/>
    <mergeCell ref="K151:N151"/>
    <mergeCell ref="A180:J180"/>
    <mergeCell ref="C176:G176"/>
    <mergeCell ref="K176:N176"/>
    <mergeCell ref="C171:C173"/>
    <mergeCell ref="A174:A175"/>
    <mergeCell ref="D83:D84"/>
    <mergeCell ref="E83:E84"/>
    <mergeCell ref="F58:F60"/>
    <mergeCell ref="K58:K60"/>
    <mergeCell ref="C80:C82"/>
    <mergeCell ref="D80:D82"/>
    <mergeCell ref="F72:F74"/>
    <mergeCell ref="K72:K73"/>
    <mergeCell ref="E73:E74"/>
    <mergeCell ref="F83:F84"/>
    <mergeCell ref="E58:E60"/>
    <mergeCell ref="K62:K63"/>
    <mergeCell ref="D74:D75"/>
    <mergeCell ref="K38:K39"/>
    <mergeCell ref="K28:K30"/>
    <mergeCell ref="E32:E34"/>
    <mergeCell ref="D52:D53"/>
    <mergeCell ref="E52:E53"/>
    <mergeCell ref="D17:D18"/>
    <mergeCell ref="K80:K82"/>
    <mergeCell ref="K52:K53"/>
    <mergeCell ref="D58:D60"/>
    <mergeCell ref="E61:E63"/>
    <mergeCell ref="K64:K66"/>
    <mergeCell ref="D64:D66"/>
  </mergeCells>
  <pageMargins left="0.78740157480314965" right="0" top="0.19685039370078741" bottom="0.19685039370078741" header="0" footer="0"/>
  <pageSetup paperSize="9" scale="70" orientation="portrait" r:id="rId1"/>
  <headerFooter differentOddEven="1"/>
  <rowBreaks count="3" manualBreakCount="3">
    <brk id="56" max="13" man="1"/>
    <brk id="108" max="13" man="1"/>
    <brk id="154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204"/>
  <sheetViews>
    <sheetView topLeftCell="A160" zoomScaleNormal="100" zoomScaleSheetLayoutView="100" workbookViewId="0">
      <selection activeCell="V158" sqref="V158"/>
    </sheetView>
  </sheetViews>
  <sheetFormatPr defaultRowHeight="12.75" x14ac:dyDescent="0.2"/>
  <cols>
    <col min="1" max="3" width="2.7109375" style="9" customWidth="1"/>
    <col min="4" max="4" width="35.42578125" style="9" customWidth="1"/>
    <col min="5" max="5" width="3.42578125" style="68" customWidth="1"/>
    <col min="6" max="6" width="3.42578125" style="114" customWidth="1"/>
    <col min="7" max="7" width="7.7109375" style="10" customWidth="1"/>
    <col min="8" max="9" width="10.140625" style="9" customWidth="1"/>
    <col min="10" max="11" width="10.28515625" style="9" customWidth="1"/>
    <col min="12" max="12" width="23.85546875" style="9" customWidth="1"/>
    <col min="13" max="15" width="3.7109375" style="9" customWidth="1"/>
    <col min="16" max="16384" width="9.140625" style="6"/>
  </cols>
  <sheetData>
    <row r="1" spans="1:18" ht="15" x14ac:dyDescent="0.2">
      <c r="L1" s="2927" t="s">
        <v>384</v>
      </c>
      <c r="M1" s="2928"/>
      <c r="N1" s="2928"/>
      <c r="O1" s="2928"/>
    </row>
    <row r="2" spans="1:18" ht="15.75" x14ac:dyDescent="0.2">
      <c r="A2" s="2872" t="s">
        <v>222</v>
      </c>
      <c r="B2" s="2872"/>
      <c r="C2" s="2872"/>
      <c r="D2" s="2872"/>
      <c r="E2" s="2872"/>
      <c r="F2" s="2872"/>
      <c r="G2" s="2872"/>
      <c r="H2" s="2872"/>
      <c r="I2" s="2872"/>
      <c r="J2" s="2872"/>
      <c r="K2" s="2872"/>
      <c r="L2" s="2872"/>
      <c r="M2" s="2872"/>
      <c r="N2" s="2872"/>
      <c r="O2" s="2872"/>
    </row>
    <row r="3" spans="1:18" ht="15.75" x14ac:dyDescent="0.2">
      <c r="A3" s="2873" t="s">
        <v>46</v>
      </c>
      <c r="B3" s="2873"/>
      <c r="C3" s="2873"/>
      <c r="D3" s="2873"/>
      <c r="E3" s="2873"/>
      <c r="F3" s="2873"/>
      <c r="G3" s="2873"/>
      <c r="H3" s="2873"/>
      <c r="I3" s="2873"/>
      <c r="J3" s="2873"/>
      <c r="K3" s="2873"/>
      <c r="L3" s="2873"/>
      <c r="M3" s="2873"/>
      <c r="N3" s="2873"/>
      <c r="O3" s="2873"/>
    </row>
    <row r="4" spans="1:18" ht="15.75" x14ac:dyDescent="0.2">
      <c r="A4" s="2874" t="s">
        <v>30</v>
      </c>
      <c r="B4" s="2874"/>
      <c r="C4" s="2874"/>
      <c r="D4" s="2874"/>
      <c r="E4" s="2874"/>
      <c r="F4" s="2874"/>
      <c r="G4" s="2874"/>
      <c r="H4" s="2874"/>
      <c r="I4" s="2874"/>
      <c r="J4" s="2874"/>
      <c r="K4" s="2874"/>
      <c r="L4" s="2874"/>
      <c r="M4" s="2874"/>
      <c r="N4" s="2874"/>
      <c r="O4" s="2874"/>
      <c r="P4" s="4"/>
      <c r="Q4" s="4"/>
      <c r="R4" s="4"/>
    </row>
    <row r="5" spans="1:18" ht="13.5" thickBot="1" x14ac:dyDescent="0.25">
      <c r="A5" s="329"/>
      <c r="B5" s="329"/>
      <c r="C5" s="329"/>
      <c r="D5" s="329"/>
      <c r="E5" s="330"/>
      <c r="F5" s="331"/>
      <c r="G5" s="2345"/>
      <c r="H5" s="329"/>
      <c r="I5" s="329"/>
      <c r="J5" s="329"/>
      <c r="K5" s="329"/>
      <c r="L5" s="329"/>
      <c r="M5" s="2875" t="s">
        <v>265</v>
      </c>
      <c r="N5" s="2875"/>
      <c r="O5" s="2875"/>
    </row>
    <row r="6" spans="1:18" ht="42" customHeight="1" x14ac:dyDescent="0.2">
      <c r="A6" s="2876" t="s">
        <v>31</v>
      </c>
      <c r="B6" s="2879" t="s">
        <v>1</v>
      </c>
      <c r="C6" s="2879" t="s">
        <v>2</v>
      </c>
      <c r="D6" s="2882" t="s">
        <v>15</v>
      </c>
      <c r="E6" s="2885" t="s">
        <v>3</v>
      </c>
      <c r="F6" s="2903" t="s">
        <v>4</v>
      </c>
      <c r="G6" s="2906" t="s">
        <v>5</v>
      </c>
      <c r="H6" s="2941" t="s">
        <v>159</v>
      </c>
      <c r="I6" s="2944" t="s">
        <v>309</v>
      </c>
      <c r="J6" s="2906" t="s">
        <v>310</v>
      </c>
      <c r="K6" s="2944" t="s">
        <v>420</v>
      </c>
      <c r="L6" s="2900" t="s">
        <v>14</v>
      </c>
      <c r="M6" s="2901"/>
      <c r="N6" s="2901"/>
      <c r="O6" s="2902"/>
    </row>
    <row r="7" spans="1:18" ht="21" customHeight="1" x14ac:dyDescent="0.2">
      <c r="A7" s="2877"/>
      <c r="B7" s="2880"/>
      <c r="C7" s="2880"/>
      <c r="D7" s="2883"/>
      <c r="E7" s="2886"/>
      <c r="F7" s="2904"/>
      <c r="G7" s="2907"/>
      <c r="H7" s="2942"/>
      <c r="I7" s="2945"/>
      <c r="J7" s="2907"/>
      <c r="K7" s="2945"/>
      <c r="L7" s="2888" t="s">
        <v>15</v>
      </c>
      <c r="M7" s="2890" t="s">
        <v>264</v>
      </c>
      <c r="N7" s="2891"/>
      <c r="O7" s="2892"/>
    </row>
    <row r="8" spans="1:18" ht="66.75" customHeight="1" thickBot="1" x14ac:dyDescent="0.25">
      <c r="A8" s="2878"/>
      <c r="B8" s="2881"/>
      <c r="C8" s="2881"/>
      <c r="D8" s="2884"/>
      <c r="E8" s="2887"/>
      <c r="F8" s="2905"/>
      <c r="G8" s="2908"/>
      <c r="H8" s="2943"/>
      <c r="I8" s="2946"/>
      <c r="J8" s="2908"/>
      <c r="K8" s="2946"/>
      <c r="L8" s="2889"/>
      <c r="M8" s="2409" t="s">
        <v>41</v>
      </c>
      <c r="N8" s="2409" t="s">
        <v>115</v>
      </c>
      <c r="O8" s="2410" t="s">
        <v>161</v>
      </c>
    </row>
    <row r="9" spans="1:18" s="108" customFormat="1" x14ac:dyDescent="0.2">
      <c r="A9" s="2894" t="s">
        <v>109</v>
      </c>
      <c r="B9" s="2895"/>
      <c r="C9" s="2895"/>
      <c r="D9" s="2895"/>
      <c r="E9" s="2895"/>
      <c r="F9" s="2895"/>
      <c r="G9" s="2895"/>
      <c r="H9" s="2895"/>
      <c r="I9" s="2895"/>
      <c r="J9" s="2895"/>
      <c r="K9" s="2895"/>
      <c r="L9" s="2895"/>
      <c r="M9" s="2895"/>
      <c r="N9" s="2895"/>
      <c r="O9" s="2896"/>
    </row>
    <row r="10" spans="1:18" s="108" customFormat="1" x14ac:dyDescent="0.2">
      <c r="A10" s="2909" t="s">
        <v>43</v>
      </c>
      <c r="B10" s="2910"/>
      <c r="C10" s="2910"/>
      <c r="D10" s="2910"/>
      <c r="E10" s="2910"/>
      <c r="F10" s="2910"/>
      <c r="G10" s="2910"/>
      <c r="H10" s="2910"/>
      <c r="I10" s="2910"/>
      <c r="J10" s="2910"/>
      <c r="K10" s="2910"/>
      <c r="L10" s="2910"/>
      <c r="M10" s="2910"/>
      <c r="N10" s="2910"/>
      <c r="O10" s="2911"/>
    </row>
    <row r="11" spans="1:18" ht="15" customHeight="1" x14ac:dyDescent="0.2">
      <c r="A11" s="376" t="s">
        <v>8</v>
      </c>
      <c r="B11" s="2912" t="s">
        <v>47</v>
      </c>
      <c r="C11" s="2913"/>
      <c r="D11" s="2913"/>
      <c r="E11" s="2913"/>
      <c r="F11" s="2913"/>
      <c r="G11" s="2913"/>
      <c r="H11" s="2913"/>
      <c r="I11" s="2913"/>
      <c r="J11" s="2913"/>
      <c r="K11" s="2913"/>
      <c r="L11" s="2913"/>
      <c r="M11" s="2913"/>
      <c r="N11" s="2913"/>
      <c r="O11" s="2914"/>
    </row>
    <row r="12" spans="1:18" ht="14.25" customHeight="1" x14ac:dyDescent="0.2">
      <c r="A12" s="377" t="s">
        <v>8</v>
      </c>
      <c r="B12" s="177" t="s">
        <v>8</v>
      </c>
      <c r="C12" s="2920" t="s">
        <v>48</v>
      </c>
      <c r="D12" s="2921"/>
      <c r="E12" s="2921"/>
      <c r="F12" s="2921"/>
      <c r="G12" s="2921"/>
      <c r="H12" s="2921"/>
      <c r="I12" s="2921"/>
      <c r="J12" s="2921"/>
      <c r="K12" s="2921"/>
      <c r="L12" s="2921"/>
      <c r="M12" s="2921"/>
      <c r="N12" s="2921"/>
      <c r="O12" s="2922"/>
    </row>
    <row r="13" spans="1:18" ht="27" customHeight="1" x14ac:dyDescent="0.2">
      <c r="A13" s="2315" t="s">
        <v>8</v>
      </c>
      <c r="B13" s="2288" t="s">
        <v>8</v>
      </c>
      <c r="C13" s="2289" t="s">
        <v>8</v>
      </c>
      <c r="D13" s="1206" t="s">
        <v>82</v>
      </c>
      <c r="E13" s="1819" t="s">
        <v>202</v>
      </c>
      <c r="F13" s="2340" t="s">
        <v>72</v>
      </c>
      <c r="G13" s="1207"/>
      <c r="H13" s="2350"/>
      <c r="I13" s="283"/>
      <c r="J13" s="218"/>
      <c r="K13" s="2565"/>
      <c r="L13" s="60"/>
      <c r="M13" s="100"/>
      <c r="N13" s="134"/>
      <c r="O13" s="135"/>
    </row>
    <row r="14" spans="1:18" ht="39.75" customHeight="1" x14ac:dyDescent="0.2">
      <c r="A14" s="2757"/>
      <c r="B14" s="2727"/>
      <c r="C14" s="2709"/>
      <c r="D14" s="2290" t="s">
        <v>232</v>
      </c>
      <c r="E14" s="2870" t="s">
        <v>79</v>
      </c>
      <c r="F14" s="2711" t="s">
        <v>72</v>
      </c>
      <c r="G14" s="1031" t="s">
        <v>330</v>
      </c>
      <c r="H14" s="1502">
        <f>457.2/3.4528*1000</f>
        <v>132414</v>
      </c>
      <c r="I14" s="2352">
        <f>457.2/3.4528*1000</f>
        <v>132414</v>
      </c>
      <c r="J14" s="1748"/>
      <c r="K14" s="2538"/>
      <c r="L14" s="2427" t="s">
        <v>417</v>
      </c>
      <c r="M14" s="2428"/>
      <c r="N14" s="2429"/>
      <c r="O14" s="2430">
        <v>1</v>
      </c>
    </row>
    <row r="15" spans="1:18" ht="15" customHeight="1" x14ac:dyDescent="0.2">
      <c r="A15" s="2757"/>
      <c r="B15" s="2727"/>
      <c r="C15" s="2709"/>
      <c r="D15" s="1032" t="s">
        <v>261</v>
      </c>
      <c r="E15" s="2870"/>
      <c r="F15" s="2711"/>
      <c r="G15" s="746" t="s">
        <v>42</v>
      </c>
      <c r="H15" s="1501"/>
      <c r="I15" s="2353"/>
      <c r="J15" s="1748"/>
      <c r="K15" s="2538"/>
      <c r="L15" s="1035"/>
      <c r="M15" s="1036"/>
      <c r="N15" s="1037"/>
      <c r="O15" s="1038"/>
    </row>
    <row r="16" spans="1:18" ht="28.5" customHeight="1" x14ac:dyDescent="0.2">
      <c r="A16" s="2757"/>
      <c r="B16" s="2727"/>
      <c r="C16" s="2709"/>
      <c r="D16" s="2305" t="s">
        <v>269</v>
      </c>
      <c r="E16" s="2893"/>
      <c r="F16" s="2715"/>
      <c r="G16" s="1033"/>
      <c r="H16" s="1225"/>
      <c r="I16" s="2354"/>
      <c r="J16" s="1321"/>
      <c r="K16" s="2539"/>
      <c r="L16" s="2329"/>
      <c r="M16" s="136"/>
      <c r="N16" s="1034"/>
      <c r="O16" s="137"/>
      <c r="P16" s="1731"/>
    </row>
    <row r="17" spans="1:17" ht="24" customHeight="1" x14ac:dyDescent="0.2">
      <c r="A17" s="2315"/>
      <c r="B17" s="2288"/>
      <c r="C17" s="2289"/>
      <c r="D17" s="2699" t="s">
        <v>238</v>
      </c>
      <c r="E17" s="2333"/>
      <c r="F17" s="2297"/>
      <c r="G17" s="740" t="s">
        <v>330</v>
      </c>
      <c r="H17" s="1506">
        <f>20/3.4528*1000</f>
        <v>5792</v>
      </c>
      <c r="I17" s="2355">
        <f>20/3.4528*1000</f>
        <v>5792</v>
      </c>
      <c r="J17" s="2566"/>
      <c r="K17" s="2567"/>
      <c r="L17" s="2342"/>
      <c r="M17" s="210"/>
      <c r="N17" s="134"/>
      <c r="O17" s="135"/>
    </row>
    <row r="18" spans="1:17" ht="28.5" customHeight="1" x14ac:dyDescent="0.2">
      <c r="A18" s="2315"/>
      <c r="B18" s="2288"/>
      <c r="C18" s="2289"/>
      <c r="D18" s="2929"/>
      <c r="E18" s="2333"/>
      <c r="F18" s="2297"/>
      <c r="G18" s="17" t="s">
        <v>42</v>
      </c>
      <c r="H18" s="1229"/>
      <c r="I18" s="2356"/>
      <c r="J18" s="1324"/>
      <c r="K18" s="2540"/>
      <c r="L18" s="2342"/>
      <c r="M18" s="210"/>
      <c r="N18" s="134"/>
      <c r="O18" s="135"/>
    </row>
    <row r="19" spans="1:17" ht="15.75" customHeight="1" x14ac:dyDescent="0.2">
      <c r="A19" s="2757"/>
      <c r="B19" s="2727"/>
      <c r="C19" s="2709"/>
      <c r="D19" s="2703" t="s">
        <v>193</v>
      </c>
      <c r="E19" s="2694"/>
      <c r="F19" s="2710" t="s">
        <v>72</v>
      </c>
      <c r="G19" s="740" t="s">
        <v>330</v>
      </c>
      <c r="H19" s="1506">
        <f>50/3.4528*1000</f>
        <v>14481</v>
      </c>
      <c r="I19" s="2355">
        <f>50/3.4528*1000</f>
        <v>14481</v>
      </c>
      <c r="J19" s="1360"/>
      <c r="K19" s="2541"/>
      <c r="L19" s="657"/>
      <c r="M19" s="1195"/>
      <c r="N19" s="1028"/>
      <c r="O19" s="1029"/>
    </row>
    <row r="20" spans="1:17" ht="15" customHeight="1" x14ac:dyDescent="0.2">
      <c r="A20" s="2757"/>
      <c r="B20" s="2727"/>
      <c r="C20" s="2709"/>
      <c r="D20" s="2704"/>
      <c r="E20" s="2696"/>
      <c r="F20" s="2711"/>
      <c r="G20" s="40" t="s">
        <v>42</v>
      </c>
      <c r="H20" s="1225"/>
      <c r="I20" s="2354"/>
      <c r="J20" s="1321"/>
      <c r="K20" s="2542"/>
      <c r="L20" s="2342"/>
      <c r="M20" s="1196"/>
      <c r="N20" s="45"/>
      <c r="O20" s="46"/>
    </row>
    <row r="21" spans="1:17" ht="26.25" customHeight="1" x14ac:dyDescent="0.2">
      <c r="A21" s="2757"/>
      <c r="B21" s="2727"/>
      <c r="C21" s="2709"/>
      <c r="D21" s="2703" t="s">
        <v>239</v>
      </c>
      <c r="E21" s="2869" t="s">
        <v>79</v>
      </c>
      <c r="F21" s="2311" t="s">
        <v>72</v>
      </c>
      <c r="G21" s="1079" t="s">
        <v>330</v>
      </c>
      <c r="H21" s="1500">
        <f>50/3.4528*1000</f>
        <v>14481</v>
      </c>
      <c r="I21" s="1476">
        <f>50/3.4528*1000</f>
        <v>14481</v>
      </c>
      <c r="J21" s="1329"/>
      <c r="K21" s="2543"/>
      <c r="L21" s="657"/>
      <c r="M21" s="1197"/>
      <c r="N21" s="1028"/>
      <c r="O21" s="1029"/>
    </row>
    <row r="22" spans="1:17" ht="15.75" customHeight="1" x14ac:dyDescent="0.2">
      <c r="A22" s="2757"/>
      <c r="B22" s="2727"/>
      <c r="C22" s="2709"/>
      <c r="D22" s="2704"/>
      <c r="E22" s="2925"/>
      <c r="F22" s="2297"/>
      <c r="G22" s="721"/>
      <c r="H22" s="1501"/>
      <c r="I22" s="2353"/>
      <c r="J22" s="1358"/>
      <c r="K22" s="2544"/>
      <c r="L22" s="1732"/>
      <c r="M22" s="1733"/>
      <c r="N22" s="1734"/>
      <c r="O22" s="1735"/>
    </row>
    <row r="23" spans="1:17" ht="28.5" customHeight="1" x14ac:dyDescent="0.2">
      <c r="A23" s="2757"/>
      <c r="B23" s="2727"/>
      <c r="C23" s="2709"/>
      <c r="D23" s="2321"/>
      <c r="E23" s="2871"/>
      <c r="F23" s="2314"/>
      <c r="G23" s="40" t="s">
        <v>42</v>
      </c>
      <c r="H23" s="1225"/>
      <c r="I23" s="2354"/>
      <c r="J23" s="1321"/>
      <c r="K23" s="2539"/>
      <c r="L23" s="766"/>
      <c r="M23" s="63"/>
      <c r="N23" s="764"/>
      <c r="O23" s="765"/>
    </row>
    <row r="24" spans="1:17" ht="39.75" customHeight="1" x14ac:dyDescent="0.2">
      <c r="A24" s="2315"/>
      <c r="B24" s="2288"/>
      <c r="C24" s="2289"/>
      <c r="D24" s="1202" t="s">
        <v>240</v>
      </c>
      <c r="E24" s="1203"/>
      <c r="F24" s="2340" t="s">
        <v>72</v>
      </c>
      <c r="G24" s="38" t="s">
        <v>392</v>
      </c>
      <c r="H24" s="1509">
        <f>210.9/3.4528*1000</f>
        <v>61081</v>
      </c>
      <c r="I24" s="2357">
        <f>210.9/3.4528*1000</f>
        <v>61081</v>
      </c>
      <c r="J24" s="1332"/>
      <c r="K24" s="2545"/>
      <c r="L24" s="1066"/>
      <c r="M24" s="1067"/>
      <c r="N24" s="1204"/>
      <c r="O24" s="1205"/>
    </row>
    <row r="25" spans="1:17" ht="11.25" customHeight="1" x14ac:dyDescent="0.2">
      <c r="A25" s="2315"/>
      <c r="B25" s="2288"/>
      <c r="C25" s="2289"/>
      <c r="D25" s="2704" t="s">
        <v>143</v>
      </c>
      <c r="E25" s="2869" t="s">
        <v>79</v>
      </c>
      <c r="F25" s="2297" t="s">
        <v>72</v>
      </c>
      <c r="G25" s="13"/>
      <c r="H25" s="2351"/>
      <c r="I25" s="1476"/>
      <c r="J25" s="2580"/>
      <c r="K25" s="2543"/>
      <c r="L25" s="2690"/>
      <c r="M25" s="823"/>
      <c r="N25" s="1024"/>
      <c r="O25" s="1025"/>
    </row>
    <row r="26" spans="1:17" ht="12" customHeight="1" x14ac:dyDescent="0.2">
      <c r="A26" s="2315"/>
      <c r="B26" s="2288"/>
      <c r="C26" s="2289"/>
      <c r="D26" s="2844"/>
      <c r="E26" s="2870"/>
      <c r="F26" s="2297"/>
      <c r="G26" s="783" t="s">
        <v>330</v>
      </c>
      <c r="H26" s="1507">
        <f>66.3/3.4528*1000</f>
        <v>19202</v>
      </c>
      <c r="I26" s="2352">
        <f>66.3/3.4528*1000</f>
        <v>19202</v>
      </c>
      <c r="J26" s="2579"/>
      <c r="K26" s="2568"/>
      <c r="L26" s="2692"/>
      <c r="M26" s="336"/>
      <c r="N26" s="1024"/>
      <c r="O26" s="1025"/>
    </row>
    <row r="27" spans="1:17" ht="13.5" customHeight="1" x14ac:dyDescent="0.2">
      <c r="A27" s="2315"/>
      <c r="B27" s="2288"/>
      <c r="C27" s="2289"/>
      <c r="D27" s="2700"/>
      <c r="E27" s="2871"/>
      <c r="F27" s="2297"/>
      <c r="G27" s="40" t="s">
        <v>392</v>
      </c>
      <c r="H27" s="1516">
        <f>358/3.4528*1000</f>
        <v>103684</v>
      </c>
      <c r="I27" s="2360">
        <f>358/3.4528*1000</f>
        <v>103684</v>
      </c>
      <c r="J27" s="1338"/>
      <c r="K27" s="2547"/>
      <c r="L27" s="2691"/>
      <c r="M27" s="828"/>
      <c r="N27" s="1024"/>
      <c r="O27" s="1025"/>
    </row>
    <row r="28" spans="1:17" ht="12.75" customHeight="1" x14ac:dyDescent="0.2">
      <c r="A28" s="2757"/>
      <c r="B28" s="2727"/>
      <c r="C28" s="2709"/>
      <c r="D28" s="2760" t="s">
        <v>270</v>
      </c>
      <c r="E28" s="2869" t="s">
        <v>79</v>
      </c>
      <c r="F28" s="2710" t="s">
        <v>72</v>
      </c>
      <c r="G28" s="2398"/>
      <c r="H28" s="1506"/>
      <c r="I28" s="2355"/>
      <c r="J28" s="2541"/>
      <c r="K28" s="2569"/>
      <c r="L28" s="2690"/>
      <c r="M28" s="923"/>
      <c r="N28" s="77"/>
      <c r="O28" s="78"/>
    </row>
    <row r="29" spans="1:17" ht="13.5" customHeight="1" x14ac:dyDescent="0.2">
      <c r="A29" s="2757"/>
      <c r="B29" s="2727"/>
      <c r="C29" s="2709"/>
      <c r="D29" s="2702"/>
      <c r="E29" s="2870"/>
      <c r="F29" s="2711"/>
      <c r="G29" s="17" t="s">
        <v>42</v>
      </c>
      <c r="H29" s="1514"/>
      <c r="I29" s="2356"/>
      <c r="J29" s="2577"/>
      <c r="K29" s="2578"/>
      <c r="L29" s="2692"/>
      <c r="M29" s="924"/>
      <c r="N29" s="45"/>
      <c r="O29" s="46"/>
    </row>
    <row r="30" spans="1:17" ht="15.75" customHeight="1" thickBot="1" x14ac:dyDescent="0.25">
      <c r="A30" s="2757"/>
      <c r="B30" s="2727"/>
      <c r="C30" s="2709"/>
      <c r="D30" s="2761"/>
      <c r="E30" s="2871"/>
      <c r="F30" s="2715"/>
      <c r="G30" s="875" t="s">
        <v>9</v>
      </c>
      <c r="H30" s="1503">
        <f>SUM(H13:H29)</f>
        <v>351135</v>
      </c>
      <c r="I30" s="2358">
        <f>SUM(I13:I29)</f>
        <v>351135</v>
      </c>
      <c r="J30" s="1216">
        <f>SUM(J13:J29)</f>
        <v>0</v>
      </c>
      <c r="K30" s="2364"/>
      <c r="L30" s="2693"/>
      <c r="M30" s="925"/>
      <c r="N30" s="63"/>
      <c r="O30" s="64"/>
    </row>
    <row r="31" spans="1:17" ht="33.75" customHeight="1" x14ac:dyDescent="0.2">
      <c r="A31" s="2316" t="s">
        <v>8</v>
      </c>
      <c r="B31" s="2318" t="s">
        <v>8</v>
      </c>
      <c r="C31" s="2295" t="s">
        <v>10</v>
      </c>
      <c r="D31" s="133" t="s">
        <v>83</v>
      </c>
      <c r="E31" s="834" t="s">
        <v>205</v>
      </c>
      <c r="F31" s="2296"/>
      <c r="G31" s="74"/>
      <c r="H31" s="1499"/>
      <c r="I31" s="2361"/>
      <c r="J31" s="2504"/>
      <c r="K31" s="2548"/>
      <c r="L31" s="545"/>
      <c r="M31" s="686"/>
      <c r="N31" s="727"/>
      <c r="O31" s="728"/>
      <c r="P31" s="15"/>
      <c r="Q31" s="14"/>
    </row>
    <row r="32" spans="1:17" ht="13.5" customHeight="1" x14ac:dyDescent="0.2">
      <c r="A32" s="2759"/>
      <c r="B32" s="2727"/>
      <c r="C32" s="2709"/>
      <c r="D32" s="2760" t="s">
        <v>378</v>
      </c>
      <c r="E32" s="2694" t="s">
        <v>79</v>
      </c>
      <c r="F32" s="2710" t="s">
        <v>72</v>
      </c>
      <c r="G32" s="740" t="s">
        <v>58</v>
      </c>
      <c r="H32" s="1379">
        <f>535.9/3.4528*1000</f>
        <v>155207</v>
      </c>
      <c r="I32" s="2355">
        <f>155207-155207</f>
        <v>0</v>
      </c>
      <c r="J32" s="2505">
        <f>I32-H32</f>
        <v>-155207</v>
      </c>
      <c r="K32" s="2549"/>
      <c r="L32" s="1954"/>
      <c r="M32" s="1955"/>
      <c r="N32" s="1197"/>
      <c r="O32" s="1956"/>
    </row>
    <row r="33" spans="1:18" ht="17.25" customHeight="1" x14ac:dyDescent="0.2">
      <c r="A33" s="2759"/>
      <c r="B33" s="2727"/>
      <c r="C33" s="2709"/>
      <c r="D33" s="2702"/>
      <c r="E33" s="2695"/>
      <c r="F33" s="2711"/>
      <c r="G33" s="17" t="s">
        <v>392</v>
      </c>
      <c r="H33" s="1229"/>
      <c r="I33" s="2356">
        <v>155210</v>
      </c>
      <c r="J33" s="2572">
        <f>I33-H33</f>
        <v>155210</v>
      </c>
      <c r="K33" s="2573"/>
      <c r="L33" s="711"/>
      <c r="M33" s="712"/>
      <c r="N33" s="713"/>
      <c r="O33" s="714"/>
    </row>
    <row r="34" spans="1:18" ht="12" customHeight="1" x14ac:dyDescent="0.2">
      <c r="A34" s="2759"/>
      <c r="B34" s="2727"/>
      <c r="C34" s="2709"/>
      <c r="D34" s="2702"/>
      <c r="E34" s="2695"/>
      <c r="F34" s="2711"/>
      <c r="G34" s="723" t="s">
        <v>330</v>
      </c>
      <c r="H34" s="1501">
        <f>41387+57400</f>
        <v>98787</v>
      </c>
      <c r="I34" s="2353">
        <f>41387+57400</f>
        <v>98787</v>
      </c>
      <c r="J34" s="2534"/>
      <c r="K34" s="2550"/>
      <c r="L34" s="711"/>
      <c r="M34" s="712"/>
      <c r="N34" s="713"/>
      <c r="O34" s="714"/>
    </row>
    <row r="35" spans="1:18" x14ac:dyDescent="0.2">
      <c r="A35" s="2759"/>
      <c r="B35" s="2727"/>
      <c r="C35" s="2709"/>
      <c r="D35" s="2761"/>
      <c r="E35" s="2696"/>
      <c r="F35" s="2715"/>
      <c r="G35" s="40" t="s">
        <v>42</v>
      </c>
      <c r="H35" s="1225"/>
      <c r="I35" s="2354"/>
      <c r="J35" s="2507"/>
      <c r="K35" s="2551"/>
      <c r="L35" s="772"/>
      <c r="M35" s="757"/>
      <c r="N35" s="789"/>
      <c r="O35" s="758"/>
    </row>
    <row r="36" spans="1:18" ht="12.75" customHeight="1" x14ac:dyDescent="0.2">
      <c r="A36" s="2759"/>
      <c r="B36" s="2727"/>
      <c r="C36" s="2709"/>
      <c r="D36" s="2703" t="s">
        <v>196</v>
      </c>
      <c r="E36" s="129" t="s">
        <v>79</v>
      </c>
      <c r="F36" s="2710" t="s">
        <v>72</v>
      </c>
      <c r="G36" s="740" t="s">
        <v>392</v>
      </c>
      <c r="H36" s="1379">
        <f>320/3.4528*1000</f>
        <v>92678</v>
      </c>
      <c r="I36" s="2355">
        <f>320/3.4528*1000</f>
        <v>92678</v>
      </c>
      <c r="J36" s="2570"/>
      <c r="K36" s="2571"/>
      <c r="L36" s="2291"/>
      <c r="M36" s="77"/>
      <c r="N36" s="77"/>
      <c r="O36" s="78"/>
    </row>
    <row r="37" spans="1:18" x14ac:dyDescent="0.2">
      <c r="A37" s="2759"/>
      <c r="B37" s="2727"/>
      <c r="C37" s="2709"/>
      <c r="D37" s="2923"/>
      <c r="E37" s="1094"/>
      <c r="F37" s="2924"/>
      <c r="G37" s="783" t="s">
        <v>42</v>
      </c>
      <c r="H37" s="1502"/>
      <c r="I37" s="2352"/>
      <c r="J37" s="2506"/>
      <c r="K37" s="2550"/>
      <c r="L37" s="1095"/>
      <c r="M37" s="1096"/>
      <c r="N37" s="1097"/>
      <c r="O37" s="1098"/>
    </row>
    <row r="38" spans="1:18" ht="27" customHeight="1" x14ac:dyDescent="0.2">
      <c r="A38" s="2315"/>
      <c r="B38" s="2288"/>
      <c r="C38" s="2289"/>
      <c r="D38" s="1093" t="s">
        <v>242</v>
      </c>
      <c r="E38" s="945"/>
      <c r="F38" s="2297" t="s">
        <v>72</v>
      </c>
      <c r="G38" s="40" t="s">
        <v>392</v>
      </c>
      <c r="H38" s="1225">
        <f>131.2/3.4528*1000</f>
        <v>37998</v>
      </c>
      <c r="I38" s="2354">
        <f>131.2/3.4528*1000</f>
        <v>37998</v>
      </c>
      <c r="J38" s="2508"/>
      <c r="K38" s="2553"/>
      <c r="L38" s="1200"/>
      <c r="M38" s="1074"/>
      <c r="N38" s="63"/>
      <c r="O38" s="64"/>
    </row>
    <row r="39" spans="1:18" ht="16.5" customHeight="1" x14ac:dyDescent="0.2">
      <c r="A39" s="2757"/>
      <c r="B39" s="2727"/>
      <c r="C39" s="2709"/>
      <c r="D39" s="2703" t="s">
        <v>210</v>
      </c>
      <c r="E39" s="129" t="s">
        <v>79</v>
      </c>
      <c r="F39" s="2710" t="s">
        <v>72</v>
      </c>
      <c r="G39" s="740" t="s">
        <v>392</v>
      </c>
      <c r="H39" s="1379">
        <f>550/3.4528*1000</f>
        <v>159291</v>
      </c>
      <c r="I39" s="2355">
        <f>550/3.4528*1000</f>
        <v>159291</v>
      </c>
      <c r="J39" s="2535"/>
      <c r="K39" s="2552"/>
      <c r="L39" s="2690"/>
      <c r="M39" s="77"/>
      <c r="N39" s="77"/>
      <c r="O39" s="78"/>
    </row>
    <row r="40" spans="1:18" ht="15.75" customHeight="1" x14ac:dyDescent="0.2">
      <c r="A40" s="2757"/>
      <c r="B40" s="2727"/>
      <c r="C40" s="2709"/>
      <c r="D40" s="2705"/>
      <c r="E40" s="945"/>
      <c r="F40" s="2715"/>
      <c r="G40" s="40" t="s">
        <v>330</v>
      </c>
      <c r="H40" s="1225">
        <f>85/3.4528*1000</f>
        <v>24618</v>
      </c>
      <c r="I40" s="2354">
        <f>85/3.4528*1000</f>
        <v>24618</v>
      </c>
      <c r="J40" s="2508"/>
      <c r="K40" s="2553"/>
      <c r="L40" s="2691"/>
      <c r="M40" s="63"/>
      <c r="N40" s="63"/>
      <c r="O40" s="64"/>
    </row>
    <row r="41" spans="1:18" ht="18" customHeight="1" x14ac:dyDescent="0.2">
      <c r="A41" s="2315"/>
      <c r="B41" s="2288"/>
      <c r="C41" s="2289"/>
      <c r="D41" s="1063" t="s">
        <v>243</v>
      </c>
      <c r="E41" s="1090"/>
      <c r="F41" s="2340" t="s">
        <v>72</v>
      </c>
      <c r="G41" s="38" t="s">
        <v>392</v>
      </c>
      <c r="H41" s="1224">
        <f>34.7/3.4528*1000</f>
        <v>10050</v>
      </c>
      <c r="I41" s="2357">
        <f>34.7/3.4528*1000</f>
        <v>10050</v>
      </c>
      <c r="J41" s="2509"/>
      <c r="K41" s="2554"/>
      <c r="L41" s="1066"/>
      <c r="M41" s="1067"/>
      <c r="N41" s="1075"/>
      <c r="O41" s="1076"/>
    </row>
    <row r="42" spans="1:18" ht="15.75" customHeight="1" x14ac:dyDescent="0.2">
      <c r="A42" s="2759"/>
      <c r="B42" s="2727"/>
      <c r="C42" s="2709"/>
      <c r="D42" s="2760" t="s">
        <v>105</v>
      </c>
      <c r="E42" s="129" t="s">
        <v>79</v>
      </c>
      <c r="F42" s="2710" t="s">
        <v>72</v>
      </c>
      <c r="G42" s="740" t="s">
        <v>392</v>
      </c>
      <c r="H42" s="1379"/>
      <c r="I42" s="2355">
        <v>18455</v>
      </c>
      <c r="J42" s="2601">
        <f>I42-H42</f>
        <v>18455</v>
      </c>
      <c r="K42" s="2602">
        <v>5786</v>
      </c>
      <c r="L42" s="2407"/>
      <c r="M42" s="77"/>
      <c r="N42" s="77"/>
      <c r="O42" s="78"/>
      <c r="P42" s="2200"/>
      <c r="Q42" s="2425"/>
    </row>
    <row r="43" spans="1:18" ht="18" customHeight="1" x14ac:dyDescent="0.2">
      <c r="A43" s="2759"/>
      <c r="B43" s="2727"/>
      <c r="C43" s="2709"/>
      <c r="D43" s="2761"/>
      <c r="E43" s="813"/>
      <c r="F43" s="2715"/>
      <c r="G43" s="1085" t="s">
        <v>58</v>
      </c>
      <c r="H43" s="1225">
        <f>83.7/3.4528*1000</f>
        <v>24241</v>
      </c>
      <c r="I43" s="2354">
        <f>24241-24241</f>
        <v>0</v>
      </c>
      <c r="J43" s="2507">
        <f>I43-H43</f>
        <v>-24241</v>
      </c>
      <c r="K43" s="2551"/>
      <c r="L43" s="766"/>
      <c r="M43" s="63"/>
      <c r="N43" s="63"/>
      <c r="O43" s="64"/>
      <c r="P43" s="2425"/>
      <c r="Q43" s="2425"/>
      <c r="R43" s="2070"/>
    </row>
    <row r="44" spans="1:18" ht="39" customHeight="1" x14ac:dyDescent="0.2">
      <c r="A44" s="2315"/>
      <c r="B44" s="2288"/>
      <c r="C44" s="2289"/>
      <c r="D44" s="2702" t="s">
        <v>271</v>
      </c>
      <c r="E44" s="2300" t="s">
        <v>79</v>
      </c>
      <c r="F44" s="2297" t="s">
        <v>72</v>
      </c>
      <c r="G44" s="38" t="s">
        <v>392</v>
      </c>
      <c r="H44" s="1224"/>
      <c r="I44" s="2357"/>
      <c r="J44" s="2575"/>
      <c r="K44" s="2576"/>
      <c r="L44" s="2408"/>
      <c r="M44" s="134"/>
      <c r="N44" s="134"/>
      <c r="O44" s="135"/>
    </row>
    <row r="45" spans="1:18" ht="15" customHeight="1" thickBot="1" x14ac:dyDescent="0.25">
      <c r="A45" s="2317"/>
      <c r="B45" s="2293"/>
      <c r="C45" s="2294"/>
      <c r="D45" s="2934"/>
      <c r="E45" s="813"/>
      <c r="F45" s="2298"/>
      <c r="G45" s="2574" t="s">
        <v>9</v>
      </c>
      <c r="H45" s="1510">
        <f>SUM(H31:H44)</f>
        <v>602870</v>
      </c>
      <c r="I45" s="2363">
        <f>SUM(I31:I44)</f>
        <v>597087</v>
      </c>
      <c r="J45" s="2513">
        <f>SUM(J31:J44)</f>
        <v>-5783</v>
      </c>
      <c r="K45" s="2612">
        <f>SUM(K31:K44)</f>
        <v>5786</v>
      </c>
      <c r="L45" s="537"/>
      <c r="M45" s="63"/>
      <c r="N45" s="764"/>
      <c r="O45" s="765"/>
    </row>
    <row r="46" spans="1:18" ht="35.25" customHeight="1" x14ac:dyDescent="0.2">
      <c r="A46" s="2316" t="s">
        <v>8</v>
      </c>
      <c r="B46" s="2318" t="s">
        <v>8</v>
      </c>
      <c r="C46" s="2295" t="s">
        <v>45</v>
      </c>
      <c r="D46" s="142" t="s">
        <v>84</v>
      </c>
      <c r="E46" s="833" t="s">
        <v>209</v>
      </c>
      <c r="F46" s="236"/>
      <c r="G46" s="913"/>
      <c r="H46" s="1517"/>
      <c r="I46" s="2362"/>
      <c r="J46" s="1355"/>
      <c r="K46" s="2556"/>
      <c r="L46" s="545"/>
      <c r="M46" s="717"/>
      <c r="N46" s="717"/>
      <c r="O46" s="718"/>
    </row>
    <row r="47" spans="1:18" ht="19.5" customHeight="1" x14ac:dyDescent="0.2">
      <c r="A47" s="2315"/>
      <c r="B47" s="2288"/>
      <c r="C47" s="2289"/>
      <c r="D47" s="2703" t="s">
        <v>100</v>
      </c>
      <c r="E47" s="2301" t="s">
        <v>79</v>
      </c>
      <c r="F47" s="2311" t="s">
        <v>72</v>
      </c>
      <c r="G47" s="914" t="s">
        <v>58</v>
      </c>
      <c r="H47" s="1509">
        <f>165.1/3.4528*1000</f>
        <v>47816</v>
      </c>
      <c r="I47" s="2357">
        <f>47816-47816</f>
        <v>0</v>
      </c>
      <c r="J47" s="2511">
        <f>I47-H47</f>
        <v>-47816</v>
      </c>
      <c r="K47" s="2557"/>
      <c r="L47" s="539"/>
      <c r="M47" s="1443"/>
      <c r="N47" s="800"/>
      <c r="O47" s="801"/>
    </row>
    <row r="48" spans="1:18" ht="17.25" customHeight="1" x14ac:dyDescent="0.2">
      <c r="A48" s="2315"/>
      <c r="B48" s="2288"/>
      <c r="C48" s="2289"/>
      <c r="D48" s="2929"/>
      <c r="E48" s="2341"/>
      <c r="F48" s="961"/>
      <c r="G48" s="914" t="s">
        <v>392</v>
      </c>
      <c r="H48" s="1509"/>
      <c r="I48" s="2357">
        <v>47820</v>
      </c>
      <c r="J48" s="2511">
        <f>I48-H48</f>
        <v>47820</v>
      </c>
      <c r="K48" s="2557"/>
      <c r="L48" s="539"/>
      <c r="M48" s="1443"/>
      <c r="N48" s="800"/>
      <c r="O48" s="801"/>
    </row>
    <row r="49" spans="1:21" ht="16.5" customHeight="1" x14ac:dyDescent="0.2">
      <c r="A49" s="2757"/>
      <c r="B49" s="2727"/>
      <c r="C49" s="2709"/>
      <c r="D49" s="2734" t="s">
        <v>375</v>
      </c>
      <c r="E49" s="2698" t="s">
        <v>79</v>
      </c>
      <c r="F49" s="2766" t="s">
        <v>72</v>
      </c>
      <c r="G49" s="2399" t="s">
        <v>58</v>
      </c>
      <c r="H49" s="1507">
        <f>34725</f>
        <v>34725</v>
      </c>
      <c r="I49" s="2352">
        <f>34725-34725</f>
        <v>0</v>
      </c>
      <c r="J49" s="2512">
        <f>I49-H49</f>
        <v>-34725</v>
      </c>
      <c r="K49" s="2558"/>
      <c r="L49" s="2939" t="s">
        <v>417</v>
      </c>
      <c r="M49" s="2431"/>
      <c r="N49" s="2431">
        <v>1</v>
      </c>
      <c r="O49" s="135"/>
    </row>
    <row r="50" spans="1:21" ht="16.5" customHeight="1" x14ac:dyDescent="0.2">
      <c r="A50" s="2757"/>
      <c r="B50" s="2727"/>
      <c r="C50" s="2709"/>
      <c r="D50" s="2734"/>
      <c r="E50" s="2698"/>
      <c r="F50" s="2766"/>
      <c r="G50" s="2400" t="s">
        <v>392</v>
      </c>
      <c r="H50" s="1515"/>
      <c r="I50" s="2353">
        <v>34730</v>
      </c>
      <c r="J50" s="2584">
        <f>I50-H50</f>
        <v>34730</v>
      </c>
      <c r="K50" s="2585"/>
      <c r="L50" s="2939"/>
      <c r="M50" s="2431"/>
      <c r="N50" s="2431"/>
      <c r="O50" s="135"/>
    </row>
    <row r="51" spans="1:21" ht="16.5" customHeight="1" x14ac:dyDescent="0.2">
      <c r="A51" s="2757"/>
      <c r="B51" s="2727"/>
      <c r="C51" s="2709"/>
      <c r="D51" s="2734"/>
      <c r="E51" s="2698"/>
      <c r="F51" s="2766"/>
      <c r="G51" s="2059" t="s">
        <v>392</v>
      </c>
      <c r="H51" s="1514">
        <v>4000</v>
      </c>
      <c r="I51" s="2356">
        <v>4000</v>
      </c>
      <c r="J51" s="2584"/>
      <c r="K51" s="2585"/>
      <c r="L51" s="2939"/>
      <c r="M51" s="2431"/>
      <c r="N51" s="2431"/>
      <c r="O51" s="135"/>
    </row>
    <row r="52" spans="1:21" ht="16.5" customHeight="1" x14ac:dyDescent="0.2">
      <c r="A52" s="2757"/>
      <c r="B52" s="2727"/>
      <c r="C52" s="2709"/>
      <c r="D52" s="2734"/>
      <c r="E52" s="2698"/>
      <c r="F52" s="2766"/>
      <c r="G52" s="915" t="s">
        <v>77</v>
      </c>
      <c r="H52" s="1515"/>
      <c r="I52" s="2353"/>
      <c r="J52" s="2584"/>
      <c r="K52" s="2585"/>
      <c r="L52" s="2939"/>
      <c r="M52" s="2431"/>
      <c r="N52" s="2431"/>
      <c r="O52" s="135"/>
    </row>
    <row r="53" spans="1:21" ht="18.75" customHeight="1" x14ac:dyDescent="0.2">
      <c r="A53" s="2757"/>
      <c r="B53" s="2727"/>
      <c r="C53" s="2709"/>
      <c r="D53" s="2764"/>
      <c r="E53" s="2765"/>
      <c r="F53" s="2767"/>
      <c r="G53" s="1815" t="s">
        <v>74</v>
      </c>
      <c r="H53" s="1508"/>
      <c r="I53" s="2354"/>
      <c r="J53" s="2507"/>
      <c r="K53" s="2551"/>
      <c r="L53" s="2940"/>
      <c r="M53" s="2432"/>
      <c r="N53" s="2432"/>
      <c r="O53" s="137"/>
    </row>
    <row r="54" spans="1:21" x14ac:dyDescent="0.2">
      <c r="A54" s="2757"/>
      <c r="B54" s="2727"/>
      <c r="C54" s="2709"/>
      <c r="D54" s="2697" t="s">
        <v>106</v>
      </c>
      <c r="E54" s="2698" t="s">
        <v>79</v>
      </c>
      <c r="F54" s="2766" t="s">
        <v>72</v>
      </c>
      <c r="G54" s="920" t="s">
        <v>392</v>
      </c>
      <c r="H54" s="1507"/>
      <c r="I54" s="2352"/>
      <c r="J54" s="2586"/>
      <c r="K54" s="2587"/>
      <c r="L54" s="2717"/>
      <c r="M54" s="134"/>
      <c r="N54" s="134"/>
      <c r="O54" s="135"/>
    </row>
    <row r="55" spans="1:21" x14ac:dyDescent="0.2">
      <c r="A55" s="2757"/>
      <c r="B55" s="2727"/>
      <c r="C55" s="2709"/>
      <c r="D55" s="2697"/>
      <c r="E55" s="2698"/>
      <c r="F55" s="2766"/>
      <c r="G55" s="916" t="s">
        <v>75</v>
      </c>
      <c r="H55" s="1514"/>
      <c r="I55" s="2356"/>
      <c r="J55" s="2510"/>
      <c r="K55" s="2555"/>
      <c r="L55" s="2717"/>
      <c r="M55" s="1447"/>
      <c r="N55" s="1447"/>
      <c r="O55" s="1496"/>
      <c r="Q55" s="1730"/>
    </row>
    <row r="56" spans="1:21" x14ac:dyDescent="0.2">
      <c r="A56" s="2757"/>
      <c r="B56" s="2727"/>
      <c r="C56" s="2709"/>
      <c r="D56" s="2703" t="s">
        <v>272</v>
      </c>
      <c r="E56" s="2306" t="s">
        <v>79</v>
      </c>
      <c r="F56" s="2335" t="s">
        <v>72</v>
      </c>
      <c r="G56" s="917" t="s">
        <v>42</v>
      </c>
      <c r="H56" s="1506"/>
      <c r="I56" s="2355"/>
      <c r="J56" s="2588"/>
      <c r="K56" s="2589"/>
      <c r="L56" s="2796"/>
      <c r="M56" s="110"/>
      <c r="N56" s="110"/>
      <c r="O56" s="138"/>
    </row>
    <row r="57" spans="1:21" x14ac:dyDescent="0.2">
      <c r="A57" s="2757"/>
      <c r="B57" s="2727"/>
      <c r="C57" s="2709"/>
      <c r="D57" s="2704"/>
      <c r="E57" s="877"/>
      <c r="F57" s="878"/>
      <c r="G57" s="918" t="s">
        <v>392</v>
      </c>
      <c r="H57" s="1516"/>
      <c r="I57" s="2360"/>
      <c r="J57" s="2590"/>
      <c r="K57" s="2591"/>
      <c r="L57" s="2717"/>
      <c r="M57" s="1447"/>
      <c r="N57" s="1447"/>
      <c r="O57" s="1496"/>
      <c r="Q57" s="14"/>
    </row>
    <row r="58" spans="1:21" ht="13.5" thickBot="1" x14ac:dyDescent="0.25">
      <c r="A58" s="2317"/>
      <c r="B58" s="2293"/>
      <c r="C58" s="2328"/>
      <c r="D58" s="2934"/>
      <c r="E58" s="1816"/>
      <c r="F58" s="2298"/>
      <c r="G58" s="876" t="s">
        <v>9</v>
      </c>
      <c r="H58" s="1510">
        <f>SUM(H46:H57)</f>
        <v>86541</v>
      </c>
      <c r="I58" s="2363">
        <f>SUM(I46:I57)</f>
        <v>86550</v>
      </c>
      <c r="J58" s="2513">
        <f>SUM(J46:J57)</f>
        <v>9</v>
      </c>
      <c r="K58" s="2559"/>
      <c r="L58" s="537"/>
      <c r="M58" s="1010"/>
      <c r="N58" s="1010"/>
      <c r="O58" s="1817"/>
    </row>
    <row r="59" spans="1:21" ht="27" customHeight="1" x14ac:dyDescent="0.2">
      <c r="A59" s="2316" t="s">
        <v>8</v>
      </c>
      <c r="B59" s="2318" t="s">
        <v>8</v>
      </c>
      <c r="C59" s="2295" t="s">
        <v>50</v>
      </c>
      <c r="D59" s="179" t="s">
        <v>85</v>
      </c>
      <c r="E59" s="1818" t="s">
        <v>204</v>
      </c>
      <c r="F59" s="181"/>
      <c r="G59" s="231"/>
      <c r="H59" s="1499"/>
      <c r="I59" s="2361"/>
      <c r="J59" s="2514"/>
      <c r="K59" s="2560"/>
      <c r="L59" s="685"/>
      <c r="M59" s="686"/>
      <c r="N59" s="686"/>
      <c r="O59" s="687"/>
      <c r="P59" s="15"/>
      <c r="Q59" s="14"/>
    </row>
    <row r="60" spans="1:21" ht="18" customHeight="1" x14ac:dyDescent="0.2">
      <c r="A60" s="2315"/>
      <c r="B60" s="2288"/>
      <c r="C60" s="2289"/>
      <c r="D60" s="2702" t="s">
        <v>107</v>
      </c>
      <c r="E60" s="2716" t="s">
        <v>79</v>
      </c>
      <c r="F60" s="2708" t="s">
        <v>72</v>
      </c>
      <c r="G60" s="2594" t="s">
        <v>58</v>
      </c>
      <c r="H60" s="1506">
        <f>340/3.4528*1000</f>
        <v>98471</v>
      </c>
      <c r="I60" s="2355">
        <f>98471-98471</f>
        <v>0</v>
      </c>
      <c r="J60" s="2536">
        <f>I60-H60</f>
        <v>-98471</v>
      </c>
      <c r="K60" s="2587"/>
      <c r="L60" s="2717"/>
      <c r="M60" s="77"/>
      <c r="N60" s="1447"/>
      <c r="O60" s="1496"/>
      <c r="P60" s="15"/>
      <c r="Q60" s="14"/>
    </row>
    <row r="61" spans="1:21" ht="28.5" customHeight="1" x14ac:dyDescent="0.2">
      <c r="A61" s="2315"/>
      <c r="B61" s="2288"/>
      <c r="C61" s="2289"/>
      <c r="D61" s="2702"/>
      <c r="E61" s="2716"/>
      <c r="F61" s="2708"/>
      <c r="G61" s="232" t="s">
        <v>392</v>
      </c>
      <c r="H61" s="1508"/>
      <c r="I61" s="2354">
        <v>74849</v>
      </c>
      <c r="J61" s="2597">
        <f>I61-H61</f>
        <v>74849</v>
      </c>
      <c r="K61" s="2598">
        <v>23622</v>
      </c>
      <c r="L61" s="2717"/>
      <c r="M61" s="1447"/>
      <c r="N61" s="1447"/>
      <c r="O61" s="1496"/>
      <c r="P61" s="2426"/>
      <c r="Q61" s="2425"/>
      <c r="U61" s="1731"/>
    </row>
    <row r="62" spans="1:21" ht="18" customHeight="1" x14ac:dyDescent="0.2">
      <c r="A62" s="2757"/>
      <c r="B62" s="2727"/>
      <c r="C62" s="2709"/>
      <c r="D62" s="2703" t="s">
        <v>273</v>
      </c>
      <c r="E62" s="2694" t="s">
        <v>79</v>
      </c>
      <c r="F62" s="2710" t="s">
        <v>72</v>
      </c>
      <c r="G62" s="802" t="s">
        <v>392</v>
      </c>
      <c r="H62" s="1506">
        <f>100/3.4528*1000</f>
        <v>28962</v>
      </c>
      <c r="I62" s="2355">
        <f>28962-22620</f>
        <v>6342</v>
      </c>
      <c r="J62" s="2599">
        <f>I62-H62</f>
        <v>-22620</v>
      </c>
      <c r="K62" s="2600">
        <v>22620</v>
      </c>
      <c r="L62" s="763"/>
      <c r="M62" s="806"/>
      <c r="N62" s="806"/>
      <c r="O62" s="807"/>
      <c r="P62" s="2425"/>
      <c r="Q62" s="2425"/>
    </row>
    <row r="63" spans="1:21" ht="27" customHeight="1" x14ac:dyDescent="0.2">
      <c r="A63" s="2757"/>
      <c r="B63" s="2727"/>
      <c r="C63" s="2709"/>
      <c r="D63" s="2704"/>
      <c r="E63" s="2695"/>
      <c r="F63" s="2711"/>
      <c r="G63" s="916" t="s">
        <v>42</v>
      </c>
      <c r="H63" s="1514"/>
      <c r="I63" s="2356"/>
      <c r="J63" s="2515"/>
      <c r="K63" s="2561"/>
      <c r="L63" s="2307"/>
      <c r="M63" s="134"/>
      <c r="N63" s="134"/>
      <c r="O63" s="776"/>
    </row>
    <row r="64" spans="1:21" ht="12.75" customHeight="1" x14ac:dyDescent="0.2">
      <c r="A64" s="2757"/>
      <c r="B64" s="2727"/>
      <c r="C64" s="2709"/>
      <c r="D64" s="2703" t="s">
        <v>212</v>
      </c>
      <c r="E64" s="2694" t="s">
        <v>79</v>
      </c>
      <c r="F64" s="2710" t="s">
        <v>72</v>
      </c>
      <c r="G64" s="802" t="s">
        <v>392</v>
      </c>
      <c r="H64" s="1506">
        <f>88/3.4528*1000</f>
        <v>25487</v>
      </c>
      <c r="I64" s="2355">
        <f>88/3.4528*1000</f>
        <v>25487</v>
      </c>
      <c r="J64" s="2570"/>
      <c r="K64" s="2571"/>
      <c r="L64" s="2690"/>
      <c r="M64" s="110"/>
      <c r="N64" s="110"/>
      <c r="O64" s="138"/>
    </row>
    <row r="65" spans="1:19" ht="12.75" customHeight="1" x14ac:dyDescent="0.2">
      <c r="A65" s="2757"/>
      <c r="B65" s="2727"/>
      <c r="C65" s="2709"/>
      <c r="D65" s="2704"/>
      <c r="E65" s="2695"/>
      <c r="F65" s="2711"/>
      <c r="G65" s="918" t="s">
        <v>75</v>
      </c>
      <c r="H65" s="1516"/>
      <c r="I65" s="2360"/>
      <c r="J65" s="2553"/>
      <c r="K65" s="2595"/>
      <c r="L65" s="2692"/>
      <c r="M65" s="134"/>
      <c r="N65" s="134"/>
      <c r="O65" s="135"/>
    </row>
    <row r="66" spans="1:19" ht="15.75" customHeight="1" thickBot="1" x14ac:dyDescent="0.25">
      <c r="A66" s="2757"/>
      <c r="B66" s="2727"/>
      <c r="C66" s="2709"/>
      <c r="D66" s="2705"/>
      <c r="E66" s="2696"/>
      <c r="F66" s="2715"/>
      <c r="G66" s="876" t="s">
        <v>9</v>
      </c>
      <c r="H66" s="1518">
        <f>SUM(H59:H65)</f>
        <v>152920</v>
      </c>
      <c r="I66" s="2364">
        <f>SUM(I59:I65)</f>
        <v>106678</v>
      </c>
      <c r="J66" s="2562">
        <f t="shared" ref="J66:K66" si="0">SUM(J59:J65)</f>
        <v>-46242</v>
      </c>
      <c r="K66" s="2562">
        <f t="shared" si="0"/>
        <v>46242</v>
      </c>
      <c r="L66" s="2693"/>
      <c r="M66" s="136"/>
      <c r="N66" s="803"/>
      <c r="O66" s="804"/>
    </row>
    <row r="67" spans="1:19" ht="30" customHeight="1" x14ac:dyDescent="0.2">
      <c r="A67" s="2316" t="s">
        <v>8</v>
      </c>
      <c r="B67" s="2318" t="s">
        <v>8</v>
      </c>
      <c r="C67" s="2295" t="s">
        <v>52</v>
      </c>
      <c r="D67" s="133" t="s">
        <v>274</v>
      </c>
      <c r="E67" s="1818" t="s">
        <v>192</v>
      </c>
      <c r="F67" s="1172"/>
      <c r="G67" s="684"/>
      <c r="H67" s="1517"/>
      <c r="I67" s="2362"/>
      <c r="J67" s="2504"/>
      <c r="K67" s="2548"/>
      <c r="L67" s="16"/>
      <c r="M67" s="81"/>
      <c r="N67" s="81"/>
      <c r="O67" s="2492"/>
      <c r="S67" s="934"/>
    </row>
    <row r="68" spans="1:19" ht="12.75" customHeight="1" x14ac:dyDescent="0.2">
      <c r="A68" s="2315"/>
      <c r="B68" s="2288"/>
      <c r="C68" s="2289"/>
      <c r="D68" s="2703" t="s">
        <v>275</v>
      </c>
      <c r="E68" s="128" t="s">
        <v>79</v>
      </c>
      <c r="F68" s="710" t="s">
        <v>72</v>
      </c>
      <c r="G68" s="305" t="s">
        <v>392</v>
      </c>
      <c r="H68" s="2351">
        <f>50/3.4528*1000</f>
        <v>14481</v>
      </c>
      <c r="I68" s="1476">
        <f>14481-10000</f>
        <v>4481</v>
      </c>
      <c r="J68" s="2604">
        <f>I68-H68</f>
        <v>-10000</v>
      </c>
      <c r="K68" s="2605">
        <v>10000</v>
      </c>
      <c r="L68" s="2796"/>
      <c r="M68" s="111"/>
      <c r="N68" s="77"/>
      <c r="O68" s="78"/>
      <c r="P68" s="2425"/>
      <c r="Q68" s="2425"/>
    </row>
    <row r="69" spans="1:19" x14ac:dyDescent="0.2">
      <c r="A69" s="2315"/>
      <c r="B69" s="2288"/>
      <c r="C69" s="2289"/>
      <c r="D69" s="2704"/>
      <c r="E69" s="2778"/>
      <c r="F69" s="982"/>
      <c r="G69" s="721" t="s">
        <v>74</v>
      </c>
      <c r="H69" s="1515"/>
      <c r="I69" s="2353"/>
      <c r="J69" s="2544"/>
      <c r="K69" s="2603"/>
      <c r="L69" s="2717"/>
      <c r="M69" s="202"/>
      <c r="N69" s="45"/>
      <c r="O69" s="46"/>
    </row>
    <row r="70" spans="1:19" ht="14.25" customHeight="1" x14ac:dyDescent="0.2">
      <c r="A70" s="2315"/>
      <c r="B70" s="2288"/>
      <c r="C70" s="2289"/>
      <c r="D70" s="2780"/>
      <c r="E70" s="2779"/>
      <c r="F70" s="961"/>
      <c r="G70" s="40" t="s">
        <v>77</v>
      </c>
      <c r="H70" s="1508"/>
      <c r="I70" s="2354"/>
      <c r="J70" s="1321"/>
      <c r="K70" s="2539"/>
      <c r="L70" s="2938"/>
      <c r="M70" s="63"/>
      <c r="N70" s="63"/>
      <c r="O70" s="64"/>
    </row>
    <row r="71" spans="1:19" ht="19.5" customHeight="1" x14ac:dyDescent="0.2">
      <c r="A71" s="2757"/>
      <c r="B71" s="2727"/>
      <c r="C71" s="2709"/>
      <c r="D71" s="2703" t="s">
        <v>276</v>
      </c>
      <c r="E71" s="128" t="s">
        <v>79</v>
      </c>
      <c r="F71" s="2710" t="s">
        <v>72</v>
      </c>
      <c r="G71" s="512" t="s">
        <v>108</v>
      </c>
      <c r="H71" s="1506">
        <v>5257</v>
      </c>
      <c r="I71" s="2355">
        <v>5257</v>
      </c>
      <c r="J71" s="1329"/>
      <c r="K71" s="2542"/>
      <c r="L71" s="2692"/>
      <c r="M71" s="1447"/>
      <c r="N71" s="1447"/>
      <c r="O71" s="1496"/>
      <c r="Q71" s="14"/>
    </row>
    <row r="72" spans="1:19" ht="22.5" customHeight="1" x14ac:dyDescent="0.2">
      <c r="A72" s="2757"/>
      <c r="B72" s="2727"/>
      <c r="C72" s="2709"/>
      <c r="D72" s="2844"/>
      <c r="E72" s="2714"/>
      <c r="F72" s="2711"/>
      <c r="G72" s="836" t="s">
        <v>75</v>
      </c>
      <c r="H72" s="1507">
        <f>32.2/3.4528*1000</f>
        <v>9326</v>
      </c>
      <c r="I72" s="2352">
        <f>32.2/3.4528*1000</f>
        <v>9326</v>
      </c>
      <c r="J72" s="1748"/>
      <c r="K72" s="2609"/>
      <c r="L72" s="2763"/>
      <c r="M72" s="1447"/>
      <c r="N72" s="1447"/>
      <c r="O72" s="1496"/>
      <c r="Q72" s="14"/>
    </row>
    <row r="73" spans="1:19" ht="54.75" customHeight="1" x14ac:dyDescent="0.2">
      <c r="A73" s="2757"/>
      <c r="B73" s="2727"/>
      <c r="C73" s="2709"/>
      <c r="D73" s="1451" t="s">
        <v>380</v>
      </c>
      <c r="E73" s="2714"/>
      <c r="F73" s="2711"/>
      <c r="G73" s="676" t="s">
        <v>392</v>
      </c>
      <c r="H73" s="1515">
        <f>50/3.4528*1000</f>
        <v>14481</v>
      </c>
      <c r="I73" s="2353">
        <f>14481-10000</f>
        <v>4481</v>
      </c>
      <c r="J73" s="2608">
        <f>I73-H73</f>
        <v>-10000</v>
      </c>
      <c r="K73" s="2610">
        <v>10000</v>
      </c>
      <c r="L73" s="735"/>
      <c r="M73" s="888"/>
      <c r="N73" s="888"/>
      <c r="O73" s="889"/>
      <c r="P73" s="2425"/>
      <c r="Q73" s="2425"/>
    </row>
    <row r="74" spans="1:19" ht="27" customHeight="1" x14ac:dyDescent="0.2">
      <c r="A74" s="2315"/>
      <c r="B74" s="2288"/>
      <c r="C74" s="2289"/>
      <c r="D74" s="1184" t="s">
        <v>307</v>
      </c>
      <c r="E74" s="1432"/>
      <c r="F74" s="2314"/>
      <c r="G74" s="246" t="s">
        <v>392</v>
      </c>
      <c r="H74" s="1508">
        <f>472.1/3.4528*1000</f>
        <v>136730</v>
      </c>
      <c r="I74" s="2354">
        <f>472.1/3.4528*1000</f>
        <v>136730</v>
      </c>
      <c r="J74" s="2507"/>
      <c r="K74" s="2551"/>
      <c r="L74" s="2455"/>
      <c r="M74" s="364"/>
      <c r="N74" s="1447"/>
      <c r="O74" s="1496"/>
      <c r="Q74" s="14"/>
    </row>
    <row r="75" spans="1:19" ht="17.25" customHeight="1" x14ac:dyDescent="0.2">
      <c r="A75" s="2315"/>
      <c r="B75" s="2288"/>
      <c r="C75" s="2289"/>
      <c r="D75" s="2325" t="s">
        <v>257</v>
      </c>
      <c r="E75" s="2312"/>
      <c r="F75" s="982" t="s">
        <v>57</v>
      </c>
      <c r="G75" s="552" t="s">
        <v>42</v>
      </c>
      <c r="H75" s="1509">
        <f>10/3.4528*1000</f>
        <v>2896</v>
      </c>
      <c r="I75" s="2357">
        <f>10/3.4528*1000</f>
        <v>2896</v>
      </c>
      <c r="J75" s="2557"/>
      <c r="K75" s="2611"/>
      <c r="L75" s="2479"/>
      <c r="M75" s="586"/>
      <c r="N75" s="586"/>
      <c r="O75" s="587"/>
      <c r="Q75" s="14"/>
    </row>
    <row r="76" spans="1:19" ht="15.75" customHeight="1" thickBot="1" x14ac:dyDescent="0.25">
      <c r="A76" s="2317"/>
      <c r="B76" s="2293"/>
      <c r="C76" s="2294"/>
      <c r="D76" s="1170"/>
      <c r="E76" s="1002"/>
      <c r="F76" s="944"/>
      <c r="G76" s="1173" t="s">
        <v>9</v>
      </c>
      <c r="H76" s="1510">
        <f>SUM(H67:H75)</f>
        <v>183171</v>
      </c>
      <c r="I76" s="2363">
        <f>SUM(I67:I75)</f>
        <v>163171</v>
      </c>
      <c r="J76" s="2513">
        <f>SUM(J67:J73)</f>
        <v>-20000</v>
      </c>
      <c r="K76" s="2612">
        <f>SUM(K67:K73)</f>
        <v>20000</v>
      </c>
      <c r="L76" s="2477"/>
      <c r="M76" s="1010"/>
      <c r="N76" s="56"/>
      <c r="O76" s="57"/>
    </row>
    <row r="77" spans="1:19" ht="25.5" customHeight="1" x14ac:dyDescent="0.2">
      <c r="A77" s="2316" t="s">
        <v>8</v>
      </c>
      <c r="B77" s="2318" t="s">
        <v>8</v>
      </c>
      <c r="C77" s="2295" t="s">
        <v>54</v>
      </c>
      <c r="D77" s="133" t="s">
        <v>127</v>
      </c>
      <c r="E77" s="1818" t="s">
        <v>206</v>
      </c>
      <c r="F77" s="622"/>
      <c r="G77" s="1553"/>
      <c r="H77" s="1499"/>
      <c r="I77" s="2361"/>
      <c r="J77" s="2556"/>
      <c r="K77" s="2613"/>
      <c r="L77" s="16"/>
      <c r="M77" s="81"/>
      <c r="N77" s="81"/>
      <c r="O77" s="2344"/>
    </row>
    <row r="78" spans="1:19" ht="18.75" customHeight="1" x14ac:dyDescent="0.2">
      <c r="A78" s="2757"/>
      <c r="B78" s="2727"/>
      <c r="C78" s="2709"/>
      <c r="D78" s="2703" t="s">
        <v>278</v>
      </c>
      <c r="E78" s="2301" t="s">
        <v>79</v>
      </c>
      <c r="F78" s="2711" t="s">
        <v>72</v>
      </c>
      <c r="G78" s="802" t="s">
        <v>77</v>
      </c>
      <c r="H78" s="1506">
        <f>(217.8+ 199.4)/3.4528*1000</f>
        <v>120829</v>
      </c>
      <c r="I78" s="2355">
        <f>(217.8+ 199.4)/3.4528*1000</f>
        <v>120829</v>
      </c>
      <c r="J78" s="1333"/>
      <c r="K78" s="2542"/>
      <c r="L78" s="2690"/>
      <c r="M78" s="2773"/>
      <c r="N78" s="77"/>
      <c r="O78" s="78"/>
      <c r="P78" s="60"/>
      <c r="Q78" s="775"/>
    </row>
    <row r="79" spans="1:19" ht="18.75" customHeight="1" x14ac:dyDescent="0.2">
      <c r="A79" s="2757"/>
      <c r="B79" s="2727"/>
      <c r="C79" s="2709"/>
      <c r="D79" s="2704"/>
      <c r="E79" s="2302"/>
      <c r="F79" s="2711"/>
      <c r="G79" s="1744" t="s">
        <v>80</v>
      </c>
      <c r="H79" s="1515">
        <v>23199</v>
      </c>
      <c r="I79" s="2353">
        <v>23199</v>
      </c>
      <c r="J79" s="2544"/>
      <c r="K79" s="2603"/>
      <c r="L79" s="2692"/>
      <c r="M79" s="2774"/>
      <c r="N79" s="45"/>
      <c r="O79" s="46"/>
      <c r="Q79" s="775"/>
    </row>
    <row r="80" spans="1:19" ht="20.25" customHeight="1" x14ac:dyDescent="0.2">
      <c r="A80" s="2757"/>
      <c r="B80" s="2727"/>
      <c r="C80" s="2709"/>
      <c r="D80" s="2704"/>
      <c r="E80" s="926"/>
      <c r="F80" s="2711"/>
      <c r="G80" s="919" t="s">
        <v>75</v>
      </c>
      <c r="H80" s="1508">
        <v>191149</v>
      </c>
      <c r="I80" s="2354">
        <v>191149</v>
      </c>
      <c r="J80" s="1392"/>
      <c r="K80" s="2547"/>
      <c r="L80" s="2691"/>
      <c r="M80" s="2775"/>
      <c r="N80" s="63"/>
      <c r="O80" s="64"/>
    </row>
    <row r="81" spans="1:19" ht="21" customHeight="1" x14ac:dyDescent="0.2">
      <c r="A81" s="2757"/>
      <c r="B81" s="2727"/>
      <c r="C81" s="2709"/>
      <c r="D81" s="2703" t="s">
        <v>319</v>
      </c>
      <c r="E81" s="2706" t="s">
        <v>79</v>
      </c>
      <c r="F81" s="2710" t="s">
        <v>72</v>
      </c>
      <c r="G81" s="920" t="s">
        <v>74</v>
      </c>
      <c r="H81" s="1507">
        <f>6842.4/3.4528*1000</f>
        <v>1981696</v>
      </c>
      <c r="I81" s="2352">
        <f>6842.4/3.4528*1000</f>
        <v>1981696</v>
      </c>
      <c r="J81" s="2541"/>
      <c r="K81" s="2569"/>
      <c r="L81" s="2784"/>
      <c r="M81" s="753"/>
      <c r="N81" s="202"/>
      <c r="O81" s="113"/>
    </row>
    <row r="82" spans="1:19" ht="30.75" customHeight="1" x14ac:dyDescent="0.2">
      <c r="A82" s="2757"/>
      <c r="B82" s="2727"/>
      <c r="C82" s="2709"/>
      <c r="D82" s="2705"/>
      <c r="E82" s="2707"/>
      <c r="F82" s="2715"/>
      <c r="G82" s="919" t="s">
        <v>80</v>
      </c>
      <c r="H82" s="1508">
        <f>1701.8/3.4528*1000</f>
        <v>492875</v>
      </c>
      <c r="I82" s="2354">
        <f>1701.8/3.4528*1000</f>
        <v>492875</v>
      </c>
      <c r="J82" s="1392"/>
      <c r="K82" s="2547"/>
      <c r="L82" s="2937"/>
      <c r="M82" s="132"/>
      <c r="N82" s="112"/>
      <c r="O82" s="64"/>
    </row>
    <row r="83" spans="1:19" ht="21.75" customHeight="1" x14ac:dyDescent="0.2">
      <c r="A83" s="2315"/>
      <c r="B83" s="2288"/>
      <c r="C83" s="2097"/>
      <c r="D83" s="2760" t="s">
        <v>154</v>
      </c>
      <c r="E83" s="2300" t="s">
        <v>79</v>
      </c>
      <c r="F83" s="2311" t="s">
        <v>72</v>
      </c>
      <c r="G83" s="914" t="s">
        <v>80</v>
      </c>
      <c r="H83" s="1514"/>
      <c r="I83" s="2357"/>
      <c r="J83" s="2614"/>
      <c r="K83" s="2615"/>
      <c r="L83" s="2796"/>
      <c r="M83" s="134"/>
      <c r="N83" s="774"/>
      <c r="O83" s="1131"/>
    </row>
    <row r="84" spans="1:19" ht="19.5" customHeight="1" thickBot="1" x14ac:dyDescent="0.25">
      <c r="A84" s="2315"/>
      <c r="B84" s="2288"/>
      <c r="C84" s="2097"/>
      <c r="D84" s="2762"/>
      <c r="E84" s="2322"/>
      <c r="F84" s="2314"/>
      <c r="G84" s="876" t="s">
        <v>9</v>
      </c>
      <c r="H84" s="1503">
        <f>SUM(H77:H83)</f>
        <v>2809748</v>
      </c>
      <c r="I84" s="2363">
        <f>SUM(I77:I83)</f>
        <v>2809748</v>
      </c>
      <c r="J84" s="1216">
        <f>SUM(J77:J83)</f>
        <v>0</v>
      </c>
      <c r="K84" s="2563"/>
      <c r="L84" s="2723"/>
      <c r="M84" s="880"/>
      <c r="N84" s="881"/>
      <c r="O84" s="882"/>
    </row>
    <row r="85" spans="1:19" s="73" customFormat="1" ht="22.5" customHeight="1" x14ac:dyDescent="0.2">
      <c r="A85" s="2755" t="s">
        <v>8</v>
      </c>
      <c r="B85" s="2847" t="s">
        <v>8</v>
      </c>
      <c r="C85" s="2854" t="s">
        <v>55</v>
      </c>
      <c r="D85" s="2857" t="s">
        <v>144</v>
      </c>
      <c r="E85" s="2781"/>
      <c r="F85" s="2738" t="s">
        <v>72</v>
      </c>
      <c r="G85" s="921" t="s">
        <v>42</v>
      </c>
      <c r="H85" s="1519">
        <f>10/3.4528*1000</f>
        <v>2896</v>
      </c>
      <c r="I85" s="2365">
        <f>10/3.4528*1000</f>
        <v>2896</v>
      </c>
      <c r="J85" s="2537"/>
      <c r="K85" s="2564"/>
      <c r="L85" s="2862"/>
      <c r="M85" s="71"/>
      <c r="N85" s="71"/>
      <c r="O85" s="72"/>
    </row>
    <row r="86" spans="1:19" ht="14.25" customHeight="1" x14ac:dyDescent="0.2">
      <c r="A86" s="2757"/>
      <c r="B86" s="2727"/>
      <c r="C86" s="2855"/>
      <c r="D86" s="2704"/>
      <c r="E86" s="2782"/>
      <c r="F86" s="2711"/>
      <c r="G86" s="919"/>
      <c r="H86" s="1514"/>
      <c r="I86" s="2356"/>
      <c r="J86" s="2539"/>
      <c r="K86" s="2616"/>
      <c r="L86" s="2862"/>
      <c r="M86" s="45"/>
      <c r="N86" s="45"/>
      <c r="O86" s="46"/>
      <c r="P86" s="60"/>
    </row>
    <row r="87" spans="1:19" ht="13.5" thickBot="1" x14ac:dyDescent="0.25">
      <c r="A87" s="2756"/>
      <c r="B87" s="2728"/>
      <c r="C87" s="2856"/>
      <c r="D87" s="2858"/>
      <c r="E87" s="2783"/>
      <c r="F87" s="2739"/>
      <c r="G87" s="922" t="s">
        <v>9</v>
      </c>
      <c r="H87" s="1503">
        <f>SUM(H85:H86)</f>
        <v>2896</v>
      </c>
      <c r="I87" s="2358">
        <f>SUM(I85:I86)</f>
        <v>2896</v>
      </c>
      <c r="J87" s="1216">
        <f>SUM(J85:J86)</f>
        <v>0</v>
      </c>
      <c r="K87" s="2563"/>
      <c r="L87" s="18"/>
      <c r="M87" s="56"/>
      <c r="N87" s="56"/>
      <c r="O87" s="57"/>
    </row>
    <row r="88" spans="1:19" ht="13.5" thickBot="1" x14ac:dyDescent="0.25">
      <c r="A88" s="382" t="s">
        <v>8</v>
      </c>
      <c r="B88" s="11" t="s">
        <v>8</v>
      </c>
      <c r="C88" s="2730" t="s">
        <v>11</v>
      </c>
      <c r="D88" s="2730"/>
      <c r="E88" s="2730"/>
      <c r="F88" s="2730"/>
      <c r="G88" s="2730"/>
      <c r="H88" s="1520">
        <f>H87+H84+H76+H58+H45+H30+H66</f>
        <v>4189281</v>
      </c>
      <c r="I88" s="2366">
        <f>I87+I84+I76+I58+I45+I30+I66</f>
        <v>4117265</v>
      </c>
      <c r="J88" s="2688">
        <f>J87+J84+J76+J58+J45+J30+J66</f>
        <v>-72016</v>
      </c>
      <c r="K88" s="2689">
        <f>K87+K84+K76+K58+K45+K30+K66</f>
        <v>72028</v>
      </c>
      <c r="L88" s="2310"/>
      <c r="M88" s="58"/>
      <c r="N88" s="58"/>
      <c r="O88" s="59"/>
      <c r="P88" s="1731"/>
    </row>
    <row r="89" spans="1:19" ht="13.5" thickBot="1" x14ac:dyDescent="0.25">
      <c r="A89" s="382" t="s">
        <v>8</v>
      </c>
      <c r="B89" s="11" t="s">
        <v>10</v>
      </c>
      <c r="C89" s="2770" t="s">
        <v>49</v>
      </c>
      <c r="D89" s="2770"/>
      <c r="E89" s="2770"/>
      <c r="F89" s="2770"/>
      <c r="G89" s="2770"/>
      <c r="H89" s="2771"/>
      <c r="I89" s="2770"/>
      <c r="J89" s="2770"/>
      <c r="K89" s="2770"/>
      <c r="L89" s="2770"/>
      <c r="M89" s="2770"/>
      <c r="N89" s="2770"/>
      <c r="O89" s="2772"/>
    </row>
    <row r="90" spans="1:19" x14ac:dyDescent="0.2">
      <c r="A90" s="2316" t="s">
        <v>8</v>
      </c>
      <c r="B90" s="2318" t="s">
        <v>10</v>
      </c>
      <c r="C90" s="2295" t="s">
        <v>8</v>
      </c>
      <c r="D90" s="2791" t="s">
        <v>99</v>
      </c>
      <c r="E90" s="2842" t="s">
        <v>263</v>
      </c>
      <c r="F90" s="2296"/>
      <c r="G90" s="241" t="s">
        <v>42</v>
      </c>
      <c r="H90" s="2202">
        <f>17326.9/3.4528*1000</f>
        <v>5018217</v>
      </c>
      <c r="I90" s="2367">
        <f>17326.9/3.4528*1000</f>
        <v>5018217</v>
      </c>
      <c r="J90" s="2622"/>
      <c r="K90" s="2623"/>
      <c r="L90" s="86"/>
      <c r="M90" s="87"/>
      <c r="N90" s="131"/>
      <c r="O90" s="115"/>
      <c r="Q90" s="14"/>
    </row>
    <row r="91" spans="1:19" x14ac:dyDescent="0.2">
      <c r="A91" s="2315"/>
      <c r="B91" s="2288"/>
      <c r="C91" s="2289"/>
      <c r="D91" s="2744"/>
      <c r="E91" s="2843"/>
      <c r="F91" s="2297"/>
      <c r="G91" s="240" t="s">
        <v>122</v>
      </c>
      <c r="H91" s="1509">
        <f>500/3.4528*1000</f>
        <v>144810</v>
      </c>
      <c r="I91" s="2357">
        <f>500/3.4528*1000</f>
        <v>144810</v>
      </c>
      <c r="J91" s="2621"/>
      <c r="K91" s="2620"/>
      <c r="L91" s="60"/>
      <c r="M91" s="100"/>
      <c r="N91" s="6"/>
      <c r="O91" s="101"/>
      <c r="Q91" s="14"/>
    </row>
    <row r="92" spans="1:19" x14ac:dyDescent="0.2">
      <c r="A92" s="2315"/>
      <c r="B92" s="2288"/>
      <c r="C92" s="2289"/>
      <c r="D92" s="2792"/>
      <c r="E92" s="2843"/>
      <c r="F92" s="2314"/>
      <c r="G92" s="242" t="s">
        <v>108</v>
      </c>
      <c r="H92" s="1508">
        <v>3717</v>
      </c>
      <c r="I92" s="2354">
        <v>3717</v>
      </c>
      <c r="J92" s="2619"/>
      <c r="K92" s="2624"/>
      <c r="L92" s="60"/>
      <c r="M92" s="100"/>
      <c r="N92" s="6"/>
      <c r="O92" s="101"/>
      <c r="Q92" s="14"/>
    </row>
    <row r="93" spans="1:19" ht="13.5" customHeight="1" x14ac:dyDescent="0.2">
      <c r="A93" s="2315"/>
      <c r="B93" s="2288"/>
      <c r="C93" s="2289"/>
      <c r="D93" s="1017" t="s">
        <v>87</v>
      </c>
      <c r="E93" s="2300"/>
      <c r="F93" s="2297"/>
      <c r="G93" s="884"/>
      <c r="H93" s="1514"/>
      <c r="I93" s="2356"/>
      <c r="J93" s="2625"/>
      <c r="K93" s="2626"/>
      <c r="L93" s="2627"/>
      <c r="M93" s="1014"/>
      <c r="N93" s="1015"/>
      <c r="O93" s="1016"/>
      <c r="Q93" s="14"/>
      <c r="S93" s="934"/>
    </row>
    <row r="94" spans="1:19" ht="27" customHeight="1" x14ac:dyDescent="0.2">
      <c r="A94" s="2315"/>
      <c r="B94" s="2288"/>
      <c r="C94" s="2289"/>
      <c r="D94" s="2290" t="s">
        <v>148</v>
      </c>
      <c r="E94" s="2300"/>
      <c r="F94" s="2297" t="s">
        <v>57</v>
      </c>
      <c r="G94" s="887"/>
      <c r="H94" s="1515"/>
      <c r="I94" s="2353"/>
      <c r="J94" s="1748"/>
      <c r="K94" s="2609"/>
      <c r="L94" s="1012"/>
      <c r="M94" s="526"/>
      <c r="N94" s="526"/>
      <c r="O94" s="527"/>
      <c r="Q94" s="14"/>
    </row>
    <row r="95" spans="1:19" x14ac:dyDescent="0.2">
      <c r="A95" s="2315"/>
      <c r="B95" s="2288"/>
      <c r="C95" s="2289"/>
      <c r="D95" s="894" t="s">
        <v>149</v>
      </c>
      <c r="E95" s="2300"/>
      <c r="F95" s="2297"/>
      <c r="G95" s="887"/>
      <c r="H95" s="1515"/>
      <c r="I95" s="2353"/>
      <c r="J95" s="1358"/>
      <c r="K95" s="2603"/>
      <c r="L95" s="735"/>
      <c r="M95" s="650"/>
      <c r="N95" s="650"/>
      <c r="O95" s="651"/>
      <c r="Q95" s="14"/>
    </row>
    <row r="96" spans="1:19" x14ac:dyDescent="0.2">
      <c r="A96" s="2315"/>
      <c r="B96" s="2288"/>
      <c r="C96" s="2289"/>
      <c r="D96" s="1457" t="s">
        <v>150</v>
      </c>
      <c r="E96" s="1458"/>
      <c r="F96" s="2332"/>
      <c r="G96" s="887"/>
      <c r="H96" s="1515"/>
      <c r="I96" s="2353"/>
      <c r="J96" s="1358"/>
      <c r="K96" s="2603"/>
      <c r="L96" s="735"/>
      <c r="M96" s="650"/>
      <c r="N96" s="650"/>
      <c r="O96" s="651"/>
      <c r="Q96" s="14"/>
    </row>
    <row r="97" spans="1:17" ht="27" customHeight="1" x14ac:dyDescent="0.2">
      <c r="A97" s="2315"/>
      <c r="B97" s="2288"/>
      <c r="C97" s="2289"/>
      <c r="D97" s="895" t="s">
        <v>68</v>
      </c>
      <c r="E97" s="2300"/>
      <c r="F97" s="2297" t="s">
        <v>57</v>
      </c>
      <c r="G97" s="884"/>
      <c r="H97" s="1507"/>
      <c r="I97" s="2352"/>
      <c r="J97" s="1748"/>
      <c r="K97" s="2609"/>
      <c r="L97" s="1012"/>
      <c r="M97" s="893"/>
      <c r="N97" s="524"/>
      <c r="O97" s="525"/>
      <c r="Q97" s="14"/>
    </row>
    <row r="98" spans="1:17" ht="51.75" customHeight="1" x14ac:dyDescent="0.2">
      <c r="A98" s="2315"/>
      <c r="B98" s="2288"/>
      <c r="C98" s="2289"/>
      <c r="D98" s="894" t="s">
        <v>279</v>
      </c>
      <c r="E98" s="1005"/>
      <c r="F98" s="1006" t="s">
        <v>57</v>
      </c>
      <c r="G98" s="676"/>
      <c r="H98" s="1515"/>
      <c r="I98" s="2353"/>
      <c r="J98" s="1358"/>
      <c r="K98" s="2603"/>
      <c r="L98" s="735"/>
      <c r="M98" s="650"/>
      <c r="N98" s="650"/>
      <c r="O98" s="651"/>
      <c r="Q98" s="14"/>
    </row>
    <row r="99" spans="1:17" ht="42" customHeight="1" x14ac:dyDescent="0.2">
      <c r="A99" s="2315"/>
      <c r="B99" s="2288"/>
      <c r="C99" s="2289"/>
      <c r="D99" s="894" t="s">
        <v>145</v>
      </c>
      <c r="E99" s="1005"/>
      <c r="F99" s="1006" t="s">
        <v>57</v>
      </c>
      <c r="G99" s="676"/>
      <c r="H99" s="1515"/>
      <c r="I99" s="2353"/>
      <c r="J99" s="1358"/>
      <c r="K99" s="2603"/>
      <c r="L99" s="1035"/>
      <c r="M99" s="888"/>
      <c r="N99" s="888"/>
      <c r="O99" s="889"/>
      <c r="Q99" s="14"/>
    </row>
    <row r="100" spans="1:17" ht="21.75" customHeight="1" x14ac:dyDescent="0.2">
      <c r="A100" s="2757"/>
      <c r="B100" s="2727"/>
      <c r="C100" s="2709"/>
      <c r="D100" s="2786" t="s">
        <v>69</v>
      </c>
      <c r="E100" s="2788" t="s">
        <v>136</v>
      </c>
      <c r="F100" s="2711" t="s">
        <v>57</v>
      </c>
      <c r="G100" s="592"/>
      <c r="H100" s="1516"/>
      <c r="I100" s="2360"/>
      <c r="J100" s="2629"/>
      <c r="K100" s="2578"/>
      <c r="L100" s="2717"/>
      <c r="M100" s="1447"/>
      <c r="N100" s="1447"/>
      <c r="O100" s="1496"/>
      <c r="Q100" s="14"/>
    </row>
    <row r="101" spans="1:17" ht="13.5" thickBot="1" x14ac:dyDescent="0.25">
      <c r="A101" s="2756"/>
      <c r="B101" s="2728"/>
      <c r="C101" s="2729"/>
      <c r="D101" s="2787"/>
      <c r="E101" s="2789"/>
      <c r="F101" s="2739"/>
      <c r="G101" s="2628" t="s">
        <v>9</v>
      </c>
      <c r="H101" s="1510">
        <f>SUM(H89:H100)</f>
        <v>5166744</v>
      </c>
      <c r="I101" s="2363">
        <f>SUM(I89:I100)</f>
        <v>5166744</v>
      </c>
      <c r="J101" s="1216">
        <f>SUM(J90:J100)</f>
        <v>0</v>
      </c>
      <c r="K101" s="2617"/>
      <c r="L101" s="2790"/>
      <c r="M101" s="248"/>
      <c r="N101" s="248"/>
      <c r="O101" s="249"/>
      <c r="Q101" s="14"/>
    </row>
    <row r="102" spans="1:17" ht="13.5" thickBot="1" x14ac:dyDescent="0.25">
      <c r="A102" s="383" t="s">
        <v>8</v>
      </c>
      <c r="B102" s="11" t="s">
        <v>10</v>
      </c>
      <c r="C102" s="2730" t="s">
        <v>11</v>
      </c>
      <c r="D102" s="2730"/>
      <c r="E102" s="2730"/>
      <c r="F102" s="2730"/>
      <c r="G102" s="2730"/>
      <c r="H102" s="1520">
        <f>H101</f>
        <v>5166744</v>
      </c>
      <c r="I102" s="2366">
        <f>I101</f>
        <v>5166744</v>
      </c>
      <c r="J102" s="1511">
        <f t="shared" ref="J102" si="1">J101</f>
        <v>0</v>
      </c>
      <c r="K102" s="2618"/>
      <c r="L102" s="2753"/>
      <c r="M102" s="2725"/>
      <c r="N102" s="2725"/>
      <c r="O102" s="2726"/>
    </row>
    <row r="103" spans="1:17" ht="13.5" thickBot="1" x14ac:dyDescent="0.25">
      <c r="A103" s="382" t="s">
        <v>8</v>
      </c>
      <c r="B103" s="11" t="s">
        <v>45</v>
      </c>
      <c r="C103" s="2820" t="s">
        <v>51</v>
      </c>
      <c r="D103" s="2821"/>
      <c r="E103" s="2821"/>
      <c r="F103" s="2821"/>
      <c r="G103" s="2821"/>
      <c r="H103" s="2821"/>
      <c r="I103" s="2821"/>
      <c r="J103" s="2821"/>
      <c r="K103" s="2821"/>
      <c r="L103" s="2821"/>
      <c r="M103" s="2821"/>
      <c r="N103" s="2821"/>
      <c r="O103" s="2822"/>
    </row>
    <row r="104" spans="1:17" ht="38.25" customHeight="1" x14ac:dyDescent="0.2">
      <c r="A104" s="2316" t="s">
        <v>8</v>
      </c>
      <c r="B104" s="2318" t="s">
        <v>45</v>
      </c>
      <c r="C104" s="2096" t="s">
        <v>8</v>
      </c>
      <c r="D104" s="630" t="s">
        <v>295</v>
      </c>
      <c r="E104" s="1459" t="s">
        <v>141</v>
      </c>
      <c r="F104" s="622"/>
      <c r="G104" s="19"/>
      <c r="H104" s="1460"/>
      <c r="I104" s="2368"/>
      <c r="J104" s="1391"/>
      <c r="K104" s="2631"/>
      <c r="L104" s="545"/>
      <c r="M104" s="686"/>
      <c r="N104" s="686"/>
      <c r="O104" s="687"/>
      <c r="Q104" s="14"/>
    </row>
    <row r="105" spans="1:17" ht="15" customHeight="1" x14ac:dyDescent="0.2">
      <c r="A105" s="2315"/>
      <c r="B105" s="2288"/>
      <c r="C105" s="2097"/>
      <c r="D105" s="2926" t="s">
        <v>116</v>
      </c>
      <c r="E105" s="1768"/>
      <c r="F105" s="1081" t="s">
        <v>57</v>
      </c>
      <c r="G105" s="512" t="s">
        <v>122</v>
      </c>
      <c r="H105" s="1379">
        <f>364.8/3.4528*1000</f>
        <v>105653</v>
      </c>
      <c r="I105" s="2355">
        <f>364.8/3.4528*1000</f>
        <v>105653</v>
      </c>
      <c r="J105" s="2541"/>
      <c r="K105" s="2569"/>
      <c r="L105" s="2342"/>
      <c r="M105" s="210"/>
      <c r="N105" s="210"/>
      <c r="O105" s="211"/>
      <c r="Q105" s="14"/>
    </row>
    <row r="106" spans="1:17" ht="14.25" customHeight="1" x14ac:dyDescent="0.2">
      <c r="A106" s="2336"/>
      <c r="B106" s="2337"/>
      <c r="C106" s="1810"/>
      <c r="D106" s="2792"/>
      <c r="E106" s="1811"/>
      <c r="F106" s="1084"/>
      <c r="G106" s="1812" t="s">
        <v>392</v>
      </c>
      <c r="H106" s="1813">
        <v>152311</v>
      </c>
      <c r="I106" s="2360">
        <v>152311</v>
      </c>
      <c r="J106" s="1321"/>
      <c r="K106" s="2539"/>
      <c r="L106" s="2343"/>
      <c r="M106" s="439"/>
      <c r="N106" s="439"/>
      <c r="O106" s="440"/>
      <c r="Q106" s="14"/>
    </row>
    <row r="107" spans="1:17" ht="38.25" customHeight="1" x14ac:dyDescent="0.2">
      <c r="A107" s="2315"/>
      <c r="B107" s="2288"/>
      <c r="C107" s="2097"/>
      <c r="D107" s="2704"/>
      <c r="E107" s="1774" t="s">
        <v>137</v>
      </c>
      <c r="F107" s="2711"/>
      <c r="G107" s="992"/>
      <c r="H107" s="1229"/>
      <c r="I107" s="2356"/>
      <c r="J107" s="1333"/>
      <c r="K107" s="2542"/>
      <c r="L107" s="2304"/>
      <c r="M107" s="1447"/>
      <c r="N107" s="1447"/>
      <c r="O107" s="1496"/>
      <c r="Q107" s="14"/>
    </row>
    <row r="108" spans="1:17" ht="25.5" customHeight="1" x14ac:dyDescent="0.2">
      <c r="A108" s="2315"/>
      <c r="B108" s="2288"/>
      <c r="C108" s="2097"/>
      <c r="D108" s="2935"/>
      <c r="E108" s="1775"/>
      <c r="F108" s="2936"/>
      <c r="G108" s="20"/>
      <c r="H108" s="1229"/>
      <c r="I108" s="2356"/>
      <c r="J108" s="1333"/>
      <c r="K108" s="2542"/>
      <c r="L108" s="2308"/>
      <c r="M108" s="2347"/>
      <c r="N108" s="2347"/>
      <c r="O108" s="2349"/>
      <c r="Q108" s="14"/>
    </row>
    <row r="109" spans="1:17" ht="14.25" customHeight="1" x14ac:dyDescent="0.2">
      <c r="A109" s="2315"/>
      <c r="B109" s="2288"/>
      <c r="C109" s="2097"/>
      <c r="D109" s="2935"/>
      <c r="E109" s="1775"/>
      <c r="F109" s="2297"/>
      <c r="G109" s="836"/>
      <c r="H109" s="1502"/>
      <c r="I109" s="2352"/>
      <c r="J109" s="1748"/>
      <c r="K109" s="2538"/>
      <c r="L109" s="523"/>
      <c r="M109" s="524"/>
      <c r="N109" s="524"/>
      <c r="O109" s="525"/>
      <c r="Q109" s="14"/>
    </row>
    <row r="110" spans="1:17" ht="24" customHeight="1" x14ac:dyDescent="0.2">
      <c r="A110" s="2315"/>
      <c r="B110" s="2288"/>
      <c r="C110" s="2097"/>
      <c r="D110" s="2290"/>
      <c r="E110" s="2084"/>
      <c r="F110" s="2332"/>
      <c r="G110" s="1772" t="s">
        <v>133</v>
      </c>
      <c r="H110" s="1502">
        <v>65825</v>
      </c>
      <c r="I110" s="2352">
        <v>65825</v>
      </c>
      <c r="J110" s="1748"/>
      <c r="K110" s="2538"/>
      <c r="L110" s="523"/>
      <c r="M110" s="1771"/>
      <c r="N110" s="524"/>
      <c r="O110" s="525"/>
      <c r="Q110" s="14"/>
    </row>
    <row r="111" spans="1:17" ht="13.5" customHeight="1" x14ac:dyDescent="0.2">
      <c r="A111" s="2315"/>
      <c r="B111" s="2288"/>
      <c r="C111" s="2097"/>
      <c r="D111" s="2216" t="s">
        <v>117</v>
      </c>
      <c r="E111" s="2217"/>
      <c r="F111" s="2170"/>
      <c r="G111" s="1449" t="s">
        <v>392</v>
      </c>
      <c r="H111" s="1461">
        <v>174911</v>
      </c>
      <c r="I111" s="2369">
        <v>174911</v>
      </c>
      <c r="J111" s="2517"/>
      <c r="K111" s="2542"/>
      <c r="L111" s="2308"/>
      <c r="M111" s="507"/>
      <c r="N111" s="507"/>
      <c r="O111" s="508"/>
      <c r="P111" s="2070"/>
      <c r="Q111" s="14"/>
    </row>
    <row r="112" spans="1:17" ht="13.5" customHeight="1" x14ac:dyDescent="0.2">
      <c r="A112" s="2315"/>
      <c r="B112" s="2288"/>
      <c r="C112" s="2097"/>
      <c r="D112" s="2290"/>
      <c r="E112" s="2218"/>
      <c r="F112" s="2297"/>
      <c r="G112" s="246"/>
      <c r="H112" s="1225"/>
      <c r="I112" s="2354"/>
      <c r="J112" s="1321"/>
      <c r="K112" s="2542"/>
      <c r="L112" s="2308"/>
      <c r="M112" s="507"/>
      <c r="N112" s="2068"/>
      <c r="O112" s="2069"/>
      <c r="P112" s="2070"/>
      <c r="Q112" s="14"/>
    </row>
    <row r="113" spans="1:17" ht="42" customHeight="1" x14ac:dyDescent="0.2">
      <c r="A113" s="2315"/>
      <c r="B113" s="2288"/>
      <c r="C113" s="2097"/>
      <c r="D113" s="1063" t="s">
        <v>328</v>
      </c>
      <c r="E113" s="1132" t="s">
        <v>79</v>
      </c>
      <c r="F113" s="1133" t="s">
        <v>72</v>
      </c>
      <c r="G113" s="39" t="s">
        <v>392</v>
      </c>
      <c r="H113" s="1224">
        <f>30/3.4528*1000</f>
        <v>8689</v>
      </c>
      <c r="I113" s="2357">
        <f>30/3.4528*1000</f>
        <v>8689</v>
      </c>
      <c r="J113" s="1381"/>
      <c r="K113" s="2632"/>
      <c r="L113" s="1065"/>
      <c r="M113" s="588"/>
      <c r="N113" s="1750"/>
      <c r="O113" s="1021"/>
      <c r="Q113" s="14"/>
    </row>
    <row r="114" spans="1:17" ht="27" customHeight="1" x14ac:dyDescent="0.2">
      <c r="A114" s="2315"/>
      <c r="B114" s="2288"/>
      <c r="C114" s="2097"/>
      <c r="D114" s="2760" t="s">
        <v>280</v>
      </c>
      <c r="E114" s="2334"/>
      <c r="F114" s="1208" t="s">
        <v>57</v>
      </c>
      <c r="G114" s="39" t="s">
        <v>42</v>
      </c>
      <c r="H114" s="1224">
        <f>18/3.4528*1000</f>
        <v>5213</v>
      </c>
      <c r="I114" s="2357">
        <f>18/3.4528*1000</f>
        <v>5213</v>
      </c>
      <c r="J114" s="2632"/>
      <c r="K114" s="2651"/>
      <c r="L114" s="1209"/>
      <c r="M114" s="623"/>
      <c r="N114" s="623"/>
      <c r="O114" s="624"/>
      <c r="Q114" s="14"/>
    </row>
    <row r="115" spans="1:17" ht="23.25" customHeight="1" thickBot="1" x14ac:dyDescent="0.25">
      <c r="A115" s="2315"/>
      <c r="B115" s="2288"/>
      <c r="C115" s="2097"/>
      <c r="D115" s="2934"/>
      <c r="E115" s="2330"/>
      <c r="F115" s="2327"/>
      <c r="G115" s="1008" t="s">
        <v>9</v>
      </c>
      <c r="H115" s="1383">
        <f>SUM(H104:H114)</f>
        <v>512602</v>
      </c>
      <c r="I115" s="2370">
        <f>SUM(I104:I114)</f>
        <v>512602</v>
      </c>
      <c r="J115" s="2516">
        <f>SUM(J104:J114)</f>
        <v>0</v>
      </c>
      <c r="K115" s="2633"/>
      <c r="L115" s="2342"/>
      <c r="M115" s="1447"/>
      <c r="N115" s="210"/>
      <c r="O115" s="211"/>
      <c r="Q115" s="14"/>
    </row>
    <row r="116" spans="1:17" ht="15.75" customHeight="1" x14ac:dyDescent="0.2">
      <c r="A116" s="2755" t="s">
        <v>8</v>
      </c>
      <c r="B116" s="2847" t="s">
        <v>45</v>
      </c>
      <c r="C116" s="2732" t="s">
        <v>10</v>
      </c>
      <c r="D116" s="2743" t="s">
        <v>60</v>
      </c>
      <c r="E116" s="2323"/>
      <c r="F116" s="613" t="s">
        <v>57</v>
      </c>
      <c r="G116" s="897" t="s">
        <v>122</v>
      </c>
      <c r="H116" s="1226">
        <f>1730.2/3.4528*1000</f>
        <v>501101</v>
      </c>
      <c r="I116" s="2371">
        <f>1730.2/3.4528*1000</f>
        <v>501101</v>
      </c>
      <c r="J116" s="2519"/>
      <c r="K116" s="2634"/>
      <c r="L116" s="2338"/>
      <c r="M116" s="2348"/>
      <c r="N116" s="2348"/>
      <c r="O116" s="2346"/>
      <c r="Q116" s="14"/>
    </row>
    <row r="117" spans="1:17" x14ac:dyDescent="0.2">
      <c r="A117" s="2757"/>
      <c r="B117" s="2727"/>
      <c r="C117" s="2709"/>
      <c r="D117" s="2744"/>
      <c r="E117" s="2326"/>
      <c r="F117" s="612"/>
      <c r="G117" s="1463" t="s">
        <v>133</v>
      </c>
      <c r="H117" s="1461">
        <v>6482</v>
      </c>
      <c r="I117" s="2369">
        <v>6482</v>
      </c>
      <c r="J117" s="2517"/>
      <c r="K117" s="2635"/>
      <c r="L117" s="627"/>
      <c r="M117" s="888"/>
      <c r="N117" s="888"/>
      <c r="O117" s="889"/>
      <c r="Q117" s="14"/>
    </row>
    <row r="118" spans="1:17" x14ac:dyDescent="0.2">
      <c r="A118" s="2757"/>
      <c r="B118" s="2727"/>
      <c r="C118" s="2709"/>
      <c r="D118" s="2319"/>
      <c r="E118" s="2326"/>
      <c r="F118" s="612"/>
      <c r="G118" s="992"/>
      <c r="H118" s="1229"/>
      <c r="I118" s="2356"/>
      <c r="J118" s="1333"/>
      <c r="K118" s="2542"/>
      <c r="L118" s="988"/>
      <c r="M118" s="977"/>
      <c r="N118" s="977"/>
      <c r="O118" s="993"/>
      <c r="Q118" s="14"/>
    </row>
    <row r="119" spans="1:17" x14ac:dyDescent="0.2">
      <c r="A119" s="2757"/>
      <c r="B119" s="2727"/>
      <c r="C119" s="2709"/>
      <c r="D119" s="2319"/>
      <c r="E119" s="2326"/>
      <c r="F119" s="612"/>
      <c r="G119" s="992"/>
      <c r="H119" s="1229"/>
      <c r="I119" s="2356"/>
      <c r="J119" s="2503"/>
      <c r="K119" s="2546"/>
      <c r="L119" s="988"/>
      <c r="M119" s="994"/>
      <c r="N119" s="994"/>
      <c r="O119" s="995"/>
      <c r="Q119" s="14"/>
    </row>
    <row r="120" spans="1:17" x14ac:dyDescent="0.2">
      <c r="A120" s="2757"/>
      <c r="B120" s="2727"/>
      <c r="C120" s="2709"/>
      <c r="D120" s="2319"/>
      <c r="E120" s="2326"/>
      <c r="F120" s="612"/>
      <c r="G120" s="509"/>
      <c r="H120" s="1229"/>
      <c r="I120" s="2356"/>
      <c r="J120" s="2547"/>
      <c r="K120" s="2650"/>
      <c r="L120" s="438"/>
      <c r="M120" s="570"/>
      <c r="N120" s="930"/>
      <c r="O120" s="931"/>
      <c r="Q120" s="14"/>
    </row>
    <row r="121" spans="1:17" ht="14.25" customHeight="1" thickBot="1" x14ac:dyDescent="0.25">
      <c r="A121" s="2756"/>
      <c r="B121" s="2728"/>
      <c r="C121" s="2729"/>
      <c r="D121" s="2320"/>
      <c r="E121" s="2324"/>
      <c r="F121" s="1009"/>
      <c r="G121" s="299" t="s">
        <v>9</v>
      </c>
      <c r="H121" s="1385">
        <f>SUM(H116:H120)</f>
        <v>507583</v>
      </c>
      <c r="I121" s="2358">
        <f>SUM(I116:I120)</f>
        <v>507583</v>
      </c>
      <c r="J121" s="1216">
        <f t="shared" ref="J121" si="2">SUM(J116:J120)</f>
        <v>0</v>
      </c>
      <c r="K121" s="2563"/>
      <c r="L121" s="2309"/>
      <c r="M121" s="927"/>
      <c r="N121" s="928"/>
      <c r="O121" s="929"/>
      <c r="Q121" s="14"/>
    </row>
    <row r="122" spans="1:17" ht="25.5" customHeight="1" x14ac:dyDescent="0.2">
      <c r="A122" s="2755" t="s">
        <v>8</v>
      </c>
      <c r="B122" s="2847" t="s">
        <v>45</v>
      </c>
      <c r="C122" s="2732" t="s">
        <v>45</v>
      </c>
      <c r="D122" s="2740" t="s">
        <v>172</v>
      </c>
      <c r="E122" s="2299" t="s">
        <v>79</v>
      </c>
      <c r="F122" s="2296" t="s">
        <v>57</v>
      </c>
      <c r="G122" s="94" t="s">
        <v>122</v>
      </c>
      <c r="H122" s="1231">
        <f>200/3.4528*1000</f>
        <v>57924</v>
      </c>
      <c r="I122" s="2367">
        <f>200/3.4528*1000</f>
        <v>57924</v>
      </c>
      <c r="J122" s="1387"/>
      <c r="K122" s="2636"/>
      <c r="L122" s="2338"/>
      <c r="M122" s="1144"/>
      <c r="N122" s="1144"/>
      <c r="O122" s="1495"/>
      <c r="Q122" s="14"/>
    </row>
    <row r="123" spans="1:17" x14ac:dyDescent="0.2">
      <c r="A123" s="2757"/>
      <c r="B123" s="2727"/>
      <c r="C123" s="2709"/>
      <c r="D123" s="2741"/>
      <c r="E123" s="2745" t="s">
        <v>139</v>
      </c>
      <c r="F123" s="2297"/>
      <c r="G123" s="20"/>
      <c r="H123" s="1229"/>
      <c r="I123" s="2356"/>
      <c r="J123" s="1324"/>
      <c r="K123" s="2540"/>
      <c r="L123" s="627"/>
      <c r="M123" s="888"/>
      <c r="N123" s="888"/>
      <c r="O123" s="889"/>
      <c r="Q123" s="14"/>
    </row>
    <row r="124" spans="1:17" x14ac:dyDescent="0.2">
      <c r="A124" s="2757"/>
      <c r="B124" s="2727"/>
      <c r="C124" s="2709"/>
      <c r="D124" s="2741"/>
      <c r="E124" s="2746"/>
      <c r="F124" s="2297"/>
      <c r="G124" s="20"/>
      <c r="H124" s="1229"/>
      <c r="I124" s="2356"/>
      <c r="J124" s="1324"/>
      <c r="K124" s="2540"/>
      <c r="L124" s="627"/>
      <c r="M124" s="1779"/>
      <c r="N124" s="888"/>
      <c r="O124" s="889"/>
      <c r="Q124" s="14"/>
    </row>
    <row r="125" spans="1:17" x14ac:dyDescent="0.2">
      <c r="A125" s="2757"/>
      <c r="B125" s="2727"/>
      <c r="C125" s="2709"/>
      <c r="D125" s="2741"/>
      <c r="E125" s="2300"/>
      <c r="F125" s="2297"/>
      <c r="G125" s="246"/>
      <c r="H125" s="1225"/>
      <c r="I125" s="2354"/>
      <c r="J125" s="2652"/>
      <c r="K125" s="2653"/>
      <c r="L125" s="1464"/>
      <c r="M125" s="1780"/>
      <c r="N125" s="1465"/>
      <c r="O125" s="1466"/>
      <c r="Q125" s="14"/>
    </row>
    <row r="126" spans="1:17" ht="13.5" thickBot="1" x14ac:dyDescent="0.25">
      <c r="A126" s="2756"/>
      <c r="B126" s="2728"/>
      <c r="C126" s="2729"/>
      <c r="D126" s="2742"/>
      <c r="E126" s="551"/>
      <c r="F126" s="2298"/>
      <c r="G126" s="299" t="s">
        <v>9</v>
      </c>
      <c r="H126" s="1385">
        <f>H122+H123</f>
        <v>57924</v>
      </c>
      <c r="I126" s="2358">
        <f>I122+I123</f>
        <v>57924</v>
      </c>
      <c r="J126" s="1216">
        <f>SUM(J122:J125)</f>
        <v>0</v>
      </c>
      <c r="K126" s="2363"/>
      <c r="L126" s="537"/>
      <c r="M126" s="1781"/>
      <c r="N126" s="248"/>
      <c r="O126" s="249"/>
      <c r="Q126" s="14"/>
    </row>
    <row r="127" spans="1:17" ht="25.5" x14ac:dyDescent="0.2">
      <c r="A127" s="2315" t="s">
        <v>8</v>
      </c>
      <c r="B127" s="2288" t="s">
        <v>45</v>
      </c>
      <c r="C127" s="2289" t="s">
        <v>50</v>
      </c>
      <c r="D127" s="738" t="s">
        <v>228</v>
      </c>
      <c r="E127" s="2300"/>
      <c r="F127" s="2297"/>
      <c r="G127" s="246"/>
      <c r="H127" s="1225"/>
      <c r="I127" s="2354"/>
      <c r="J127" s="1321"/>
      <c r="K127" s="2539"/>
      <c r="L127" s="2313"/>
      <c r="M127" s="364"/>
      <c r="N127" s="364"/>
      <c r="O127" s="365"/>
      <c r="Q127" s="14"/>
    </row>
    <row r="128" spans="1:17" ht="38.25" x14ac:dyDescent="0.2">
      <c r="A128" s="2331"/>
      <c r="B128" s="2288"/>
      <c r="C128" s="2289"/>
      <c r="D128" s="1467" t="s">
        <v>219</v>
      </c>
      <c r="E128" s="1468"/>
      <c r="F128" s="1469" t="s">
        <v>57</v>
      </c>
      <c r="G128" s="1470" t="s">
        <v>122</v>
      </c>
      <c r="H128" s="1379">
        <f>20/3.4528*1000</f>
        <v>5792</v>
      </c>
      <c r="I128" s="2355">
        <f>20/3.4528*1000</f>
        <v>5792</v>
      </c>
      <c r="J128" s="2518"/>
      <c r="K128" s="2637"/>
      <c r="L128" s="1471"/>
      <c r="M128" s="1472"/>
      <c r="N128" s="1473"/>
      <c r="O128" s="1474"/>
      <c r="Q128" s="14"/>
    </row>
    <row r="129" spans="1:17" ht="28.5" customHeight="1" x14ac:dyDescent="0.2">
      <c r="A129" s="2331"/>
      <c r="B129" s="2288"/>
      <c r="C129" s="2289"/>
      <c r="D129" s="2845" t="s">
        <v>416</v>
      </c>
      <c r="E129" s="2848" t="s">
        <v>214</v>
      </c>
      <c r="F129" s="2715" t="s">
        <v>57</v>
      </c>
      <c r="G129" s="1449" t="s">
        <v>122</v>
      </c>
      <c r="H129" s="1461">
        <v>86037</v>
      </c>
      <c r="I129" s="2369">
        <v>86037</v>
      </c>
      <c r="J129" s="2517"/>
      <c r="K129" s="2542"/>
      <c r="L129" s="2303"/>
      <c r="M129" s="831"/>
      <c r="N129" s="1447"/>
      <c r="O129" s="1496"/>
      <c r="Q129" s="14"/>
    </row>
    <row r="130" spans="1:17" ht="30" customHeight="1" x14ac:dyDescent="0.2">
      <c r="A130" s="2331"/>
      <c r="B130" s="2288"/>
      <c r="C130" s="2289"/>
      <c r="D130" s="2845"/>
      <c r="E130" s="2848"/>
      <c r="F130" s="2711"/>
      <c r="G130" s="20"/>
      <c r="H130" s="1229"/>
      <c r="I130" s="2356"/>
      <c r="J130" s="1333"/>
      <c r="K130" s="2542"/>
      <c r="L130" s="2303"/>
      <c r="M130" s="831"/>
      <c r="N130" s="1447"/>
      <c r="O130" s="1496"/>
      <c r="Q130" s="14"/>
    </row>
    <row r="131" spans="1:17" ht="14.25" customHeight="1" x14ac:dyDescent="0.2">
      <c r="A131" s="2331"/>
      <c r="B131" s="2288"/>
      <c r="C131" s="2289"/>
      <c r="D131" s="2845"/>
      <c r="E131" s="2848"/>
      <c r="F131" s="2710"/>
      <c r="G131" s="20"/>
      <c r="H131" s="1229"/>
      <c r="I131" s="2356"/>
      <c r="J131" s="2547"/>
      <c r="K131" s="2650"/>
      <c r="L131" s="2750"/>
      <c r="M131" s="831"/>
      <c r="N131" s="932"/>
      <c r="O131" s="1496"/>
      <c r="Q131" s="14"/>
    </row>
    <row r="132" spans="1:17" ht="16.5" customHeight="1" thickBot="1" x14ac:dyDescent="0.25">
      <c r="A132" s="2331"/>
      <c r="B132" s="2288"/>
      <c r="C132" s="2289"/>
      <c r="D132" s="2864"/>
      <c r="E132" s="2932"/>
      <c r="F132" s="2297"/>
      <c r="G132" s="299" t="s">
        <v>9</v>
      </c>
      <c r="H132" s="1503">
        <f>SUM(H128:H131)</f>
        <v>91829</v>
      </c>
      <c r="I132" s="2358">
        <f>SUM(I128:I131)</f>
        <v>91829</v>
      </c>
      <c r="J132" s="1216">
        <f>SUM(J127:J131)</f>
        <v>0</v>
      </c>
      <c r="K132" s="2563"/>
      <c r="L132" s="2933"/>
      <c r="M132" s="1447"/>
      <c r="N132" s="1447"/>
      <c r="O132" s="1496"/>
      <c r="Q132" s="14"/>
    </row>
    <row r="133" spans="1:17" ht="15.75" customHeight="1" x14ac:dyDescent="0.2">
      <c r="A133" s="2755" t="s">
        <v>8</v>
      </c>
      <c r="B133" s="2847" t="s">
        <v>45</v>
      </c>
      <c r="C133" s="2732" t="s">
        <v>52</v>
      </c>
      <c r="D133" s="2743" t="s">
        <v>81</v>
      </c>
      <c r="E133" s="2747" t="s">
        <v>135</v>
      </c>
      <c r="F133" s="2738" t="s">
        <v>98</v>
      </c>
      <c r="G133" s="94" t="s">
        <v>42</v>
      </c>
      <c r="H133" s="1504">
        <f>340/3.4528*1000</f>
        <v>98471</v>
      </c>
      <c r="I133" s="1476">
        <f>340/3.4528*1000</f>
        <v>98471</v>
      </c>
      <c r="J133" s="2630"/>
      <c r="K133" s="2638"/>
      <c r="L133" s="16"/>
      <c r="M133" s="1144"/>
      <c r="N133" s="1144"/>
      <c r="O133" s="1495"/>
      <c r="Q133" s="14"/>
    </row>
    <row r="134" spans="1:17" ht="13.5" customHeight="1" x14ac:dyDescent="0.2">
      <c r="A134" s="2757"/>
      <c r="B134" s="2727"/>
      <c r="C134" s="2709"/>
      <c r="D134" s="2786"/>
      <c r="E134" s="2748"/>
      <c r="F134" s="2711"/>
      <c r="G134" s="1091"/>
      <c r="H134" s="1225"/>
      <c r="I134" s="2354"/>
      <c r="J134" s="2539"/>
      <c r="K134" s="2616"/>
      <c r="L134" s="2751"/>
      <c r="M134" s="1447"/>
      <c r="N134" s="1447"/>
      <c r="O134" s="1496"/>
      <c r="Q134" s="14"/>
    </row>
    <row r="135" spans="1:17" ht="13.5" thickBot="1" x14ac:dyDescent="0.25">
      <c r="A135" s="2756"/>
      <c r="B135" s="2728"/>
      <c r="C135" s="2729"/>
      <c r="D135" s="2787"/>
      <c r="E135" s="2749"/>
      <c r="F135" s="2739"/>
      <c r="G135" s="299" t="s">
        <v>9</v>
      </c>
      <c r="H135" s="1503">
        <f>SUM(H133:H134)</f>
        <v>98471</v>
      </c>
      <c r="I135" s="2358">
        <f>SUM(I133:I134)</f>
        <v>98471</v>
      </c>
      <c r="J135" s="1216">
        <f t="shared" ref="J135" si="3">SUM(J133:J134)</f>
        <v>0</v>
      </c>
      <c r="K135" s="2563"/>
      <c r="L135" s="2752"/>
      <c r="M135" s="248"/>
      <c r="N135" s="248"/>
      <c r="O135" s="249"/>
      <c r="Q135" s="14"/>
    </row>
    <row r="136" spans="1:17" ht="15" customHeight="1" x14ac:dyDescent="0.2">
      <c r="A136" s="2755" t="s">
        <v>8</v>
      </c>
      <c r="B136" s="2847" t="s">
        <v>45</v>
      </c>
      <c r="C136" s="2732" t="s">
        <v>54</v>
      </c>
      <c r="D136" s="2743" t="s">
        <v>91</v>
      </c>
      <c r="E136" s="2747" t="s">
        <v>79</v>
      </c>
      <c r="F136" s="2738" t="s">
        <v>72</v>
      </c>
      <c r="G136" s="908" t="s">
        <v>392</v>
      </c>
      <c r="H136" s="1226">
        <f>250/3.4528*1000</f>
        <v>72405</v>
      </c>
      <c r="I136" s="2371">
        <f>250/3.4528*1000</f>
        <v>72405</v>
      </c>
      <c r="J136" s="2519"/>
      <c r="K136" s="2639"/>
      <c r="L136" s="1480"/>
      <c r="M136" s="1481"/>
      <c r="N136" s="1481"/>
      <c r="O136" s="1482"/>
      <c r="Q136" s="14"/>
    </row>
    <row r="137" spans="1:17" ht="14.25" customHeight="1" x14ac:dyDescent="0.2">
      <c r="A137" s="2757"/>
      <c r="B137" s="2727"/>
      <c r="C137" s="2709"/>
      <c r="D137" s="2786"/>
      <c r="E137" s="2748"/>
      <c r="F137" s="2711"/>
      <c r="G137" s="1091" t="s">
        <v>122</v>
      </c>
      <c r="H137" s="1229">
        <f>50/3.4528*1000</f>
        <v>14481</v>
      </c>
      <c r="I137" s="2356">
        <f>50/3.4528*1000</f>
        <v>14481</v>
      </c>
      <c r="J137" s="2539"/>
      <c r="K137" s="2616"/>
      <c r="L137" s="2339"/>
      <c r="M137" s="210"/>
      <c r="N137" s="210"/>
      <c r="O137" s="211"/>
      <c r="Q137" s="14"/>
    </row>
    <row r="138" spans="1:17" ht="13.5" customHeight="1" thickBot="1" x14ac:dyDescent="0.25">
      <c r="A138" s="2756"/>
      <c r="B138" s="2728"/>
      <c r="C138" s="2729"/>
      <c r="D138" s="2787"/>
      <c r="E138" s="2749"/>
      <c r="F138" s="2739"/>
      <c r="G138" s="299" t="s">
        <v>9</v>
      </c>
      <c r="H138" s="1503">
        <f>H136+H137</f>
        <v>86886</v>
      </c>
      <c r="I138" s="2358">
        <f>I136+I137</f>
        <v>86886</v>
      </c>
      <c r="J138" s="1216">
        <f t="shared" ref="J138" si="4">J136+J137</f>
        <v>0</v>
      </c>
      <c r="K138" s="2363"/>
      <c r="L138" s="212"/>
      <c r="M138" s="213"/>
      <c r="N138" s="213"/>
      <c r="O138" s="214"/>
      <c r="Q138" s="14"/>
    </row>
    <row r="139" spans="1:17" ht="29.25" x14ac:dyDescent="0.2">
      <c r="A139" s="2316" t="s">
        <v>8</v>
      </c>
      <c r="B139" s="2318" t="s">
        <v>45</v>
      </c>
      <c r="C139" s="2295" t="s">
        <v>55</v>
      </c>
      <c r="D139" s="899" t="s">
        <v>221</v>
      </c>
      <c r="E139" s="1011" t="s">
        <v>139</v>
      </c>
      <c r="F139" s="900"/>
      <c r="G139" s="19"/>
      <c r="H139" s="1505"/>
      <c r="I139" s="2368"/>
      <c r="J139" s="1391"/>
      <c r="K139" s="2634"/>
      <c r="L139" s="2487"/>
      <c r="M139" s="1144"/>
      <c r="N139" s="1144"/>
      <c r="O139" s="1495"/>
      <c r="Q139" s="14"/>
    </row>
    <row r="140" spans="1:17" ht="12.75" customHeight="1" x14ac:dyDescent="0.2">
      <c r="A140" s="2315"/>
      <c r="B140" s="2288"/>
      <c r="C140" s="2289"/>
      <c r="D140" s="2850" t="s">
        <v>329</v>
      </c>
      <c r="E140" s="2301" t="s">
        <v>79</v>
      </c>
      <c r="F140" s="2710" t="s">
        <v>72</v>
      </c>
      <c r="G140" s="512" t="s">
        <v>122</v>
      </c>
      <c r="H140" s="1506">
        <f>30/3.4528*1000</f>
        <v>8689</v>
      </c>
      <c r="I140" s="2355">
        <f>30/3.4528*1000</f>
        <v>8689</v>
      </c>
      <c r="J140" s="1329"/>
      <c r="K140" s="2543"/>
      <c r="L140" s="2479"/>
      <c r="M140" s="586"/>
      <c r="N140" s="586"/>
      <c r="O140" s="587"/>
      <c r="Q140" s="14"/>
    </row>
    <row r="141" spans="1:17" ht="12.75" customHeight="1" x14ac:dyDescent="0.2">
      <c r="A141" s="2315"/>
      <c r="B141" s="2288"/>
      <c r="C141" s="2289"/>
      <c r="D141" s="2845"/>
      <c r="E141" s="2300"/>
      <c r="F141" s="2711"/>
      <c r="G141" s="836" t="s">
        <v>392</v>
      </c>
      <c r="H141" s="1507">
        <v>54684</v>
      </c>
      <c r="I141" s="2352">
        <f>54684-50684</f>
        <v>4000</v>
      </c>
      <c r="J141" s="2654">
        <f>I141-H141</f>
        <v>-50684</v>
      </c>
      <c r="K141" s="2643"/>
      <c r="L141" s="2478"/>
      <c r="M141" s="210"/>
      <c r="N141" s="210"/>
      <c r="O141" s="211"/>
      <c r="P141" s="2425"/>
      <c r="Q141" s="14"/>
    </row>
    <row r="142" spans="1:17" x14ac:dyDescent="0.2">
      <c r="A142" s="2315"/>
      <c r="B142" s="2288"/>
      <c r="C142" s="2289"/>
      <c r="D142" s="2845"/>
      <c r="E142" s="1313"/>
      <c r="F142" s="2711"/>
      <c r="G142" s="836" t="s">
        <v>58</v>
      </c>
      <c r="H142" s="1507">
        <v>21721</v>
      </c>
      <c r="I142" s="2352">
        <f>21721-21721</f>
        <v>0</v>
      </c>
      <c r="J142" s="2642">
        <f>I142-H142</f>
        <v>-21721</v>
      </c>
      <c r="K142" s="2643"/>
      <c r="L142" s="2478"/>
      <c r="M142" s="210"/>
      <c r="N142" s="210"/>
      <c r="O142" s="211"/>
      <c r="Q142" s="1730"/>
    </row>
    <row r="143" spans="1:17" x14ac:dyDescent="0.2">
      <c r="A143" s="2315"/>
      <c r="B143" s="2288"/>
      <c r="C143" s="2289"/>
      <c r="D143" s="2845"/>
      <c r="E143" s="1313"/>
      <c r="F143" s="2711"/>
      <c r="G143" s="676" t="s">
        <v>392</v>
      </c>
      <c r="H143" s="1515"/>
      <c r="I143" s="2353">
        <v>72410</v>
      </c>
      <c r="J143" s="2642">
        <f>I143-H143</f>
        <v>72410</v>
      </c>
      <c r="K143" s="2643"/>
      <c r="L143" s="2478"/>
      <c r="M143" s="210"/>
      <c r="N143" s="210"/>
      <c r="O143" s="1692"/>
      <c r="Q143" s="1730"/>
    </row>
    <row r="144" spans="1:17" x14ac:dyDescent="0.2">
      <c r="A144" s="2315"/>
      <c r="B144" s="2288"/>
      <c r="C144" s="2289"/>
      <c r="D144" s="2845"/>
      <c r="E144" s="1313"/>
      <c r="F144" s="2711"/>
      <c r="G144" s="246" t="s">
        <v>75</v>
      </c>
      <c r="H144" s="1508">
        <f>163.5/3.4528*1000</f>
        <v>47353</v>
      </c>
      <c r="I144" s="2354">
        <f>163.5/3.4528*1000</f>
        <v>47353</v>
      </c>
      <c r="J144" s="2520"/>
      <c r="K144" s="2640"/>
      <c r="L144" s="346"/>
      <c r="M144" s="132"/>
      <c r="N144" s="132"/>
      <c r="O144" s="1307"/>
      <c r="P144" s="1731"/>
      <c r="Q144" s="1730"/>
    </row>
    <row r="145" spans="1:18" ht="18" customHeight="1" x14ac:dyDescent="0.2">
      <c r="A145" s="2331"/>
      <c r="B145" s="2288"/>
      <c r="C145" s="2289"/>
      <c r="D145" s="2850" t="s">
        <v>411</v>
      </c>
      <c r="E145" s="2301" t="s">
        <v>79</v>
      </c>
      <c r="F145" s="2311" t="s">
        <v>57</v>
      </c>
      <c r="G145" s="552" t="s">
        <v>122</v>
      </c>
      <c r="H145" s="1509">
        <v>147078</v>
      </c>
      <c r="I145" s="2357">
        <v>147078</v>
      </c>
      <c r="J145" s="2644"/>
      <c r="K145" s="2645"/>
      <c r="L145" s="1471"/>
      <c r="M145" s="1483"/>
      <c r="N145" s="1484"/>
      <c r="O145" s="1485"/>
      <c r="Q145" s="1730"/>
      <c r="R145" s="1730"/>
    </row>
    <row r="146" spans="1:18" ht="16.5" customHeight="1" thickBot="1" x14ac:dyDescent="0.25">
      <c r="A146" s="2317"/>
      <c r="B146" s="2293"/>
      <c r="C146" s="2294"/>
      <c r="D146" s="2931"/>
      <c r="E146" s="1286"/>
      <c r="F146" s="944"/>
      <c r="G146" s="299" t="s">
        <v>9</v>
      </c>
      <c r="H146" s="1510">
        <f>SUM(H139:H145)</f>
        <v>279525</v>
      </c>
      <c r="I146" s="2363">
        <f>SUM(I139:I145)</f>
        <v>279530</v>
      </c>
      <c r="J146" s="2424">
        <f t="shared" ref="J146:K146" si="5">SUM(J139:J145)</f>
        <v>5</v>
      </c>
      <c r="K146" s="2363">
        <f t="shared" si="5"/>
        <v>0</v>
      </c>
      <c r="L146" s="438"/>
      <c r="M146" s="1083"/>
      <c r="N146" s="946"/>
      <c r="O146" s="947"/>
      <c r="Q146" s="14"/>
    </row>
    <row r="147" spans="1:18" ht="12.75" customHeight="1" x14ac:dyDescent="0.2">
      <c r="A147" s="2316" t="s">
        <v>8</v>
      </c>
      <c r="B147" s="120" t="s">
        <v>45</v>
      </c>
      <c r="C147" s="2732" t="s">
        <v>218</v>
      </c>
      <c r="D147" s="2733" t="s">
        <v>102</v>
      </c>
      <c r="E147" s="2736"/>
      <c r="F147" s="2738" t="s">
        <v>57</v>
      </c>
      <c r="G147" s="19" t="s">
        <v>392</v>
      </c>
      <c r="H147" s="1505">
        <v>93571</v>
      </c>
      <c r="I147" s="2368">
        <v>93571</v>
      </c>
      <c r="J147" s="2521"/>
      <c r="K147" s="2641"/>
      <c r="L147" s="1770"/>
      <c r="M147" s="2219"/>
      <c r="N147" s="2219"/>
      <c r="O147" s="1495"/>
      <c r="Q147" s="14"/>
    </row>
    <row r="148" spans="1:18" ht="12.75" customHeight="1" x14ac:dyDescent="0.2">
      <c r="A148" s="2315"/>
      <c r="B148" s="1751"/>
      <c r="C148" s="2709"/>
      <c r="D148" s="2734"/>
      <c r="E148" s="2716"/>
      <c r="F148" s="2711"/>
      <c r="G148" s="1769" t="s">
        <v>133</v>
      </c>
      <c r="H148" s="1514"/>
      <c r="I148" s="2356"/>
      <c r="J148" s="2646"/>
      <c r="K148" s="2647"/>
      <c r="L148" s="2482"/>
      <c r="M148" s="932"/>
      <c r="N148" s="932"/>
      <c r="O148" s="1496"/>
      <c r="Q148" s="14"/>
    </row>
    <row r="149" spans="1:18" ht="13.5" thickBot="1" x14ac:dyDescent="0.25">
      <c r="A149" s="2317"/>
      <c r="B149" s="122"/>
      <c r="C149" s="2729"/>
      <c r="D149" s="2735"/>
      <c r="E149" s="2737"/>
      <c r="F149" s="2739"/>
      <c r="G149" s="325" t="s">
        <v>9</v>
      </c>
      <c r="H149" s="1503">
        <f>SUM(H147:H148)</f>
        <v>93571</v>
      </c>
      <c r="I149" s="2358">
        <f>SUM(I147:I148)</f>
        <v>93571</v>
      </c>
      <c r="J149" s="2648">
        <f t="shared" ref="J149:K149" si="6">SUM(J147:J148)</f>
        <v>0</v>
      </c>
      <c r="K149" s="2358">
        <f t="shared" si="6"/>
        <v>0</v>
      </c>
      <c r="L149" s="18"/>
      <c r="M149" s="933"/>
      <c r="N149" s="933"/>
      <c r="O149" s="249"/>
      <c r="Q149" s="14"/>
    </row>
    <row r="150" spans="1:18" ht="13.5" thickBot="1" x14ac:dyDescent="0.25">
      <c r="A150" s="383" t="s">
        <v>8</v>
      </c>
      <c r="B150" s="11" t="s">
        <v>45</v>
      </c>
      <c r="C150" s="2730" t="s">
        <v>11</v>
      </c>
      <c r="D150" s="2730"/>
      <c r="E150" s="2730"/>
      <c r="F150" s="2730"/>
      <c r="G150" s="2731"/>
      <c r="H150" s="1511">
        <f>H149+H146+H138+H135+H132+H126+H121+H115</f>
        <v>1728391</v>
      </c>
      <c r="I150" s="2366">
        <f>I149+I146+I138+I135+I132+I126+I121+I115</f>
        <v>1728396</v>
      </c>
      <c r="J150" s="2649">
        <f t="shared" ref="J150:K150" si="7">J149+J146+J138+J135+J132+J126+J121+J115</f>
        <v>5</v>
      </c>
      <c r="K150" s="2366">
        <f t="shared" si="7"/>
        <v>0</v>
      </c>
      <c r="L150" s="2753"/>
      <c r="M150" s="2725"/>
      <c r="N150" s="2725"/>
      <c r="O150" s="2726"/>
    </row>
    <row r="151" spans="1:18" ht="15" customHeight="1" thickBot="1" x14ac:dyDescent="0.25">
      <c r="A151" s="382" t="s">
        <v>8</v>
      </c>
      <c r="B151" s="11" t="s">
        <v>50</v>
      </c>
      <c r="C151" s="2820" t="s">
        <v>53</v>
      </c>
      <c r="D151" s="2821"/>
      <c r="E151" s="2821"/>
      <c r="F151" s="2821"/>
      <c r="G151" s="2821"/>
      <c r="H151" s="2821"/>
      <c r="I151" s="2821"/>
      <c r="J151" s="2821"/>
      <c r="K151" s="2821"/>
      <c r="L151" s="2821"/>
      <c r="M151" s="2821"/>
      <c r="N151" s="2821"/>
      <c r="O151" s="2822"/>
    </row>
    <row r="152" spans="1:18" ht="25.5" x14ac:dyDescent="0.2">
      <c r="A152" s="2316" t="s">
        <v>8</v>
      </c>
      <c r="B152" s="2318" t="s">
        <v>50</v>
      </c>
      <c r="C152" s="1440" t="s">
        <v>8</v>
      </c>
      <c r="D152" s="630" t="s">
        <v>182</v>
      </c>
      <c r="E152" s="620"/>
      <c r="F152" s="622"/>
      <c r="G152" s="19"/>
      <c r="H152" s="1395"/>
      <c r="I152" s="2372"/>
      <c r="J152" s="2522"/>
      <c r="K152" s="2666"/>
      <c r="L152" s="545"/>
      <c r="M152" s="543"/>
      <c r="N152" s="543"/>
      <c r="O152" s="546"/>
      <c r="Q152" s="14"/>
    </row>
    <row r="153" spans="1:18" ht="39" customHeight="1" thickBot="1" x14ac:dyDescent="0.25">
      <c r="A153" s="2317"/>
      <c r="B153" s="2293"/>
      <c r="C153" s="902"/>
      <c r="D153" s="2253" t="s">
        <v>184</v>
      </c>
      <c r="E153" s="2324"/>
      <c r="F153" s="2298" t="s">
        <v>72</v>
      </c>
      <c r="G153" s="2254" t="s">
        <v>392</v>
      </c>
      <c r="H153" s="2255">
        <f>10/3.4528*1000</f>
        <v>2896</v>
      </c>
      <c r="I153" s="2373">
        <f>10/3.4528*1000</f>
        <v>2896</v>
      </c>
      <c r="J153" s="2523"/>
      <c r="K153" s="2667"/>
      <c r="L153" s="2257"/>
      <c r="M153" s="2258"/>
      <c r="N153" s="2258"/>
      <c r="O153" s="2259"/>
      <c r="Q153" s="14"/>
    </row>
    <row r="154" spans="1:18" ht="16.5" customHeight="1" x14ac:dyDescent="0.2">
      <c r="A154" s="2315"/>
      <c r="B154" s="2288"/>
      <c r="C154" s="901"/>
      <c r="D154" s="2319" t="s">
        <v>410</v>
      </c>
      <c r="E154" s="2326"/>
      <c r="F154" s="2297" t="s">
        <v>57</v>
      </c>
      <c r="G154" s="94" t="s">
        <v>392</v>
      </c>
      <c r="H154" s="1402">
        <v>795451</v>
      </c>
      <c r="I154" s="2377">
        <v>795451</v>
      </c>
      <c r="J154" s="2664"/>
      <c r="K154" s="2668"/>
      <c r="L154" s="2304"/>
      <c r="M154" s="905"/>
      <c r="N154" s="905"/>
      <c r="O154" s="906"/>
      <c r="P154" s="130"/>
      <c r="Q154" s="14"/>
    </row>
    <row r="155" spans="1:18" ht="27" customHeight="1" x14ac:dyDescent="0.2">
      <c r="A155" s="2315"/>
      <c r="B155" s="2288"/>
      <c r="C155" s="901"/>
      <c r="D155" s="2277" t="s">
        <v>408</v>
      </c>
      <c r="E155" s="1088"/>
      <c r="F155" s="1081"/>
      <c r="G155" s="992"/>
      <c r="H155" s="1397"/>
      <c r="I155" s="2374"/>
      <c r="J155" s="2524"/>
      <c r="K155" s="2669"/>
      <c r="L155" s="2342"/>
      <c r="M155" s="2278"/>
      <c r="N155" s="2278"/>
      <c r="O155" s="2279"/>
      <c r="P155" s="130"/>
      <c r="Q155" s="14"/>
    </row>
    <row r="156" spans="1:18" ht="15" customHeight="1" x14ac:dyDescent="0.2">
      <c r="A156" s="2315"/>
      <c r="B156" s="2288"/>
      <c r="C156" s="901"/>
      <c r="D156" s="2277" t="s">
        <v>409</v>
      </c>
      <c r="E156" s="1088"/>
      <c r="F156" s="1081"/>
      <c r="G156" s="992"/>
      <c r="H156" s="1397"/>
      <c r="I156" s="2374"/>
      <c r="J156" s="2524"/>
      <c r="K156" s="2669"/>
      <c r="L156" s="2342"/>
      <c r="M156" s="2278"/>
      <c r="N156" s="2278"/>
      <c r="O156" s="2279"/>
      <c r="P156" s="130"/>
      <c r="Q156" s="14"/>
    </row>
    <row r="157" spans="1:18" ht="26.25" customHeight="1" x14ac:dyDescent="0.2">
      <c r="A157" s="2315"/>
      <c r="B157" s="2288"/>
      <c r="C157" s="901"/>
      <c r="D157" s="1451" t="s">
        <v>414</v>
      </c>
      <c r="E157" s="1088"/>
      <c r="F157" s="1081"/>
      <c r="G157" s="992"/>
      <c r="H157" s="1397"/>
      <c r="I157" s="2374"/>
      <c r="J157" s="2524"/>
      <c r="K157" s="2669"/>
      <c r="L157" s="2339"/>
      <c r="M157" s="2278"/>
      <c r="N157" s="2278"/>
      <c r="O157" s="2279"/>
      <c r="P157" s="130"/>
      <c r="Q157" s="14"/>
    </row>
    <row r="158" spans="1:18" ht="27" customHeight="1" x14ac:dyDescent="0.2">
      <c r="A158" s="2315"/>
      <c r="B158" s="2288"/>
      <c r="C158" s="901"/>
      <c r="D158" s="1451" t="s">
        <v>415</v>
      </c>
      <c r="E158" s="2326"/>
      <c r="F158" s="2297"/>
      <c r="G158" s="246"/>
      <c r="H158" s="1405"/>
      <c r="I158" s="2375"/>
      <c r="J158" s="2665"/>
      <c r="K158" s="2670"/>
      <c r="L158" s="2860"/>
      <c r="M158" s="905"/>
      <c r="N158" s="905"/>
      <c r="O158" s="906"/>
      <c r="P158" s="130"/>
      <c r="Q158" s="14"/>
    </row>
    <row r="159" spans="1:18" ht="15.75" customHeight="1" thickBot="1" x14ac:dyDescent="0.25">
      <c r="A159" s="2317"/>
      <c r="B159" s="2293"/>
      <c r="C159" s="902"/>
      <c r="D159" s="2292"/>
      <c r="E159" s="903"/>
      <c r="F159" s="904"/>
      <c r="G159" s="1551" t="s">
        <v>9</v>
      </c>
      <c r="H159" s="1400">
        <f>SUM(H152:H154)</f>
        <v>798347</v>
      </c>
      <c r="I159" s="2376">
        <f>SUM(I152:I154)</f>
        <v>798347</v>
      </c>
      <c r="J159" s="2525"/>
      <c r="K159" s="2671"/>
      <c r="L159" s="2861"/>
      <c r="M159" s="213"/>
      <c r="N159" s="213"/>
      <c r="O159" s="214"/>
      <c r="Q159" s="14"/>
      <c r="R159" s="130"/>
    </row>
    <row r="160" spans="1:18" x14ac:dyDescent="0.2">
      <c r="A160" s="2755" t="s">
        <v>8</v>
      </c>
      <c r="B160" s="2847" t="s">
        <v>50</v>
      </c>
      <c r="C160" s="2732" t="s">
        <v>10</v>
      </c>
      <c r="D160" s="2867" t="s">
        <v>90</v>
      </c>
      <c r="E160" s="907"/>
      <c r="F160" s="2296"/>
      <c r="G160" s="94"/>
      <c r="H160" s="1402"/>
      <c r="I160" s="2377"/>
      <c r="J160" s="2526"/>
      <c r="K160" s="2672"/>
      <c r="L160" s="2487"/>
      <c r="M160" s="53"/>
      <c r="N160" s="53"/>
      <c r="O160" s="54"/>
      <c r="Q160" s="14"/>
    </row>
    <row r="161" spans="1:17" x14ac:dyDescent="0.2">
      <c r="A161" s="2757"/>
      <c r="B161" s="2727"/>
      <c r="C161" s="2709"/>
      <c r="D161" s="2868"/>
      <c r="E161" s="2326"/>
      <c r="F161" s="2297" t="s">
        <v>57</v>
      </c>
      <c r="G161" s="246"/>
      <c r="H161" s="1405"/>
      <c r="I161" s="2375"/>
      <c r="J161" s="2527"/>
      <c r="K161" s="2657"/>
      <c r="L161" s="2455"/>
      <c r="M161" s="905"/>
      <c r="N161" s="905"/>
      <c r="O161" s="906"/>
      <c r="Q161" s="14"/>
    </row>
    <row r="162" spans="1:17" x14ac:dyDescent="0.2">
      <c r="A162" s="2757"/>
      <c r="B162" s="2727"/>
      <c r="C162" s="2709"/>
      <c r="D162" s="2866" t="s">
        <v>89</v>
      </c>
      <c r="E162" s="1088"/>
      <c r="F162" s="1081"/>
      <c r="G162" s="20" t="s">
        <v>392</v>
      </c>
      <c r="H162" s="1397">
        <v>780613</v>
      </c>
      <c r="I162" s="2374">
        <v>780613</v>
      </c>
      <c r="J162" s="2528"/>
      <c r="K162" s="2673"/>
      <c r="L162" s="2454"/>
      <c r="M162" s="623"/>
      <c r="N162" s="623"/>
      <c r="O162" s="624"/>
    </row>
    <row r="163" spans="1:17" x14ac:dyDescent="0.2">
      <c r="A163" s="2757"/>
      <c r="B163" s="2727"/>
      <c r="C163" s="2709"/>
      <c r="D163" s="2697"/>
      <c r="E163" s="1088"/>
      <c r="F163" s="1081"/>
      <c r="G163" s="92"/>
      <c r="H163" s="1397"/>
      <c r="I163" s="2374"/>
      <c r="J163" s="2528"/>
      <c r="K163" s="2673"/>
      <c r="L163" s="627"/>
      <c r="M163" s="628"/>
      <c r="N163" s="628"/>
      <c r="O163" s="629"/>
    </row>
    <row r="164" spans="1:17" ht="13.5" customHeight="1" x14ac:dyDescent="0.2">
      <c r="A164" s="2757"/>
      <c r="B164" s="2727"/>
      <c r="C164" s="2709"/>
      <c r="D164" s="2697"/>
      <c r="E164" s="2326"/>
      <c r="F164" s="2297"/>
      <c r="G164" s="1091"/>
      <c r="H164" s="1405"/>
      <c r="I164" s="2375"/>
      <c r="J164" s="2527"/>
      <c r="K164" s="2657"/>
      <c r="L164" s="2455"/>
      <c r="M164" s="625"/>
      <c r="N164" s="625"/>
      <c r="O164" s="626"/>
    </row>
    <row r="165" spans="1:17" ht="15.75" customHeight="1" x14ac:dyDescent="0.2">
      <c r="A165" s="2757"/>
      <c r="B165" s="2727"/>
      <c r="C165" s="2709"/>
      <c r="D165" s="2703" t="s">
        <v>88</v>
      </c>
      <c r="E165" s="2326"/>
      <c r="F165" s="2297"/>
      <c r="G165" s="39" t="s">
        <v>42</v>
      </c>
      <c r="H165" s="1233">
        <f>500/3.4528*1000</f>
        <v>144810</v>
      </c>
      <c r="I165" s="2378">
        <f>500/3.4528*1000</f>
        <v>144810</v>
      </c>
      <c r="J165" s="2659"/>
      <c r="K165" s="2655"/>
      <c r="L165" s="2690"/>
      <c r="M165" s="194"/>
      <c r="N165" s="194"/>
      <c r="O165" s="195"/>
    </row>
    <row r="166" spans="1:17" ht="13.5" thickBot="1" x14ac:dyDescent="0.25">
      <c r="A166" s="2756"/>
      <c r="B166" s="2728"/>
      <c r="C166" s="2865"/>
      <c r="D166" s="2724"/>
      <c r="E166" s="903"/>
      <c r="F166" s="909"/>
      <c r="G166" s="1551" t="s">
        <v>9</v>
      </c>
      <c r="H166" s="1400">
        <f>SUM(H160:H165)</f>
        <v>925423</v>
      </c>
      <c r="I166" s="2376">
        <f>SUM(I160:I165)</f>
        <v>925423</v>
      </c>
      <c r="J166" s="2525"/>
      <c r="K166" s="2671"/>
      <c r="L166" s="2723"/>
      <c r="M166" s="910"/>
      <c r="N166" s="910"/>
      <c r="O166" s="911"/>
      <c r="Q166" s="14"/>
    </row>
    <row r="167" spans="1:17" ht="12.75" customHeight="1" x14ac:dyDescent="0.2">
      <c r="A167" s="2757" t="s">
        <v>8</v>
      </c>
      <c r="B167" s="2727" t="s">
        <v>50</v>
      </c>
      <c r="C167" s="2709" t="s">
        <v>45</v>
      </c>
      <c r="D167" s="2786" t="s">
        <v>281</v>
      </c>
      <c r="E167" s="2863"/>
      <c r="F167" s="2711" t="s">
        <v>57</v>
      </c>
      <c r="G167" s="908" t="s">
        <v>122</v>
      </c>
      <c r="H167" s="1413">
        <f>45/3.4528*1000</f>
        <v>13033</v>
      </c>
      <c r="I167" s="2379">
        <f>45/3.4528*1000</f>
        <v>13033</v>
      </c>
      <c r="J167" s="2660"/>
      <c r="K167" s="2674"/>
      <c r="L167" s="2454"/>
      <c r="M167" s="905"/>
      <c r="N167" s="905"/>
      <c r="O167" s="906"/>
      <c r="Q167" s="14"/>
    </row>
    <row r="168" spans="1:17" x14ac:dyDescent="0.2">
      <c r="A168" s="2757"/>
      <c r="B168" s="2727"/>
      <c r="C168" s="2709"/>
      <c r="D168" s="2786"/>
      <c r="E168" s="2863"/>
      <c r="F168" s="2711"/>
      <c r="G168" s="246" t="s">
        <v>392</v>
      </c>
      <c r="H168" s="1397">
        <v>451220</v>
      </c>
      <c r="I168" s="2374">
        <v>451220</v>
      </c>
      <c r="J168" s="2656"/>
      <c r="K168" s="2675"/>
      <c r="L168" s="2454"/>
      <c r="M168" s="1447"/>
      <c r="N168" s="1447"/>
      <c r="O168" s="1496"/>
      <c r="Q168" s="14"/>
    </row>
    <row r="169" spans="1:17" ht="14.25" customHeight="1" thickBot="1" x14ac:dyDescent="0.25">
      <c r="A169" s="2756"/>
      <c r="B169" s="2728"/>
      <c r="C169" s="2729"/>
      <c r="D169" s="2787"/>
      <c r="E169" s="2853"/>
      <c r="F169" s="2739"/>
      <c r="G169" s="299" t="s">
        <v>9</v>
      </c>
      <c r="H169" s="1410">
        <f>SUM(H167:H168)</f>
        <v>464253</v>
      </c>
      <c r="I169" s="2380">
        <f>SUM(I167:I168)</f>
        <v>464253</v>
      </c>
      <c r="J169" s="2661"/>
      <c r="K169" s="2671"/>
      <c r="L169" s="18"/>
      <c r="M169" s="248"/>
      <c r="N169" s="248"/>
      <c r="O169" s="249"/>
      <c r="Q169" s="14"/>
    </row>
    <row r="170" spans="1:17" ht="27.75" customHeight="1" x14ac:dyDescent="0.2">
      <c r="A170" s="2755" t="s">
        <v>8</v>
      </c>
      <c r="B170" s="2847" t="s">
        <v>50</v>
      </c>
      <c r="C170" s="2732" t="s">
        <v>50</v>
      </c>
      <c r="D170" s="962" t="s">
        <v>282</v>
      </c>
      <c r="E170" s="968"/>
      <c r="F170" s="970" t="s">
        <v>57</v>
      </c>
      <c r="G170" s="908" t="s">
        <v>42</v>
      </c>
      <c r="H170" s="1413">
        <f>182/3.4528*1000</f>
        <v>52711</v>
      </c>
      <c r="I170" s="2379">
        <f>182/3.4528*1000</f>
        <v>52711</v>
      </c>
      <c r="J170" s="2529"/>
      <c r="K170" s="2676"/>
      <c r="L170" s="963"/>
      <c r="M170" s="964"/>
      <c r="N170" s="965"/>
      <c r="O170" s="966"/>
      <c r="Q170" s="14"/>
    </row>
    <row r="171" spans="1:17" ht="18" customHeight="1" x14ac:dyDescent="0.2">
      <c r="A171" s="2757"/>
      <c r="B171" s="2727"/>
      <c r="C171" s="2709"/>
      <c r="D171" s="2845" t="s">
        <v>283</v>
      </c>
      <c r="E171" s="2326"/>
      <c r="F171" s="2297" t="s">
        <v>72</v>
      </c>
      <c r="G171" s="20" t="s">
        <v>392</v>
      </c>
      <c r="H171" s="1397">
        <f>30/3.4528*1000</f>
        <v>8689</v>
      </c>
      <c r="I171" s="2374">
        <f>30/3.4528*1000</f>
        <v>8689</v>
      </c>
      <c r="J171" s="2662"/>
      <c r="K171" s="2657"/>
      <c r="L171" s="976"/>
      <c r="M171" s="977"/>
      <c r="N171" s="978"/>
      <c r="O171" s="979"/>
      <c r="Q171" s="14"/>
    </row>
    <row r="172" spans="1:17" ht="26.25" customHeight="1" thickBot="1" x14ac:dyDescent="0.25">
      <c r="A172" s="2756"/>
      <c r="B172" s="2728"/>
      <c r="C172" s="2729"/>
      <c r="D172" s="2930"/>
      <c r="E172" s="2324"/>
      <c r="F172" s="2298"/>
      <c r="G172" s="299" t="s">
        <v>9</v>
      </c>
      <c r="H172" s="1410">
        <f>SUM(H170:H171)</f>
        <v>61400</v>
      </c>
      <c r="I172" s="2380">
        <f>SUM(I170:I171)</f>
        <v>61400</v>
      </c>
      <c r="J172" s="2661"/>
      <c r="K172" s="2671"/>
      <c r="L172" s="18"/>
      <c r="M172" s="248"/>
      <c r="N172" s="248"/>
      <c r="O172" s="249"/>
      <c r="Q172" s="14"/>
    </row>
    <row r="173" spans="1:17" ht="15" customHeight="1" x14ac:dyDescent="0.2">
      <c r="A173" s="2755" t="s">
        <v>8</v>
      </c>
      <c r="B173" s="2847" t="s">
        <v>50</v>
      </c>
      <c r="C173" s="2732" t="s">
        <v>52</v>
      </c>
      <c r="D173" s="2743" t="s">
        <v>61</v>
      </c>
      <c r="E173" s="2852"/>
      <c r="F173" s="2738" t="s">
        <v>57</v>
      </c>
      <c r="G173" s="94" t="s">
        <v>392</v>
      </c>
      <c r="H173" s="1402">
        <f>317.7/3.4528*1000</f>
        <v>92012</v>
      </c>
      <c r="I173" s="2377">
        <f>317.7/3.4528*1000</f>
        <v>92012</v>
      </c>
      <c r="J173" s="2663"/>
      <c r="K173" s="2658"/>
      <c r="L173" s="2487"/>
      <c r="M173" s="1144"/>
      <c r="N173" s="1144"/>
      <c r="O173" s="1495"/>
      <c r="Q173" s="14"/>
    </row>
    <row r="174" spans="1:17" ht="15.75" customHeight="1" thickBot="1" x14ac:dyDescent="0.25">
      <c r="A174" s="2756"/>
      <c r="B174" s="2728"/>
      <c r="C174" s="2729"/>
      <c r="D174" s="2787"/>
      <c r="E174" s="2853"/>
      <c r="F174" s="2739"/>
      <c r="G174" s="299" t="s">
        <v>9</v>
      </c>
      <c r="H174" s="1410">
        <f>SUM(H173:H173)</f>
        <v>92012</v>
      </c>
      <c r="I174" s="2380">
        <f>SUM(I173:I173)</f>
        <v>92012</v>
      </c>
      <c r="J174" s="2661"/>
      <c r="K174" s="2671"/>
      <c r="L174" s="18"/>
      <c r="M174" s="248"/>
      <c r="N174" s="248"/>
      <c r="O174" s="249"/>
      <c r="Q174" s="14"/>
    </row>
    <row r="175" spans="1:17" ht="14.25" customHeight="1" thickBot="1" x14ac:dyDescent="0.25">
      <c r="A175" s="383" t="s">
        <v>8</v>
      </c>
      <c r="B175" s="11" t="s">
        <v>50</v>
      </c>
      <c r="C175" s="2730" t="s">
        <v>11</v>
      </c>
      <c r="D175" s="2730"/>
      <c r="E175" s="2730"/>
      <c r="F175" s="2730"/>
      <c r="G175" s="2731"/>
      <c r="H175" s="1417">
        <f>SUM(H174,H169,H166,H159,,H172)</f>
        <v>2341435</v>
      </c>
      <c r="I175" s="2381">
        <f>SUM(I174,I169,I166,I159,,I172)</f>
        <v>2341435</v>
      </c>
      <c r="J175" s="2530"/>
      <c r="K175" s="2677"/>
      <c r="L175" s="2753"/>
      <c r="M175" s="2725"/>
      <c r="N175" s="2725"/>
      <c r="O175" s="2726"/>
    </row>
    <row r="176" spans="1:17" ht="14.25" customHeight="1" thickBot="1" x14ac:dyDescent="0.25">
      <c r="A176" s="383" t="s">
        <v>8</v>
      </c>
      <c r="B176" s="2830" t="s">
        <v>12</v>
      </c>
      <c r="C176" s="2831"/>
      <c r="D176" s="2831"/>
      <c r="E176" s="2831"/>
      <c r="F176" s="2831"/>
      <c r="G176" s="2832"/>
      <c r="H176" s="1420">
        <f>H175+H150+H102+H88</f>
        <v>13425851</v>
      </c>
      <c r="I176" s="2382">
        <f>I175+I150+I102+I88</f>
        <v>13353840</v>
      </c>
      <c r="J176" s="2531">
        <f>J175+J150+J102+J88</f>
        <v>-72011</v>
      </c>
      <c r="K176" s="2678">
        <f>K175+K150+K102+K88</f>
        <v>72028</v>
      </c>
      <c r="L176" s="2833"/>
      <c r="M176" s="2834"/>
      <c r="N176" s="2834"/>
      <c r="O176" s="2835"/>
    </row>
    <row r="177" spans="1:36" ht="14.25" customHeight="1" thickBot="1" x14ac:dyDescent="0.25">
      <c r="A177" s="154" t="s">
        <v>54</v>
      </c>
      <c r="B177" s="2836" t="s">
        <v>101</v>
      </c>
      <c r="C177" s="2837"/>
      <c r="D177" s="2837"/>
      <c r="E177" s="2837"/>
      <c r="F177" s="2837"/>
      <c r="G177" s="2838"/>
      <c r="H177" s="1423">
        <f>H176</f>
        <v>13425851</v>
      </c>
      <c r="I177" s="2383">
        <f>I176</f>
        <v>13353840</v>
      </c>
      <c r="J177" s="2532">
        <f t="shared" ref="J177:K177" si="8">SUM(J176)</f>
        <v>-72011</v>
      </c>
      <c r="K177" s="2681">
        <f t="shared" si="8"/>
        <v>72028</v>
      </c>
      <c r="L177" s="2839"/>
      <c r="M177" s="2840"/>
      <c r="N177" s="2840"/>
      <c r="O177" s="2841"/>
    </row>
    <row r="178" spans="1:36" s="22" customFormat="1" ht="12.75" customHeight="1" x14ac:dyDescent="0.2">
      <c r="A178" s="2826"/>
      <c r="B178" s="2826"/>
      <c r="C178" s="2826"/>
      <c r="D178" s="2826"/>
      <c r="E178" s="2826"/>
      <c r="F178" s="2826"/>
      <c r="G178" s="2826"/>
      <c r="H178" s="2826"/>
      <c r="I178" s="2826"/>
      <c r="J178" s="2826"/>
      <c r="K178" s="2826"/>
      <c r="L178" s="2826"/>
      <c r="M178" s="2826"/>
      <c r="N178" s="2826"/>
      <c r="O178" s="2826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</row>
    <row r="179" spans="1:36" s="22" customFormat="1" ht="15" customHeight="1" thickBot="1" x14ac:dyDescent="0.25">
      <c r="A179" s="2754" t="s">
        <v>17</v>
      </c>
      <c r="B179" s="2754"/>
      <c r="C179" s="2754"/>
      <c r="D179" s="2754"/>
      <c r="E179" s="2754"/>
      <c r="F179" s="2754"/>
      <c r="G179" s="2754"/>
      <c r="H179" s="2754"/>
      <c r="I179" s="2754"/>
      <c r="J179" s="2754"/>
      <c r="K179" s="2533"/>
      <c r="L179" s="5"/>
      <c r="M179" s="5"/>
      <c r="N179" s="5"/>
      <c r="O179" s="5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</row>
    <row r="180" spans="1:36" ht="57" customHeight="1" thickBot="1" x14ac:dyDescent="0.25">
      <c r="A180" s="2827" t="s">
        <v>13</v>
      </c>
      <c r="B180" s="2828"/>
      <c r="C180" s="2828"/>
      <c r="D180" s="2828"/>
      <c r="E180" s="2828"/>
      <c r="F180" s="2828"/>
      <c r="G180" s="2829"/>
      <c r="H180" s="2395" t="s">
        <v>159</v>
      </c>
      <c r="I180" s="2397" t="s">
        <v>309</v>
      </c>
      <c r="J180" s="2396" t="s">
        <v>310</v>
      </c>
      <c r="K180" s="2397" t="s">
        <v>420</v>
      </c>
      <c r="L180" s="21"/>
    </row>
    <row r="181" spans="1:36" ht="14.25" customHeight="1" x14ac:dyDescent="0.2">
      <c r="A181" s="2817" t="s">
        <v>18</v>
      </c>
      <c r="B181" s="2818"/>
      <c r="C181" s="2818"/>
      <c r="D181" s="2818"/>
      <c r="E181" s="2818"/>
      <c r="F181" s="2818"/>
      <c r="G181" s="2819"/>
      <c r="H181" s="2384">
        <f ca="1">H182+H188+H190+H189</f>
        <v>10298072</v>
      </c>
      <c r="I181" s="2390">
        <f>I182+I188+I190+I189</f>
        <v>10608242</v>
      </c>
      <c r="J181" s="2401">
        <f t="shared" ref="J181" si="9">J182+J188+J190+J189</f>
        <v>310170</v>
      </c>
      <c r="K181" s="2401">
        <f t="shared" ref="K181" si="10">K182+K188+K190+K189</f>
        <v>72028</v>
      </c>
      <c r="L181" s="21"/>
    </row>
    <row r="182" spans="1:36" ht="14.25" customHeight="1" x14ac:dyDescent="0.2">
      <c r="A182" s="2823" t="s">
        <v>217</v>
      </c>
      <c r="B182" s="2824"/>
      <c r="C182" s="2824"/>
      <c r="D182" s="2824"/>
      <c r="E182" s="2824"/>
      <c r="F182" s="2824"/>
      <c r="G182" s="2825"/>
      <c r="H182" s="2160">
        <f ca="1">SUM(H183:H187)</f>
        <v>9915990</v>
      </c>
      <c r="I182" s="2391">
        <f>SUM(I183:I187)</f>
        <v>10226160</v>
      </c>
      <c r="J182" s="2402">
        <f t="shared" ref="J182" si="11">SUM(J183:J187)</f>
        <v>310170</v>
      </c>
      <c r="K182" s="2402">
        <f t="shared" ref="K182" si="12">SUM(K183:K187)</f>
        <v>72028</v>
      </c>
      <c r="L182" s="21"/>
    </row>
    <row r="183" spans="1:36" x14ac:dyDescent="0.2">
      <c r="A183" s="2814" t="s">
        <v>33</v>
      </c>
      <c r="B183" s="2815"/>
      <c r="C183" s="2815"/>
      <c r="D183" s="2815"/>
      <c r="E183" s="2815"/>
      <c r="F183" s="2815"/>
      <c r="G183" s="2816"/>
      <c r="H183" s="2385">
        <f>SUMIF(G13:G177,"SB",H13:H177)</f>
        <v>5325214</v>
      </c>
      <c r="I183" s="2392">
        <f>SUMIF(G13:G177,"SB",I13:I177)</f>
        <v>5325214</v>
      </c>
      <c r="J183" s="1745">
        <f>SUMIF(G13:G177,"SB",J13:J177)</f>
        <v>0</v>
      </c>
      <c r="K183" s="1745">
        <f>SUMIF(H13:H177,"SB",K13:K177)</f>
        <v>0</v>
      </c>
      <c r="L183" s="2679"/>
    </row>
    <row r="184" spans="1:36" x14ac:dyDescent="0.2">
      <c r="A184" s="2811" t="s">
        <v>34</v>
      </c>
      <c r="B184" s="2812"/>
      <c r="C184" s="2812"/>
      <c r="D184" s="2812"/>
      <c r="E184" s="2812"/>
      <c r="F184" s="2812"/>
      <c r="G184" s="2813"/>
      <c r="H184" s="2385">
        <f>SUMIF(G13:G177,"SB(P)",H13:H177)</f>
        <v>120829</v>
      </c>
      <c r="I184" s="2392">
        <f>SUMIF(G13:G177,"SB(P)",I13:I177)</f>
        <v>120829</v>
      </c>
      <c r="J184" s="1745">
        <f>SUMIF(G13:G177,"SB(P)",J13:J177)</f>
        <v>0</v>
      </c>
      <c r="K184" s="1745">
        <f>SUMIF(H13:H177,"SB(P)",K13:K177)</f>
        <v>0</v>
      </c>
      <c r="L184" s="2679"/>
    </row>
    <row r="185" spans="1:36" x14ac:dyDescent="0.2">
      <c r="A185" s="2811" t="s">
        <v>123</v>
      </c>
      <c r="B185" s="2812"/>
      <c r="C185" s="2812"/>
      <c r="D185" s="2812"/>
      <c r="E185" s="2812"/>
      <c r="F185" s="2812"/>
      <c r="G185" s="2813"/>
      <c r="H185" s="2385">
        <f>SUMIF(G13:G177,"SB(VR)",H13:H177)</f>
        <v>1084598</v>
      </c>
      <c r="I185" s="2392">
        <f>SUMIF(G13:G177,"SB(VR)",I13:I177)</f>
        <v>1084598</v>
      </c>
      <c r="J185" s="1745">
        <f>SUMIF(G13:G177,"SB(VR)",J13:J177)</f>
        <v>0</v>
      </c>
      <c r="K185" s="1745">
        <f>SUMIF(H13:H177,"SB(VR)",K13:K177)</f>
        <v>0</v>
      </c>
      <c r="L185" s="2679"/>
    </row>
    <row r="186" spans="1:36" x14ac:dyDescent="0.2">
      <c r="A186" s="2811" t="s">
        <v>332</v>
      </c>
      <c r="B186" s="2812"/>
      <c r="C186" s="2812"/>
      <c r="D186" s="2812"/>
      <c r="E186" s="2812"/>
      <c r="F186" s="2812"/>
      <c r="G186" s="2813"/>
      <c r="H186" s="2385">
        <f ca="1">SUMIF(G14:G177,"SB(L)",H14:H175)</f>
        <v>8974</v>
      </c>
      <c r="I186" s="2392">
        <f>SUMIF(G14:G177,"SB(L)",I14:I177)</f>
        <v>8974</v>
      </c>
      <c r="J186" s="1745">
        <f>SUMIF(G12:G175,"SB(L)",J12:J175)</f>
        <v>0</v>
      </c>
      <c r="K186" s="1745">
        <f>SUMIF(H12:H175,"SB(L)",K12:K175)</f>
        <v>0</v>
      </c>
      <c r="L186" s="21"/>
    </row>
    <row r="187" spans="1:36" x14ac:dyDescent="0.2">
      <c r="A187" s="2800" t="s">
        <v>403</v>
      </c>
      <c r="B187" s="2801"/>
      <c r="C187" s="2801"/>
      <c r="D187" s="2801"/>
      <c r="E187" s="2801"/>
      <c r="F187" s="2801"/>
      <c r="G187" s="2802"/>
      <c r="H187" s="2386">
        <f>SUMIF(G14:G177,"SB(KPP)",H14:H177)</f>
        <v>3376375</v>
      </c>
      <c r="I187" s="2393">
        <f>SUMIF(G14:G177,"SB(KPP)",I14:I177)</f>
        <v>3686545</v>
      </c>
      <c r="J187" s="2403">
        <f>SUMIF(G14:G177,"SB(KPP)",J14:J177)</f>
        <v>310170</v>
      </c>
      <c r="K187" s="2403">
        <f>SUMIF(G14:G177,"SB(KPP)",K14:K177)</f>
        <v>72028</v>
      </c>
      <c r="L187" s="2679"/>
      <c r="Q187" s="130"/>
    </row>
    <row r="188" spans="1:36" x14ac:dyDescent="0.2">
      <c r="A188" s="2720" t="s">
        <v>134</v>
      </c>
      <c r="B188" s="2721"/>
      <c r="C188" s="2721"/>
      <c r="D188" s="2721"/>
      <c r="E188" s="2721"/>
      <c r="F188" s="2721"/>
      <c r="G188" s="2722"/>
      <c r="H188" s="1508">
        <f>SUMIF(G13:G177,"SB(VRL)",H13:H177)</f>
        <v>72307</v>
      </c>
      <c r="I188" s="2354">
        <f>SUMIF(G13:G177,"SB(VRL)",I13:I177)</f>
        <v>72307</v>
      </c>
      <c r="J188" s="2404">
        <f>SUMIF(G13:G178,"SB(VRL)",J13:J178)</f>
        <v>0</v>
      </c>
      <c r="K188" s="2404">
        <f>SUMIF(H13:H178,"SB(VRL)",K13:K178)</f>
        <v>0</v>
      </c>
      <c r="L188" s="2679"/>
    </row>
    <row r="189" spans="1:36" x14ac:dyDescent="0.2">
      <c r="A189" s="2720" t="s">
        <v>331</v>
      </c>
      <c r="B189" s="2721"/>
      <c r="C189" s="2721"/>
      <c r="D189" s="2721"/>
      <c r="E189" s="2721"/>
      <c r="F189" s="2721"/>
      <c r="G189" s="2722"/>
      <c r="H189" s="1508">
        <f>SUMIF(G13:G178,"SB(ŽPL)",H13:H178)</f>
        <v>309775</v>
      </c>
      <c r="I189" s="2354">
        <f>SUMIF(G13:G177,"SB(ŽPL)",I13:I177)</f>
        <v>309775</v>
      </c>
      <c r="J189" s="2404">
        <f>SUMIF(G14:G179,"SB(ŽPL)",J14:J179)</f>
        <v>0</v>
      </c>
      <c r="K189" s="2404">
        <f>SUMIF(H14:H179,"SB(ŽPL)",K14:K179)</f>
        <v>0</v>
      </c>
      <c r="L189" s="2679"/>
    </row>
    <row r="190" spans="1:36" x14ac:dyDescent="0.2">
      <c r="A190" s="2720" t="s">
        <v>140</v>
      </c>
      <c r="B190" s="2809"/>
      <c r="C190" s="2809"/>
      <c r="D190" s="2809"/>
      <c r="E190" s="2809"/>
      <c r="F190" s="2809"/>
      <c r="G190" s="2810"/>
      <c r="H190" s="1508">
        <f>SUMIF(G13:G177,"PF",H13:H177)</f>
        <v>0</v>
      </c>
      <c r="I190" s="2354">
        <f>SUMIF(G13:G177,"PF",I13:I177)</f>
        <v>0</v>
      </c>
      <c r="J190" s="2404">
        <f>SUMIF(G13:G175,"PF",J13:J177)</f>
        <v>0</v>
      </c>
      <c r="K190" s="2404">
        <f>SUMIF(H13:H175,"PF",K13:K177)</f>
        <v>0</v>
      </c>
      <c r="L190" s="21"/>
    </row>
    <row r="191" spans="1:36" x14ac:dyDescent="0.2">
      <c r="A191" s="2803" t="s">
        <v>19</v>
      </c>
      <c r="B191" s="2804"/>
      <c r="C191" s="2804"/>
      <c r="D191" s="2804"/>
      <c r="E191" s="2804"/>
      <c r="F191" s="2804"/>
      <c r="G191" s="2805"/>
      <c r="H191" s="2387">
        <f>H192+H194+H195+H196+H193</f>
        <v>3127779</v>
      </c>
      <c r="I191" s="2394">
        <f>I192+I194+I195+I196+I193</f>
        <v>2745598</v>
      </c>
      <c r="J191" s="2405">
        <f t="shared" ref="J191" si="13">J192+J194+J195+J196+J193</f>
        <v>-382181</v>
      </c>
      <c r="K191" s="2405">
        <f t="shared" ref="K191" si="14">K192+K194+K195+K196+K193</f>
        <v>0</v>
      </c>
      <c r="L191" s="21"/>
    </row>
    <row r="192" spans="1:36" x14ac:dyDescent="0.2">
      <c r="A192" s="2806" t="s">
        <v>35</v>
      </c>
      <c r="B192" s="2807"/>
      <c r="C192" s="2807"/>
      <c r="D192" s="2807"/>
      <c r="E192" s="2807"/>
      <c r="F192" s="2807"/>
      <c r="G192" s="2808"/>
      <c r="H192" s="2386">
        <f>SUMIF(G13:G177,"ES",H13:H177)</f>
        <v>1981696</v>
      </c>
      <c r="I192" s="2393">
        <f>SUMIF(G13:G177,"ES",I13:I177)</f>
        <v>1981696</v>
      </c>
      <c r="J192" s="2403">
        <f>SUMIF(G13:G177,"ES",J13:J177)</f>
        <v>0</v>
      </c>
      <c r="K192" s="2403">
        <f>SUMIF(H13:H177,"ES",K13:K177)</f>
        <v>0</v>
      </c>
      <c r="L192" s="2679"/>
    </row>
    <row r="193" spans="1:15" x14ac:dyDescent="0.2">
      <c r="A193" s="2800" t="s">
        <v>36</v>
      </c>
      <c r="B193" s="2801"/>
      <c r="C193" s="2801"/>
      <c r="D193" s="2801"/>
      <c r="E193" s="2801"/>
      <c r="F193" s="2801"/>
      <c r="G193" s="2802"/>
      <c r="H193" s="2386">
        <f>SUMIF(G14:G177,"KPP",H14:H177)</f>
        <v>382181</v>
      </c>
      <c r="I193" s="2393">
        <f>SUMIF(G14:G177,"KPP",I14:I177)</f>
        <v>0</v>
      </c>
      <c r="J193" s="2403">
        <f>SUMIF(G14:G177,"KPP",J14:J177)</f>
        <v>-382181</v>
      </c>
      <c r="K193" s="2403">
        <f>SUMIF(H14:H177,"KPP",K14:K177)</f>
        <v>0</v>
      </c>
      <c r="L193" s="2679"/>
    </row>
    <row r="194" spans="1:15" x14ac:dyDescent="0.2">
      <c r="A194" s="2800" t="s">
        <v>37</v>
      </c>
      <c r="B194" s="2801"/>
      <c r="C194" s="2801"/>
      <c r="D194" s="2801"/>
      <c r="E194" s="2801"/>
      <c r="F194" s="2801"/>
      <c r="G194" s="2802"/>
      <c r="H194" s="2386">
        <f>SUMIF(G13:G177,"KVJUD",H13:H177)</f>
        <v>516074</v>
      </c>
      <c r="I194" s="2393">
        <f>SUMIF(G13:G177,"KVJUD",I13:I177)</f>
        <v>516074</v>
      </c>
      <c r="J194" s="2403">
        <f>SUMIF(G13:G177,"KVJUD",J13:J177)</f>
        <v>0</v>
      </c>
      <c r="K194" s="2403">
        <f>SUMIF(H13:H177,"KVJUD",K13:K177)</f>
        <v>0</v>
      </c>
      <c r="L194" s="2680"/>
      <c r="M194" s="6"/>
      <c r="N194" s="6"/>
      <c r="O194" s="6"/>
    </row>
    <row r="195" spans="1:15" x14ac:dyDescent="0.2">
      <c r="A195" s="2797" t="s">
        <v>38</v>
      </c>
      <c r="B195" s="2798"/>
      <c r="C195" s="2798"/>
      <c r="D195" s="2798"/>
      <c r="E195" s="2798"/>
      <c r="F195" s="2798"/>
      <c r="G195" s="2799"/>
      <c r="H195" s="2386">
        <f>SUMIF(G13:G177,"LRVB",H13:H177)</f>
        <v>0</v>
      </c>
      <c r="I195" s="2393">
        <f>SUMIF(G13:G177,"LRVB",I13:I177)</f>
        <v>0</v>
      </c>
      <c r="J195" s="2403">
        <f>SUMIF(G13:G177,"LRVB",J13:J177)</f>
        <v>0</v>
      </c>
      <c r="K195" s="2403">
        <f>SUMIF(H13:H177,"LRVB",K13:K177)</f>
        <v>0</v>
      </c>
      <c r="L195" s="2680"/>
      <c r="M195" s="6"/>
      <c r="N195" s="6"/>
      <c r="O195" s="6"/>
    </row>
    <row r="196" spans="1:15" x14ac:dyDescent="0.2">
      <c r="A196" s="2797" t="s">
        <v>39</v>
      </c>
      <c r="B196" s="2798"/>
      <c r="C196" s="2798"/>
      <c r="D196" s="2798"/>
      <c r="E196" s="2798"/>
      <c r="F196" s="2798"/>
      <c r="G196" s="2799"/>
      <c r="H196" s="2386">
        <f>SUMIF(G13:G177,"Kt",H13:H177)</f>
        <v>247828</v>
      </c>
      <c r="I196" s="2393">
        <f>SUMIF(G13:G177,"Kt",I13:I177)</f>
        <v>247828</v>
      </c>
      <c r="J196" s="2403">
        <f>SUMIF(G13:G177,"Kt",J13:J177)</f>
        <v>0</v>
      </c>
      <c r="K196" s="2403">
        <f>SUMIF(H13:H177,"Kt",K13:K177)</f>
        <v>0</v>
      </c>
      <c r="L196" s="2680"/>
      <c r="M196" s="6"/>
      <c r="N196" s="6"/>
      <c r="O196" s="6"/>
    </row>
    <row r="197" spans="1:15" ht="13.5" thickBot="1" x14ac:dyDescent="0.25">
      <c r="A197" s="2793" t="s">
        <v>20</v>
      </c>
      <c r="B197" s="2794"/>
      <c r="C197" s="2794"/>
      <c r="D197" s="2794"/>
      <c r="E197" s="2794"/>
      <c r="F197" s="2794"/>
      <c r="G197" s="2795"/>
      <c r="H197" s="2388">
        <f ca="1">H191+H181</f>
        <v>13425851</v>
      </c>
      <c r="I197" s="2389">
        <f>I191+I181</f>
        <v>13353840</v>
      </c>
      <c r="J197" s="2406">
        <f t="shared" ref="J197:K197" si="15">J191+J181</f>
        <v>-72011</v>
      </c>
      <c r="K197" s="2406">
        <f t="shared" si="15"/>
        <v>72028</v>
      </c>
      <c r="L197" s="15"/>
      <c r="M197" s="6"/>
      <c r="N197" s="6"/>
      <c r="O197" s="6"/>
    </row>
    <row r="199" spans="1:15" x14ac:dyDescent="0.2">
      <c r="G199" s="936"/>
      <c r="J199" s="118"/>
      <c r="K199" s="118"/>
      <c r="L199" s="118"/>
    </row>
    <row r="201" spans="1:15" x14ac:dyDescent="0.2">
      <c r="H201" s="2080"/>
      <c r="I201" s="2080"/>
    </row>
    <row r="202" spans="1:15" x14ac:dyDescent="0.2">
      <c r="J202" s="118"/>
      <c r="K202" s="118"/>
    </row>
    <row r="203" spans="1:15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</row>
    <row r="204" spans="1:15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</row>
  </sheetData>
  <mergeCells count="247">
    <mergeCell ref="G6:G8"/>
    <mergeCell ref="H6:H8"/>
    <mergeCell ref="I6:I8"/>
    <mergeCell ref="J6:J8"/>
    <mergeCell ref="L6:O6"/>
    <mergeCell ref="L7:L8"/>
    <mergeCell ref="M7:O7"/>
    <mergeCell ref="A2:O2"/>
    <mergeCell ref="A3:O3"/>
    <mergeCell ref="A4:O4"/>
    <mergeCell ref="M5:O5"/>
    <mergeCell ref="A6:A8"/>
    <mergeCell ref="B6:B8"/>
    <mergeCell ref="C6:C8"/>
    <mergeCell ref="D6:D8"/>
    <mergeCell ref="E6:E8"/>
    <mergeCell ref="F6:F8"/>
    <mergeCell ref="K6:K8"/>
    <mergeCell ref="A9:O9"/>
    <mergeCell ref="A10:O10"/>
    <mergeCell ref="B11:O11"/>
    <mergeCell ref="C12:O12"/>
    <mergeCell ref="A14:A16"/>
    <mergeCell ref="B14:B16"/>
    <mergeCell ref="C14:C16"/>
    <mergeCell ref="E14:E16"/>
    <mergeCell ref="F14:F16"/>
    <mergeCell ref="F19:F20"/>
    <mergeCell ref="A21:A23"/>
    <mergeCell ref="B21:B23"/>
    <mergeCell ref="C21:C23"/>
    <mergeCell ref="D21:D22"/>
    <mergeCell ref="E21:E23"/>
    <mergeCell ref="D17:D18"/>
    <mergeCell ref="A19:A20"/>
    <mergeCell ref="B19:B20"/>
    <mergeCell ref="C19:C20"/>
    <mergeCell ref="D19:D20"/>
    <mergeCell ref="E19:E20"/>
    <mergeCell ref="D25:D27"/>
    <mergeCell ref="E25:E27"/>
    <mergeCell ref="L25:L27"/>
    <mergeCell ref="A28:A30"/>
    <mergeCell ref="B28:B30"/>
    <mergeCell ref="C28:C30"/>
    <mergeCell ref="D28:D30"/>
    <mergeCell ref="E28:E30"/>
    <mergeCell ref="F28:F30"/>
    <mergeCell ref="L28:L30"/>
    <mergeCell ref="F39:F40"/>
    <mergeCell ref="L39:L40"/>
    <mergeCell ref="F32:F35"/>
    <mergeCell ref="A36:A37"/>
    <mergeCell ref="B36:B37"/>
    <mergeCell ref="C36:C37"/>
    <mergeCell ref="D36:D37"/>
    <mergeCell ref="F36:F37"/>
    <mergeCell ref="A32:A35"/>
    <mergeCell ref="B32:B35"/>
    <mergeCell ref="C32:C35"/>
    <mergeCell ref="D32:D35"/>
    <mergeCell ref="E32:E35"/>
    <mergeCell ref="D44:D45"/>
    <mergeCell ref="A49:A53"/>
    <mergeCell ref="B49:B53"/>
    <mergeCell ref="C49:C53"/>
    <mergeCell ref="D49:D53"/>
    <mergeCell ref="E49:E53"/>
    <mergeCell ref="A39:A40"/>
    <mergeCell ref="B39:B40"/>
    <mergeCell ref="C39:C40"/>
    <mergeCell ref="D39:D40"/>
    <mergeCell ref="L56:L57"/>
    <mergeCell ref="D60:D61"/>
    <mergeCell ref="E60:E61"/>
    <mergeCell ref="F60:F61"/>
    <mergeCell ref="L60:L61"/>
    <mergeCell ref="F49:F53"/>
    <mergeCell ref="L49:L53"/>
    <mergeCell ref="A54:A55"/>
    <mergeCell ref="B54:B55"/>
    <mergeCell ref="C54:C55"/>
    <mergeCell ref="D54:D55"/>
    <mergeCell ref="E54:E55"/>
    <mergeCell ref="F54:F55"/>
    <mergeCell ref="L54:L55"/>
    <mergeCell ref="A62:A63"/>
    <mergeCell ref="B62:B63"/>
    <mergeCell ref="C62:C63"/>
    <mergeCell ref="D62:D63"/>
    <mergeCell ref="E62:E63"/>
    <mergeCell ref="F62:F63"/>
    <mergeCell ref="A56:A57"/>
    <mergeCell ref="B56:B57"/>
    <mergeCell ref="C56:C57"/>
    <mergeCell ref="D56:D58"/>
    <mergeCell ref="E72:E73"/>
    <mergeCell ref="A78:A80"/>
    <mergeCell ref="B78:B80"/>
    <mergeCell ref="C78:C80"/>
    <mergeCell ref="D78:D80"/>
    <mergeCell ref="F78:F80"/>
    <mergeCell ref="L64:L66"/>
    <mergeCell ref="D68:D70"/>
    <mergeCell ref="L68:L70"/>
    <mergeCell ref="E69:E70"/>
    <mergeCell ref="A71:A73"/>
    <mergeCell ref="B71:B73"/>
    <mergeCell ref="C71:C73"/>
    <mergeCell ref="D71:D72"/>
    <mergeCell ref="F71:F73"/>
    <mergeCell ref="L71:L72"/>
    <mergeCell ref="A64:A66"/>
    <mergeCell ref="B64:B66"/>
    <mergeCell ref="C64:C66"/>
    <mergeCell ref="D64:D66"/>
    <mergeCell ref="E64:E66"/>
    <mergeCell ref="F64:F66"/>
    <mergeCell ref="L78:L80"/>
    <mergeCell ref="M78:M80"/>
    <mergeCell ref="A81:A82"/>
    <mergeCell ref="B81:B82"/>
    <mergeCell ref="C81:C82"/>
    <mergeCell ref="D81:D82"/>
    <mergeCell ref="E81:E82"/>
    <mergeCell ref="F81:F82"/>
    <mergeCell ref="L81:L82"/>
    <mergeCell ref="A100:A101"/>
    <mergeCell ref="B100:B101"/>
    <mergeCell ref="C100:C101"/>
    <mergeCell ref="D100:D101"/>
    <mergeCell ref="E100:E101"/>
    <mergeCell ref="F100:F101"/>
    <mergeCell ref="D83:D84"/>
    <mergeCell ref="L83:L84"/>
    <mergeCell ref="A85:A87"/>
    <mergeCell ref="B85:B87"/>
    <mergeCell ref="C85:C87"/>
    <mergeCell ref="D85:D87"/>
    <mergeCell ref="E85:E87"/>
    <mergeCell ref="F85:F87"/>
    <mergeCell ref="L85:L86"/>
    <mergeCell ref="L100:L101"/>
    <mergeCell ref="C102:G102"/>
    <mergeCell ref="L102:O102"/>
    <mergeCell ref="C103:O103"/>
    <mergeCell ref="D105:D106"/>
    <mergeCell ref="D107:D109"/>
    <mergeCell ref="F107:F108"/>
    <mergeCell ref="C88:G88"/>
    <mergeCell ref="C89:O89"/>
    <mergeCell ref="D90:D92"/>
    <mergeCell ref="E90:E92"/>
    <mergeCell ref="L131:L132"/>
    <mergeCell ref="A133:A135"/>
    <mergeCell ref="B133:B135"/>
    <mergeCell ref="C133:C135"/>
    <mergeCell ref="D133:D135"/>
    <mergeCell ref="E133:E135"/>
    <mergeCell ref="D114:D115"/>
    <mergeCell ref="A116:A121"/>
    <mergeCell ref="B116:B121"/>
    <mergeCell ref="C116:C121"/>
    <mergeCell ref="D116:D117"/>
    <mergeCell ref="A122:A126"/>
    <mergeCell ref="B122:B126"/>
    <mergeCell ref="C122:C126"/>
    <mergeCell ref="D122:D126"/>
    <mergeCell ref="A136:A138"/>
    <mergeCell ref="B136:B138"/>
    <mergeCell ref="C136:C138"/>
    <mergeCell ref="D136:D138"/>
    <mergeCell ref="E136:E138"/>
    <mergeCell ref="F136:F138"/>
    <mergeCell ref="E123:E124"/>
    <mergeCell ref="D129:D132"/>
    <mergeCell ref="E129:E132"/>
    <mergeCell ref="F129:F131"/>
    <mergeCell ref="D140:D144"/>
    <mergeCell ref="F140:F144"/>
    <mergeCell ref="D145:D146"/>
    <mergeCell ref="C147:C149"/>
    <mergeCell ref="D147:D149"/>
    <mergeCell ref="E147:E149"/>
    <mergeCell ref="F147:F149"/>
    <mergeCell ref="F133:F135"/>
    <mergeCell ref="L134:L135"/>
    <mergeCell ref="C150:G150"/>
    <mergeCell ref="L150:O150"/>
    <mergeCell ref="C151:O151"/>
    <mergeCell ref="L158:L159"/>
    <mergeCell ref="A160:A166"/>
    <mergeCell ref="B160:B166"/>
    <mergeCell ref="C160:C166"/>
    <mergeCell ref="D160:D161"/>
    <mergeCell ref="D162:D164"/>
    <mergeCell ref="D165:D166"/>
    <mergeCell ref="A170:A172"/>
    <mergeCell ref="B170:B172"/>
    <mergeCell ref="C170:C172"/>
    <mergeCell ref="D171:D172"/>
    <mergeCell ref="A173:A174"/>
    <mergeCell ref="B173:B174"/>
    <mergeCell ref="C173:C174"/>
    <mergeCell ref="D173:D174"/>
    <mergeCell ref="L165:L166"/>
    <mergeCell ref="A167:A169"/>
    <mergeCell ref="B167:B169"/>
    <mergeCell ref="C167:C169"/>
    <mergeCell ref="D167:D169"/>
    <mergeCell ref="E167:E169"/>
    <mergeCell ref="F167:F169"/>
    <mergeCell ref="L177:O177"/>
    <mergeCell ref="A178:O178"/>
    <mergeCell ref="A179:J179"/>
    <mergeCell ref="A180:G180"/>
    <mergeCell ref="A181:G181"/>
    <mergeCell ref="E173:E174"/>
    <mergeCell ref="F173:F174"/>
    <mergeCell ref="C175:G175"/>
    <mergeCell ref="L175:O175"/>
    <mergeCell ref="B176:G176"/>
    <mergeCell ref="L176:O176"/>
    <mergeCell ref="F42:F43"/>
    <mergeCell ref="A194:G194"/>
    <mergeCell ref="A195:G195"/>
    <mergeCell ref="A196:G196"/>
    <mergeCell ref="A197:G197"/>
    <mergeCell ref="L1:O1"/>
    <mergeCell ref="D47:D48"/>
    <mergeCell ref="A42:A43"/>
    <mergeCell ref="B42:B43"/>
    <mergeCell ref="C42:C43"/>
    <mergeCell ref="D42:D43"/>
    <mergeCell ref="A188:G188"/>
    <mergeCell ref="A189:G189"/>
    <mergeCell ref="A190:G190"/>
    <mergeCell ref="A191:G191"/>
    <mergeCell ref="A192:G192"/>
    <mergeCell ref="A193:G193"/>
    <mergeCell ref="A182:G182"/>
    <mergeCell ref="A183:G183"/>
    <mergeCell ref="A184:G184"/>
    <mergeCell ref="A185:G185"/>
    <mergeCell ref="A186:G186"/>
    <mergeCell ref="A187:G187"/>
    <mergeCell ref="B177:G177"/>
  </mergeCells>
  <pageMargins left="0.78740157480314965" right="0" top="0.19685039370078741" bottom="0.19685039370078741" header="0" footer="0"/>
  <pageSetup paperSize="9" scale="70" orientation="portrait" r:id="rId1"/>
  <headerFooter differentOddEven="1"/>
  <rowBreaks count="3" manualBreakCount="3">
    <brk id="58" max="14" man="1"/>
    <brk id="106" max="14" man="1"/>
    <brk id="153" max="1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11"/>
  <sheetViews>
    <sheetView zoomScaleNormal="100" zoomScaleSheetLayoutView="100" workbookViewId="0">
      <selection activeCell="D159" sqref="D159"/>
    </sheetView>
  </sheetViews>
  <sheetFormatPr defaultRowHeight="12.75" x14ac:dyDescent="0.2"/>
  <cols>
    <col min="1" max="3" width="2.7109375" style="9" customWidth="1"/>
    <col min="4" max="4" width="38.42578125" style="9" customWidth="1"/>
    <col min="5" max="5" width="2.7109375" style="68" customWidth="1"/>
    <col min="6" max="6" width="3.42578125" style="114" customWidth="1"/>
    <col min="7" max="7" width="10.140625" style="10" customWidth="1"/>
    <col min="8" max="9" width="11.5703125" style="9" customWidth="1"/>
    <col min="10" max="10" width="12.85546875" style="9" customWidth="1"/>
    <col min="11" max="11" width="28.5703125" style="6" customWidth="1"/>
    <col min="12" max="12" width="7.85546875" style="6" customWidth="1"/>
    <col min="13" max="16384" width="9.140625" style="6"/>
  </cols>
  <sheetData>
    <row r="1" spans="1:12" ht="22.5" customHeight="1" x14ac:dyDescent="0.2">
      <c r="F1" s="1498"/>
      <c r="G1" s="2977" t="s">
        <v>311</v>
      </c>
      <c r="H1" s="2978"/>
      <c r="I1" s="2978"/>
      <c r="J1" s="2978"/>
    </row>
    <row r="2" spans="1:12" ht="15.75" x14ac:dyDescent="0.2">
      <c r="A2" s="2873" t="s">
        <v>46</v>
      </c>
      <c r="B2" s="2873"/>
      <c r="C2" s="2873"/>
      <c r="D2" s="2873"/>
      <c r="E2" s="2873"/>
      <c r="F2" s="2873"/>
      <c r="G2" s="2873"/>
      <c r="H2" s="2873"/>
      <c r="I2" s="2873"/>
      <c r="J2" s="2873"/>
    </row>
    <row r="3" spans="1:12" ht="15.75" x14ac:dyDescent="0.2">
      <c r="A3" s="2874" t="s">
        <v>30</v>
      </c>
      <c r="B3" s="2874"/>
      <c r="C3" s="2874"/>
      <c r="D3" s="2874"/>
      <c r="E3" s="2874"/>
      <c r="F3" s="2874"/>
      <c r="G3" s="2874"/>
      <c r="H3" s="2874"/>
      <c r="I3" s="2874"/>
      <c r="J3" s="2874"/>
      <c r="K3" s="4"/>
      <c r="L3" s="4"/>
    </row>
    <row r="4" spans="1:12" ht="13.5" thickBot="1" x14ac:dyDescent="0.25">
      <c r="A4" s="329"/>
      <c r="B4" s="329"/>
      <c r="C4" s="329"/>
      <c r="D4" s="329"/>
      <c r="E4" s="330"/>
      <c r="F4" s="331"/>
      <c r="G4" s="1448"/>
      <c r="H4" s="329"/>
      <c r="I4" s="329"/>
      <c r="J4" s="1682" t="s">
        <v>265</v>
      </c>
    </row>
    <row r="5" spans="1:12" ht="42" customHeight="1" x14ac:dyDescent="0.2">
      <c r="A5" s="2876" t="s">
        <v>31</v>
      </c>
      <c r="B5" s="2879" t="s">
        <v>1</v>
      </c>
      <c r="C5" s="2879" t="s">
        <v>2</v>
      </c>
      <c r="D5" s="2882" t="s">
        <v>15</v>
      </c>
      <c r="E5" s="2885" t="s">
        <v>3</v>
      </c>
      <c r="F5" s="2903" t="s">
        <v>4</v>
      </c>
      <c r="G5" s="2906" t="s">
        <v>5</v>
      </c>
      <c r="H5" s="2944" t="s">
        <v>159</v>
      </c>
      <c r="I5" s="2944" t="s">
        <v>309</v>
      </c>
      <c r="J5" s="2906" t="s">
        <v>310</v>
      </c>
      <c r="K5" s="2974" t="s">
        <v>395</v>
      </c>
      <c r="L5" s="2102"/>
    </row>
    <row r="6" spans="1:12" ht="21" customHeight="1" x14ac:dyDescent="0.2">
      <c r="A6" s="2877"/>
      <c r="B6" s="2880"/>
      <c r="C6" s="2880"/>
      <c r="D6" s="2883"/>
      <c r="E6" s="2886"/>
      <c r="F6" s="2904"/>
      <c r="G6" s="2907"/>
      <c r="H6" s="2947"/>
      <c r="I6" s="2947"/>
      <c r="J6" s="2907"/>
      <c r="K6" s="2975"/>
      <c r="L6" s="2103"/>
    </row>
    <row r="7" spans="1:12" ht="58.5" customHeight="1" thickBot="1" x14ac:dyDescent="0.25">
      <c r="A7" s="2878"/>
      <c r="B7" s="2881"/>
      <c r="C7" s="2881"/>
      <c r="D7" s="2884"/>
      <c r="E7" s="2887"/>
      <c r="F7" s="2905"/>
      <c r="G7" s="2908"/>
      <c r="H7" s="2948"/>
      <c r="I7" s="2948"/>
      <c r="J7" s="2908"/>
      <c r="K7" s="2976"/>
      <c r="L7" s="2104" t="s">
        <v>394</v>
      </c>
    </row>
    <row r="8" spans="1:12" s="108" customFormat="1" x14ac:dyDescent="0.2">
      <c r="A8" s="2949" t="s">
        <v>109</v>
      </c>
      <c r="B8" s="2950"/>
      <c r="C8" s="2950"/>
      <c r="D8" s="2950"/>
      <c r="E8" s="2950"/>
      <c r="F8" s="2950"/>
      <c r="G8" s="2950"/>
      <c r="H8" s="2950"/>
      <c r="I8" s="2950"/>
      <c r="J8" s="2950"/>
      <c r="K8" s="2107"/>
      <c r="L8" s="2108"/>
    </row>
    <row r="9" spans="1:12" s="108" customFormat="1" x14ac:dyDescent="0.2">
      <c r="A9" s="2951" t="s">
        <v>43</v>
      </c>
      <c r="B9" s="2952"/>
      <c r="C9" s="2952"/>
      <c r="D9" s="2952"/>
      <c r="E9" s="2952"/>
      <c r="F9" s="2952"/>
      <c r="G9" s="2952"/>
      <c r="H9" s="2952"/>
      <c r="I9" s="2952"/>
      <c r="J9" s="2952"/>
      <c r="K9" s="2109"/>
      <c r="L9" s="2110"/>
    </row>
    <row r="10" spans="1:12" ht="15" customHeight="1" x14ac:dyDescent="0.2">
      <c r="A10" s="2106" t="s">
        <v>8</v>
      </c>
      <c r="B10" s="2953" t="s">
        <v>47</v>
      </c>
      <c r="C10" s="2954"/>
      <c r="D10" s="2954"/>
      <c r="E10" s="2954"/>
      <c r="F10" s="2954"/>
      <c r="G10" s="2954"/>
      <c r="H10" s="2954"/>
      <c r="I10" s="2954"/>
      <c r="J10" s="2954"/>
      <c r="K10" s="2111"/>
      <c r="L10" s="2112"/>
    </row>
    <row r="11" spans="1:12" ht="14.25" customHeight="1" x14ac:dyDescent="0.2">
      <c r="A11" s="377" t="s">
        <v>8</v>
      </c>
      <c r="B11" s="2113" t="s">
        <v>8</v>
      </c>
      <c r="C11" s="2955" t="s">
        <v>48</v>
      </c>
      <c r="D11" s="2956"/>
      <c r="E11" s="2956"/>
      <c r="F11" s="2956"/>
      <c r="G11" s="2956"/>
      <c r="H11" s="2956"/>
      <c r="I11" s="2956"/>
      <c r="J11" s="2956"/>
      <c r="K11" s="2114"/>
      <c r="L11" s="2115"/>
    </row>
    <row r="12" spans="1:12" ht="30" customHeight="1" x14ac:dyDescent="0.2">
      <c r="A12" s="1664" t="s">
        <v>8</v>
      </c>
      <c r="B12" s="1658" t="s">
        <v>8</v>
      </c>
      <c r="C12" s="1659" t="s">
        <v>8</v>
      </c>
      <c r="D12" s="1522" t="s">
        <v>82</v>
      </c>
      <c r="E12" s="1042" t="s">
        <v>202</v>
      </c>
      <c r="F12" s="1666" t="s">
        <v>72</v>
      </c>
      <c r="G12" s="1033"/>
      <c r="H12" s="1523"/>
      <c r="I12" s="844"/>
      <c r="J12" s="1524"/>
      <c r="K12" s="2128"/>
      <c r="L12" s="2101"/>
    </row>
    <row r="13" spans="1:12" ht="41.25" customHeight="1" x14ac:dyDescent="0.2">
      <c r="A13" s="2757"/>
      <c r="B13" s="2727"/>
      <c r="C13" s="2709"/>
      <c r="D13" s="1663" t="s">
        <v>232</v>
      </c>
      <c r="E13" s="2870" t="s">
        <v>79</v>
      </c>
      <c r="F13" s="2711" t="s">
        <v>72</v>
      </c>
      <c r="G13" s="1031" t="s">
        <v>330</v>
      </c>
      <c r="H13" s="1502">
        <f>457.2/3.4528*1000</f>
        <v>132414</v>
      </c>
      <c r="I13" s="1525">
        <f>457.2/3.4528*1000</f>
        <v>132414</v>
      </c>
      <c r="J13" s="1526"/>
      <c r="K13" s="2129"/>
      <c r="L13" s="2101"/>
    </row>
    <row r="14" spans="1:12" ht="14.25" customHeight="1" x14ac:dyDescent="0.2">
      <c r="A14" s="2757"/>
      <c r="B14" s="2727"/>
      <c r="C14" s="2709"/>
      <c r="D14" s="1032" t="s">
        <v>261</v>
      </c>
      <c r="E14" s="2870"/>
      <c r="F14" s="2711"/>
      <c r="G14" s="746"/>
      <c r="H14" s="1501"/>
      <c r="I14" s="1527"/>
      <c r="J14" s="1528"/>
      <c r="K14" s="2129"/>
      <c r="L14" s="2101"/>
    </row>
    <row r="15" spans="1:12" ht="28.5" customHeight="1" x14ac:dyDescent="0.2">
      <c r="A15" s="2757"/>
      <c r="B15" s="2727"/>
      <c r="C15" s="2709"/>
      <c r="D15" s="1667" t="s">
        <v>269</v>
      </c>
      <c r="E15" s="2893"/>
      <c r="F15" s="2715"/>
      <c r="G15" s="1033"/>
      <c r="H15" s="1225"/>
      <c r="I15" s="1236"/>
      <c r="J15" s="1536"/>
      <c r="K15" s="2129"/>
      <c r="L15" s="2101"/>
    </row>
    <row r="16" spans="1:12" ht="54" customHeight="1" x14ac:dyDescent="0.2">
      <c r="A16" s="1664"/>
      <c r="B16" s="1658"/>
      <c r="C16" s="1659"/>
      <c r="D16" s="879" t="s">
        <v>238</v>
      </c>
      <c r="E16" s="1665"/>
      <c r="F16" s="1662"/>
      <c r="G16" s="17" t="s">
        <v>330</v>
      </c>
      <c r="H16" s="1229">
        <f>20/3.4528*1000</f>
        <v>5792</v>
      </c>
      <c r="I16" s="1323">
        <f>20/3.4528*1000</f>
        <v>5792</v>
      </c>
      <c r="J16" s="1539"/>
      <c r="K16" s="2129"/>
      <c r="L16" s="2101"/>
    </row>
    <row r="17" spans="1:12" ht="15.75" customHeight="1" x14ac:dyDescent="0.2">
      <c r="A17" s="2757"/>
      <c r="B17" s="2727"/>
      <c r="C17" s="2709"/>
      <c r="D17" s="2703" t="s">
        <v>193</v>
      </c>
      <c r="E17" s="2694"/>
      <c r="F17" s="2710" t="s">
        <v>72</v>
      </c>
      <c r="G17" s="740" t="s">
        <v>330</v>
      </c>
      <c r="H17" s="1379">
        <f>50/3.4528*1000</f>
        <v>14481</v>
      </c>
      <c r="I17" s="1529">
        <f>50/3.4528*1000</f>
        <v>14481</v>
      </c>
      <c r="J17" s="1530"/>
      <c r="K17" s="2129"/>
      <c r="L17" s="2101"/>
    </row>
    <row r="18" spans="1:12" ht="15" customHeight="1" x14ac:dyDescent="0.2">
      <c r="A18" s="2757"/>
      <c r="B18" s="2727"/>
      <c r="C18" s="2709"/>
      <c r="D18" s="2704"/>
      <c r="E18" s="2696"/>
      <c r="F18" s="2711"/>
      <c r="G18" s="40" t="s">
        <v>58</v>
      </c>
      <c r="H18" s="1225"/>
      <c r="I18" s="1236"/>
      <c r="J18" s="1536"/>
      <c r="K18" s="2129"/>
      <c r="L18" s="2101"/>
    </row>
    <row r="19" spans="1:12" ht="26.25" customHeight="1" x14ac:dyDescent="0.2">
      <c r="A19" s="2757"/>
      <c r="B19" s="2727"/>
      <c r="C19" s="2709"/>
      <c r="D19" s="2703" t="s">
        <v>239</v>
      </c>
      <c r="E19" s="2869" t="s">
        <v>79</v>
      </c>
      <c r="F19" s="1660" t="s">
        <v>72</v>
      </c>
      <c r="G19" s="305" t="s">
        <v>330</v>
      </c>
      <c r="H19" s="1500">
        <f>50/3.4528*1000</f>
        <v>14481</v>
      </c>
      <c r="I19" s="1477">
        <f>50/3.4528*1000</f>
        <v>14481</v>
      </c>
      <c r="J19" s="1531"/>
      <c r="K19" s="2129"/>
      <c r="L19" s="2101"/>
    </row>
    <row r="20" spans="1:12" ht="15.75" customHeight="1" x14ac:dyDescent="0.2">
      <c r="A20" s="2757"/>
      <c r="B20" s="2727"/>
      <c r="C20" s="2709"/>
      <c r="D20" s="2704"/>
      <c r="E20" s="2925"/>
      <c r="F20" s="1662"/>
      <c r="G20" s="721" t="s">
        <v>58</v>
      </c>
      <c r="H20" s="1501"/>
      <c r="I20" s="1527"/>
      <c r="J20" s="1528"/>
      <c r="K20" s="2129"/>
      <c r="L20" s="2101"/>
    </row>
    <row r="21" spans="1:12" ht="28.5" customHeight="1" x14ac:dyDescent="0.2">
      <c r="A21" s="2757"/>
      <c r="B21" s="2727"/>
      <c r="C21" s="2709"/>
      <c r="D21" s="1681"/>
      <c r="E21" s="2871"/>
      <c r="F21" s="1666"/>
      <c r="G21" s="40" t="s">
        <v>42</v>
      </c>
      <c r="H21" s="1225"/>
      <c r="I21" s="1236"/>
      <c r="J21" s="1536"/>
      <c r="K21" s="2129"/>
      <c r="L21" s="2101"/>
    </row>
    <row r="22" spans="1:12" ht="27.75" customHeight="1" x14ac:dyDescent="0.2">
      <c r="A22" s="1664"/>
      <c r="B22" s="1658"/>
      <c r="C22" s="1659"/>
      <c r="D22" s="2957" t="s">
        <v>240</v>
      </c>
      <c r="E22" s="2177"/>
      <c r="F22" s="1469" t="s">
        <v>72</v>
      </c>
      <c r="G22" s="740" t="s">
        <v>392</v>
      </c>
      <c r="H22" s="1506"/>
      <c r="I22" s="1529">
        <f>210.9/3.4528*1000</f>
        <v>61081</v>
      </c>
      <c r="J22" s="2178">
        <f>I22-H22</f>
        <v>61081</v>
      </c>
      <c r="K22" s="2129"/>
      <c r="L22" s="2101"/>
    </row>
    <row r="23" spans="1:12" ht="18.75" customHeight="1" x14ac:dyDescent="0.2">
      <c r="A23" s="2135"/>
      <c r="B23" s="2137"/>
      <c r="C23" s="2138"/>
      <c r="D23" s="2958"/>
      <c r="E23" s="2139"/>
      <c r="F23" s="2134"/>
      <c r="G23" s="40" t="s">
        <v>58</v>
      </c>
      <c r="H23" s="1508">
        <f>210.9/3.4528*1000</f>
        <v>61081</v>
      </c>
      <c r="I23" s="1236"/>
      <c r="J23" s="1742">
        <f t="shared" ref="J23:J26" si="0">I23-H23</f>
        <v>-61081</v>
      </c>
      <c r="K23" s="2129"/>
      <c r="L23" s="2101"/>
    </row>
    <row r="24" spans="1:12" ht="11.25" customHeight="1" x14ac:dyDescent="0.2">
      <c r="A24" s="1664"/>
      <c r="B24" s="1658"/>
      <c r="C24" s="1659"/>
      <c r="D24" s="2704" t="s">
        <v>143</v>
      </c>
      <c r="E24" s="2870" t="s">
        <v>79</v>
      </c>
      <c r="F24" s="1662" t="s">
        <v>72</v>
      </c>
      <c r="G24" s="723" t="s">
        <v>330</v>
      </c>
      <c r="H24" s="1515">
        <f>66.3/3.4528*1000</f>
        <v>19202</v>
      </c>
      <c r="I24" s="1527">
        <f>66.3/3.4528*1000</f>
        <v>19202</v>
      </c>
      <c r="J24" s="2179"/>
      <c r="K24" s="2129"/>
      <c r="L24" s="2101"/>
    </row>
    <row r="25" spans="1:12" ht="12" customHeight="1" x14ac:dyDescent="0.2">
      <c r="A25" s="1664"/>
      <c r="B25" s="1658"/>
      <c r="C25" s="1659"/>
      <c r="D25" s="2844"/>
      <c r="E25" s="2870"/>
      <c r="F25" s="1662"/>
      <c r="G25" s="723" t="s">
        <v>58</v>
      </c>
      <c r="H25" s="1515">
        <v>103684</v>
      </c>
      <c r="I25" s="1527"/>
      <c r="J25" s="2119">
        <f t="shared" si="0"/>
        <v>-103684</v>
      </c>
      <c r="K25" s="2129"/>
      <c r="L25" s="2101"/>
    </row>
    <row r="26" spans="1:12" ht="13.5" customHeight="1" x14ac:dyDescent="0.2">
      <c r="A26" s="1664"/>
      <c r="B26" s="1658"/>
      <c r="C26" s="1659"/>
      <c r="D26" s="2700"/>
      <c r="E26" s="2871"/>
      <c r="F26" s="1662"/>
      <c r="G26" s="40" t="s">
        <v>392</v>
      </c>
      <c r="H26" s="1516"/>
      <c r="I26" s="1532">
        <f>358/3.4528*1000</f>
        <v>103684</v>
      </c>
      <c r="J26" s="1742">
        <f t="shared" si="0"/>
        <v>103684</v>
      </c>
      <c r="K26" s="2129"/>
      <c r="L26" s="2101"/>
    </row>
    <row r="27" spans="1:12" ht="12.75" customHeight="1" x14ac:dyDescent="0.2">
      <c r="A27" s="2757"/>
      <c r="B27" s="2727"/>
      <c r="C27" s="2709"/>
      <c r="D27" s="2703" t="s">
        <v>270</v>
      </c>
      <c r="E27" s="2869" t="s">
        <v>79</v>
      </c>
      <c r="F27" s="2710" t="s">
        <v>72</v>
      </c>
      <c r="G27" s="740" t="s">
        <v>58</v>
      </c>
      <c r="H27" s="1506"/>
      <c r="I27" s="1529"/>
      <c r="J27" s="1530"/>
      <c r="K27" s="2129"/>
      <c r="L27" s="2101"/>
    </row>
    <row r="28" spans="1:12" ht="13.5" customHeight="1" x14ac:dyDescent="0.2">
      <c r="A28" s="2757"/>
      <c r="B28" s="2727"/>
      <c r="C28" s="2709"/>
      <c r="D28" s="2704"/>
      <c r="E28" s="2870"/>
      <c r="F28" s="2711"/>
      <c r="G28" s="17" t="s">
        <v>42</v>
      </c>
      <c r="H28" s="1514"/>
      <c r="I28" s="1323"/>
      <c r="J28" s="1542"/>
      <c r="K28" s="2129"/>
      <c r="L28" s="2101"/>
    </row>
    <row r="29" spans="1:12" ht="15.75" customHeight="1" thickBot="1" x14ac:dyDescent="0.25">
      <c r="A29" s="2757"/>
      <c r="B29" s="2727"/>
      <c r="C29" s="2709"/>
      <c r="D29" s="2705"/>
      <c r="E29" s="2871"/>
      <c r="F29" s="2715"/>
      <c r="G29" s="875" t="s">
        <v>9</v>
      </c>
      <c r="H29" s="1503">
        <f>SUM(H12:H28)</f>
        <v>351135</v>
      </c>
      <c r="I29" s="1219">
        <f>SUM(I12:I28)</f>
        <v>351135</v>
      </c>
      <c r="J29" s="1222">
        <f>SUM(J12:J28)</f>
        <v>0</v>
      </c>
      <c r="K29" s="2129"/>
      <c r="L29" s="2101"/>
    </row>
    <row r="30" spans="1:12" ht="33.75" customHeight="1" x14ac:dyDescent="0.2">
      <c r="A30" s="1803" t="s">
        <v>8</v>
      </c>
      <c r="B30" s="1804" t="s">
        <v>8</v>
      </c>
      <c r="C30" s="1788" t="s">
        <v>10</v>
      </c>
      <c r="D30" s="133" t="s">
        <v>83</v>
      </c>
      <c r="E30" s="834" t="s">
        <v>205</v>
      </c>
      <c r="F30" s="1789"/>
      <c r="G30" s="74"/>
      <c r="H30" s="1499"/>
      <c r="I30" s="1534"/>
      <c r="J30" s="1535"/>
      <c r="K30" s="2130"/>
      <c r="L30" s="2121"/>
    </row>
    <row r="31" spans="1:12" ht="12.75" customHeight="1" x14ac:dyDescent="0.2">
      <c r="A31" s="2759"/>
      <c r="B31" s="2727"/>
      <c r="C31" s="2709"/>
      <c r="D31" s="2760" t="s">
        <v>105</v>
      </c>
      <c r="E31" s="129" t="s">
        <v>79</v>
      </c>
      <c r="F31" s="2710" t="s">
        <v>72</v>
      </c>
      <c r="G31" s="740" t="s">
        <v>42</v>
      </c>
      <c r="H31" s="1379"/>
      <c r="I31" s="1529"/>
      <c r="J31" s="1530"/>
      <c r="K31" s="2129"/>
      <c r="L31" s="2101"/>
    </row>
    <row r="32" spans="1:12" x14ac:dyDescent="0.2">
      <c r="A32" s="2759"/>
      <c r="B32" s="2727"/>
      <c r="C32" s="2709"/>
      <c r="D32" s="2761"/>
      <c r="E32" s="813"/>
      <c r="F32" s="2715"/>
      <c r="G32" s="40" t="s">
        <v>58</v>
      </c>
      <c r="H32" s="1225">
        <f>83.7/3.4528*1000</f>
        <v>24241</v>
      </c>
      <c r="I32" s="1236">
        <f>83.7/3.4528*1000</f>
        <v>24241</v>
      </c>
      <c r="J32" s="1536"/>
      <c r="K32" s="2129"/>
      <c r="L32" s="2101"/>
    </row>
    <row r="33" spans="1:12" ht="17.25" customHeight="1" x14ac:dyDescent="0.2">
      <c r="A33" s="2759"/>
      <c r="B33" s="2727"/>
      <c r="C33" s="2709"/>
      <c r="D33" s="2760" t="s">
        <v>377</v>
      </c>
      <c r="E33" s="2694" t="s">
        <v>79</v>
      </c>
      <c r="F33" s="2710" t="s">
        <v>72</v>
      </c>
      <c r="G33" s="13" t="s">
        <v>58</v>
      </c>
      <c r="H33" s="1500">
        <f>535.9/3.4528*1000</f>
        <v>155207</v>
      </c>
      <c r="I33" s="1477">
        <f>535.9/3.4528*1000</f>
        <v>155207</v>
      </c>
      <c r="J33" s="1478"/>
      <c r="K33" s="2129"/>
      <c r="L33" s="2101"/>
    </row>
    <row r="34" spans="1:12" x14ac:dyDescent="0.2">
      <c r="A34" s="2759"/>
      <c r="B34" s="2727"/>
      <c r="C34" s="2709"/>
      <c r="D34" s="2702"/>
      <c r="E34" s="2695"/>
      <c r="F34" s="2711"/>
      <c r="G34" s="723" t="s">
        <v>330</v>
      </c>
      <c r="H34" s="1515">
        <f>142.9/3.4528*1000</f>
        <v>41387</v>
      </c>
      <c r="I34" s="1527">
        <f>41387+57400</f>
        <v>98787</v>
      </c>
      <c r="J34" s="1739">
        <f>I34-H34</f>
        <v>57400</v>
      </c>
      <c r="K34" s="2129"/>
      <c r="L34" s="2101"/>
    </row>
    <row r="35" spans="1:12" x14ac:dyDescent="0.2">
      <c r="A35" s="2759"/>
      <c r="B35" s="2727"/>
      <c r="C35" s="2709"/>
      <c r="D35" s="2761"/>
      <c r="E35" s="2696"/>
      <c r="F35" s="2715"/>
      <c r="G35" s="40"/>
      <c r="H35" s="1225"/>
      <c r="I35" s="1211"/>
      <c r="J35" s="1536"/>
      <c r="K35" s="2129"/>
      <c r="L35" s="2101"/>
    </row>
    <row r="36" spans="1:12" ht="20.25" customHeight="1" x14ac:dyDescent="0.2">
      <c r="A36" s="2759"/>
      <c r="B36" s="2727"/>
      <c r="C36" s="2709"/>
      <c r="D36" s="2703" t="s">
        <v>196</v>
      </c>
      <c r="E36" s="129" t="s">
        <v>79</v>
      </c>
      <c r="F36" s="2710" t="s">
        <v>72</v>
      </c>
      <c r="G36" s="740" t="s">
        <v>58</v>
      </c>
      <c r="H36" s="1379">
        <f>320/3.4528*1000</f>
        <v>92678</v>
      </c>
      <c r="I36" s="1529"/>
      <c r="J36" s="2172">
        <f>I36-H36</f>
        <v>-92678</v>
      </c>
      <c r="K36" s="2129"/>
      <c r="L36" s="2101"/>
    </row>
    <row r="37" spans="1:12" ht="20.25" customHeight="1" x14ac:dyDescent="0.2">
      <c r="A37" s="2759"/>
      <c r="B37" s="2727"/>
      <c r="C37" s="2709"/>
      <c r="D37" s="2923"/>
      <c r="E37" s="1094"/>
      <c r="F37" s="2924"/>
      <c r="G37" s="783" t="s">
        <v>392</v>
      </c>
      <c r="H37" s="1502"/>
      <c r="I37" s="1525">
        <f>320/3.4528*1000</f>
        <v>92678</v>
      </c>
      <c r="J37" s="2174">
        <f t="shared" ref="J37:J44" si="1">I37-H37</f>
        <v>92678</v>
      </c>
      <c r="K37" s="2129"/>
      <c r="L37" s="2101"/>
    </row>
    <row r="38" spans="1:12" ht="20.25" customHeight="1" x14ac:dyDescent="0.2">
      <c r="A38" s="2136"/>
      <c r="B38" s="2137"/>
      <c r="C38" s="2138"/>
      <c r="D38" s="2959" t="s">
        <v>242</v>
      </c>
      <c r="E38" s="2169"/>
      <c r="F38" s="2170"/>
      <c r="G38" s="723" t="s">
        <v>58</v>
      </c>
      <c r="H38" s="1501">
        <f>131.2/3.4528*1000</f>
        <v>37998</v>
      </c>
      <c r="I38" s="1527"/>
      <c r="J38" s="2174">
        <f t="shared" si="1"/>
        <v>-37998</v>
      </c>
      <c r="K38" s="2129"/>
      <c r="L38" s="2101"/>
    </row>
    <row r="39" spans="1:12" ht="27" customHeight="1" x14ac:dyDescent="0.2">
      <c r="A39" s="1783"/>
      <c r="B39" s="1784"/>
      <c r="C39" s="1785"/>
      <c r="D39" s="2958"/>
      <c r="E39" s="945"/>
      <c r="F39" s="2134" t="s">
        <v>72</v>
      </c>
      <c r="G39" s="40" t="s">
        <v>392</v>
      </c>
      <c r="H39" s="1225"/>
      <c r="I39" s="1236">
        <f>131.2/3.4528*1000</f>
        <v>37998</v>
      </c>
      <c r="J39" s="2176">
        <f t="shared" si="1"/>
        <v>37998</v>
      </c>
      <c r="K39" s="2129"/>
      <c r="L39" s="2101"/>
    </row>
    <row r="40" spans="1:12" ht="14.25" customHeight="1" x14ac:dyDescent="0.2">
      <c r="A40" s="2757"/>
      <c r="B40" s="2727"/>
      <c r="C40" s="2709"/>
      <c r="D40" s="2703" t="s">
        <v>210</v>
      </c>
      <c r="E40" s="129" t="s">
        <v>79</v>
      </c>
      <c r="F40" s="2710" t="s">
        <v>72</v>
      </c>
      <c r="G40" s="783" t="s">
        <v>58</v>
      </c>
      <c r="H40" s="1502">
        <f>550/3.4528*1000</f>
        <v>159291</v>
      </c>
      <c r="I40" s="1525"/>
      <c r="J40" s="2175">
        <f t="shared" si="1"/>
        <v>-159291</v>
      </c>
      <c r="K40" s="2129"/>
      <c r="L40" s="2101"/>
    </row>
    <row r="41" spans="1:12" ht="14.25" customHeight="1" x14ac:dyDescent="0.2">
      <c r="A41" s="2757"/>
      <c r="B41" s="2727"/>
      <c r="C41" s="2709"/>
      <c r="D41" s="2704"/>
      <c r="E41" s="2206"/>
      <c r="F41" s="2711"/>
      <c r="G41" s="783" t="s">
        <v>392</v>
      </c>
      <c r="H41" s="1502"/>
      <c r="I41" s="1525">
        <f>550/3.4528*1000</f>
        <v>159291</v>
      </c>
      <c r="J41" s="2175">
        <f t="shared" ref="J41" si="2">I41-H41</f>
        <v>159291</v>
      </c>
      <c r="K41" s="2129"/>
      <c r="L41" s="2101"/>
    </row>
    <row r="42" spans="1:12" ht="16.5" customHeight="1" x14ac:dyDescent="0.2">
      <c r="A42" s="2757"/>
      <c r="B42" s="2727"/>
      <c r="C42" s="2709"/>
      <c r="D42" s="2705"/>
      <c r="E42" s="945"/>
      <c r="F42" s="2715"/>
      <c r="G42" s="40" t="s">
        <v>330</v>
      </c>
      <c r="H42" s="1516">
        <f>85/3.4528*1000</f>
        <v>24618</v>
      </c>
      <c r="I42" s="1532">
        <f>85/3.4528*1000</f>
        <v>24618</v>
      </c>
      <c r="J42" s="2176">
        <f t="shared" si="1"/>
        <v>0</v>
      </c>
      <c r="K42" s="2129"/>
      <c r="L42" s="2101"/>
    </row>
    <row r="43" spans="1:12" ht="21" customHeight="1" x14ac:dyDescent="0.2">
      <c r="A43" s="2135"/>
      <c r="B43" s="2137"/>
      <c r="C43" s="2138"/>
      <c r="D43" s="2760" t="s">
        <v>243</v>
      </c>
      <c r="E43" s="2171"/>
      <c r="F43" s="1469"/>
      <c r="G43" s="740" t="s">
        <v>58</v>
      </c>
      <c r="H43" s="1502">
        <f>34.7/3.4528*1000</f>
        <v>10050</v>
      </c>
      <c r="I43" s="1525"/>
      <c r="J43" s="2175">
        <f t="shared" si="1"/>
        <v>-10050</v>
      </c>
      <c r="K43" s="2129"/>
      <c r="L43" s="2101"/>
    </row>
    <row r="44" spans="1:12" ht="26.25" customHeight="1" x14ac:dyDescent="0.2">
      <c r="A44" s="1783"/>
      <c r="B44" s="1784"/>
      <c r="C44" s="1785"/>
      <c r="D44" s="2929"/>
      <c r="E44" s="945"/>
      <c r="F44" s="1796" t="s">
        <v>72</v>
      </c>
      <c r="G44" s="40" t="s">
        <v>392</v>
      </c>
      <c r="H44" s="1225"/>
      <c r="I44" s="1236">
        <f>34.7/3.4528*1000</f>
        <v>10050</v>
      </c>
      <c r="J44" s="1745">
        <f t="shared" si="1"/>
        <v>10050</v>
      </c>
      <c r="K44" s="2129"/>
      <c r="L44" s="2101"/>
    </row>
    <row r="45" spans="1:12" ht="39" customHeight="1" x14ac:dyDescent="0.2">
      <c r="A45" s="1783"/>
      <c r="B45" s="1784"/>
      <c r="C45" s="1785"/>
      <c r="D45" s="2702" t="s">
        <v>271</v>
      </c>
      <c r="E45" s="1793" t="s">
        <v>79</v>
      </c>
      <c r="F45" s="1790" t="s">
        <v>72</v>
      </c>
      <c r="G45" s="17" t="s">
        <v>58</v>
      </c>
      <c r="H45" s="1229"/>
      <c r="I45" s="1323"/>
      <c r="J45" s="1539"/>
      <c r="K45" s="2129"/>
      <c r="L45" s="2101"/>
    </row>
    <row r="46" spans="1:12" ht="15" customHeight="1" thickBot="1" x14ac:dyDescent="0.25">
      <c r="A46" s="1798"/>
      <c r="B46" s="1786"/>
      <c r="C46" s="1787"/>
      <c r="D46" s="2934"/>
      <c r="E46" s="1827"/>
      <c r="F46" s="1791"/>
      <c r="G46" s="875" t="s">
        <v>9</v>
      </c>
      <c r="H46" s="1503">
        <f>SUM(H30:H45)</f>
        <v>545470</v>
      </c>
      <c r="I46" s="1219">
        <f>SUM(I30:I45)</f>
        <v>602870</v>
      </c>
      <c r="J46" s="1222">
        <f>SUM(J30:J45)</f>
        <v>57400</v>
      </c>
      <c r="K46" s="2129"/>
      <c r="L46" s="2101"/>
    </row>
    <row r="47" spans="1:12" ht="35.25" customHeight="1" x14ac:dyDescent="0.2">
      <c r="A47" s="2090" t="s">
        <v>8</v>
      </c>
      <c r="B47" s="2085" t="s">
        <v>8</v>
      </c>
      <c r="C47" s="2086" t="s">
        <v>45</v>
      </c>
      <c r="D47" s="1822" t="s">
        <v>84</v>
      </c>
      <c r="E47" s="1823" t="s">
        <v>209</v>
      </c>
      <c r="F47" s="2095"/>
      <c r="G47" s="1824"/>
      <c r="H47" s="1518"/>
      <c r="I47" s="1825"/>
      <c r="J47" s="1826"/>
      <c r="K47" s="2129"/>
      <c r="L47" s="2101"/>
    </row>
    <row r="48" spans="1:12" ht="39" customHeight="1" x14ac:dyDescent="0.2">
      <c r="A48" s="2090"/>
      <c r="B48" s="2085"/>
      <c r="C48" s="2086"/>
      <c r="D48" s="797" t="s">
        <v>100</v>
      </c>
      <c r="E48" s="567" t="s">
        <v>79</v>
      </c>
      <c r="F48" s="1442" t="s">
        <v>72</v>
      </c>
      <c r="G48" s="914" t="s">
        <v>58</v>
      </c>
      <c r="H48" s="1509">
        <f>165.1/3.4528*1000</f>
        <v>47816</v>
      </c>
      <c r="I48" s="1389">
        <f>165.1/3.4528*1000</f>
        <v>47816</v>
      </c>
      <c r="J48" s="1382"/>
      <c r="K48" s="2129"/>
      <c r="L48" s="2101"/>
    </row>
    <row r="49" spans="1:12" ht="15.75" customHeight="1" x14ac:dyDescent="0.2">
      <c r="A49" s="2757"/>
      <c r="B49" s="2727"/>
      <c r="C49" s="2709"/>
      <c r="D49" s="2734" t="s">
        <v>375</v>
      </c>
      <c r="E49" s="2698" t="s">
        <v>79</v>
      </c>
      <c r="F49" s="2766" t="s">
        <v>72</v>
      </c>
      <c r="G49" s="802" t="s">
        <v>58</v>
      </c>
      <c r="H49" s="1506">
        <f>119.9/3.4528*1000</f>
        <v>34725</v>
      </c>
      <c r="I49" s="1529">
        <f>34725</f>
        <v>34725</v>
      </c>
      <c r="J49" s="1729">
        <f>I49-H49</f>
        <v>0</v>
      </c>
      <c r="K49" s="2129"/>
      <c r="L49" s="2101"/>
    </row>
    <row r="50" spans="1:12" ht="15.75" customHeight="1" x14ac:dyDescent="0.2">
      <c r="A50" s="2757"/>
      <c r="B50" s="2727"/>
      <c r="C50" s="2709"/>
      <c r="D50" s="2734"/>
      <c r="E50" s="2698"/>
      <c r="F50" s="2766"/>
      <c r="G50" s="916" t="s">
        <v>392</v>
      </c>
      <c r="H50" s="1514"/>
      <c r="I50" s="1323">
        <v>4000</v>
      </c>
      <c r="J50" s="1738">
        <v>4000</v>
      </c>
      <c r="K50" s="2129"/>
      <c r="L50" s="2101"/>
    </row>
    <row r="51" spans="1:12" ht="15" customHeight="1" x14ac:dyDescent="0.2">
      <c r="A51" s="2757"/>
      <c r="B51" s="2727"/>
      <c r="C51" s="2709"/>
      <c r="D51" s="2734"/>
      <c r="E51" s="2698"/>
      <c r="F51" s="2766"/>
      <c r="G51" s="915" t="s">
        <v>77</v>
      </c>
      <c r="H51" s="1515"/>
      <c r="I51" s="1527"/>
      <c r="J51" s="1528"/>
      <c r="K51" s="2129"/>
      <c r="L51" s="2101"/>
    </row>
    <row r="52" spans="1:12" ht="13.5" customHeight="1" x14ac:dyDescent="0.2">
      <c r="A52" s="2757"/>
      <c r="B52" s="2727"/>
      <c r="C52" s="2709"/>
      <c r="D52" s="2764"/>
      <c r="E52" s="2765"/>
      <c r="F52" s="2767"/>
      <c r="G52" s="1815" t="s">
        <v>74</v>
      </c>
      <c r="H52" s="1508"/>
      <c r="I52" s="1236"/>
      <c r="J52" s="1536"/>
      <c r="K52" s="346"/>
      <c r="L52" s="1307"/>
    </row>
    <row r="53" spans="1:12" x14ac:dyDescent="0.2">
      <c r="A53" s="2757"/>
      <c r="B53" s="2727"/>
      <c r="C53" s="2709"/>
      <c r="D53" s="2866" t="s">
        <v>106</v>
      </c>
      <c r="E53" s="2960" t="s">
        <v>79</v>
      </c>
      <c r="F53" s="2961" t="s">
        <v>72</v>
      </c>
      <c r="G53" s="802" t="s">
        <v>58</v>
      </c>
      <c r="H53" s="1506"/>
      <c r="I53" s="1529"/>
      <c r="J53" s="1537"/>
      <c r="K53" s="2128"/>
      <c r="L53" s="2270"/>
    </row>
    <row r="54" spans="1:12" x14ac:dyDescent="0.2">
      <c r="A54" s="2757"/>
      <c r="B54" s="2727"/>
      <c r="C54" s="2709"/>
      <c r="D54" s="2697"/>
      <c r="E54" s="2698"/>
      <c r="F54" s="2766"/>
      <c r="G54" s="916" t="s">
        <v>75</v>
      </c>
      <c r="H54" s="1514"/>
      <c r="I54" s="1323"/>
      <c r="J54" s="1539"/>
      <c r="K54" s="2129"/>
      <c r="L54" s="2121"/>
    </row>
    <row r="55" spans="1:12" x14ac:dyDescent="0.2">
      <c r="A55" s="2757"/>
      <c r="B55" s="2727"/>
      <c r="C55" s="2709"/>
      <c r="D55" s="2703" t="s">
        <v>272</v>
      </c>
      <c r="E55" s="2228" t="s">
        <v>79</v>
      </c>
      <c r="F55" s="2241" t="s">
        <v>72</v>
      </c>
      <c r="G55" s="917" t="s">
        <v>42</v>
      </c>
      <c r="H55" s="1506"/>
      <c r="I55" s="1529"/>
      <c r="J55" s="1530"/>
      <c r="K55" s="2129"/>
      <c r="L55" s="2101"/>
    </row>
    <row r="56" spans="1:12" x14ac:dyDescent="0.2">
      <c r="A56" s="2757"/>
      <c r="B56" s="2727"/>
      <c r="C56" s="2709"/>
      <c r="D56" s="2704"/>
      <c r="E56" s="877"/>
      <c r="F56" s="878"/>
      <c r="G56" s="918" t="s">
        <v>58</v>
      </c>
      <c r="H56" s="1516"/>
      <c r="I56" s="1532"/>
      <c r="J56" s="1533"/>
      <c r="K56" s="2129"/>
      <c r="L56" s="2121"/>
    </row>
    <row r="57" spans="1:12" x14ac:dyDescent="0.2">
      <c r="A57" s="2239"/>
      <c r="B57" s="2240"/>
      <c r="C57" s="1810"/>
      <c r="D57" s="874"/>
      <c r="E57" s="2235"/>
      <c r="F57" s="2231"/>
      <c r="G57" s="2162" t="s">
        <v>9</v>
      </c>
      <c r="H57" s="2160">
        <f>SUM(H47:H56)</f>
        <v>82541</v>
      </c>
      <c r="I57" s="1235">
        <f>SUM(I47:I56)</f>
        <v>86541</v>
      </c>
      <c r="J57" s="2163">
        <f>SUM(J47:J56)</f>
        <v>4000</v>
      </c>
      <c r="K57" s="346"/>
      <c r="L57" s="1307"/>
    </row>
    <row r="58" spans="1:12" ht="27" customHeight="1" x14ac:dyDescent="0.2">
      <c r="A58" s="2090" t="s">
        <v>8</v>
      </c>
      <c r="B58" s="2085" t="s">
        <v>8</v>
      </c>
      <c r="C58" s="2086" t="s">
        <v>50</v>
      </c>
      <c r="D58" s="2156" t="s">
        <v>85</v>
      </c>
      <c r="E58" s="2157" t="s">
        <v>204</v>
      </c>
      <c r="F58" s="2158"/>
      <c r="G58" s="2159"/>
      <c r="H58" s="2160"/>
      <c r="I58" s="2161"/>
      <c r="J58" s="1538"/>
      <c r="K58" s="2130"/>
      <c r="L58" s="2121"/>
    </row>
    <row r="59" spans="1:12" ht="12.75" customHeight="1" x14ac:dyDescent="0.2">
      <c r="A59" s="1664"/>
      <c r="B59" s="1658"/>
      <c r="C59" s="1659"/>
      <c r="D59" s="2704" t="s">
        <v>107</v>
      </c>
      <c r="E59" s="2716" t="s">
        <v>79</v>
      </c>
      <c r="F59" s="2708" t="s">
        <v>72</v>
      </c>
      <c r="G59" s="802" t="s">
        <v>58</v>
      </c>
      <c r="H59" s="1506">
        <f>340/3.4528*1000</f>
        <v>98471</v>
      </c>
      <c r="I59" s="1529">
        <f>340/3.4528*1000</f>
        <v>98471</v>
      </c>
      <c r="J59" s="1537"/>
      <c r="K59" s="2130"/>
      <c r="L59" s="2121"/>
    </row>
    <row r="60" spans="1:12" x14ac:dyDescent="0.2">
      <c r="A60" s="1664"/>
      <c r="B60" s="1658"/>
      <c r="C60" s="1659"/>
      <c r="D60" s="2704"/>
      <c r="E60" s="2716"/>
      <c r="F60" s="2708"/>
      <c r="G60" s="232" t="s">
        <v>42</v>
      </c>
      <c r="H60" s="1508"/>
      <c r="I60" s="1236"/>
      <c r="J60" s="1539"/>
      <c r="K60" s="2130"/>
      <c r="L60" s="2121"/>
    </row>
    <row r="61" spans="1:12" ht="18" customHeight="1" x14ac:dyDescent="0.2">
      <c r="A61" s="2757"/>
      <c r="B61" s="2727"/>
      <c r="C61" s="2709"/>
      <c r="D61" s="2703" t="s">
        <v>273</v>
      </c>
      <c r="E61" s="2694" t="s">
        <v>79</v>
      </c>
      <c r="F61" s="2710" t="s">
        <v>72</v>
      </c>
      <c r="G61" s="802" t="s">
        <v>58</v>
      </c>
      <c r="H61" s="1506">
        <f>100/3.4528*1000</f>
        <v>28962</v>
      </c>
      <c r="I61" s="1529"/>
      <c r="J61" s="2181">
        <f>I61-H61</f>
        <v>-28962</v>
      </c>
      <c r="K61" s="2129"/>
      <c r="L61" s="2101"/>
    </row>
    <row r="62" spans="1:12" ht="27" customHeight="1" x14ac:dyDescent="0.2">
      <c r="A62" s="2757"/>
      <c r="B62" s="2727"/>
      <c r="C62" s="2709"/>
      <c r="D62" s="2704"/>
      <c r="E62" s="2695"/>
      <c r="F62" s="2711"/>
      <c r="G62" s="920" t="s">
        <v>392</v>
      </c>
      <c r="H62" s="1507"/>
      <c r="I62" s="1525">
        <f>100/3.4528*1000</f>
        <v>28962</v>
      </c>
      <c r="J62" s="2173">
        <f>I62-H62</f>
        <v>28962</v>
      </c>
      <c r="K62" s="2129"/>
      <c r="L62" s="2101"/>
    </row>
    <row r="63" spans="1:12" ht="16.5" customHeight="1" x14ac:dyDescent="0.2">
      <c r="A63" s="2757"/>
      <c r="B63" s="2727"/>
      <c r="C63" s="2709"/>
      <c r="D63" s="2703" t="s">
        <v>212</v>
      </c>
      <c r="E63" s="2694" t="s">
        <v>79</v>
      </c>
      <c r="F63" s="2710" t="s">
        <v>72</v>
      </c>
      <c r="G63" s="802" t="s">
        <v>58</v>
      </c>
      <c r="H63" s="1506">
        <f>88/3.4528*1000</f>
        <v>25487</v>
      </c>
      <c r="I63" s="1529"/>
      <c r="J63" s="2181">
        <f>I63-H63</f>
        <v>-25487</v>
      </c>
      <c r="K63" s="2129"/>
      <c r="L63" s="2101"/>
    </row>
    <row r="64" spans="1:12" ht="16.5" customHeight="1" x14ac:dyDescent="0.2">
      <c r="A64" s="2757"/>
      <c r="B64" s="2727"/>
      <c r="C64" s="2709"/>
      <c r="D64" s="2704"/>
      <c r="E64" s="2695"/>
      <c r="F64" s="2711"/>
      <c r="G64" s="920" t="s">
        <v>392</v>
      </c>
      <c r="H64" s="1507"/>
      <c r="I64" s="1525">
        <f>88/3.4528*1000</f>
        <v>25487</v>
      </c>
      <c r="J64" s="2173">
        <f>I64-H64</f>
        <v>25487</v>
      </c>
      <c r="K64" s="2129"/>
      <c r="L64" s="2101"/>
    </row>
    <row r="65" spans="1:12" ht="15.75" customHeight="1" thickBot="1" x14ac:dyDescent="0.25">
      <c r="A65" s="2757"/>
      <c r="B65" s="2727"/>
      <c r="C65" s="2709"/>
      <c r="D65" s="2705"/>
      <c r="E65" s="2696"/>
      <c r="F65" s="2715"/>
      <c r="G65" s="876" t="s">
        <v>9</v>
      </c>
      <c r="H65" s="1518">
        <f>SUM(H58:H64)</f>
        <v>152920</v>
      </c>
      <c r="I65" s="1367">
        <f>SUM(I58:I64)</f>
        <v>152920</v>
      </c>
      <c r="J65" s="1683">
        <f>SUM(J58:J64)</f>
        <v>0</v>
      </c>
      <c r="K65" s="2129"/>
      <c r="L65" s="2101"/>
    </row>
    <row r="66" spans="1:12" ht="30" customHeight="1" x14ac:dyDescent="0.2">
      <c r="A66" s="1673" t="s">
        <v>8</v>
      </c>
      <c r="B66" s="1674" t="s">
        <v>8</v>
      </c>
      <c r="C66" s="1675" t="s">
        <v>52</v>
      </c>
      <c r="D66" s="133" t="s">
        <v>274</v>
      </c>
      <c r="E66" s="1004" t="s">
        <v>192</v>
      </c>
      <c r="F66" s="1172"/>
      <c r="G66" s="684"/>
      <c r="H66" s="1517"/>
      <c r="I66" s="1540"/>
      <c r="J66" s="1535"/>
      <c r="K66" s="2129"/>
      <c r="L66" s="2101"/>
    </row>
    <row r="67" spans="1:12" ht="12.75" customHeight="1" x14ac:dyDescent="0.2">
      <c r="A67" s="1664"/>
      <c r="B67" s="1658"/>
      <c r="C67" s="1659"/>
      <c r="D67" s="2703" t="s">
        <v>275</v>
      </c>
      <c r="E67" s="128" t="s">
        <v>79</v>
      </c>
      <c r="F67" s="710" t="s">
        <v>72</v>
      </c>
      <c r="G67" s="743" t="s">
        <v>58</v>
      </c>
      <c r="H67" s="1506">
        <f>50/3.4528*1000</f>
        <v>14481</v>
      </c>
      <c r="I67" s="1529"/>
      <c r="J67" s="2179">
        <f>I67-H67</f>
        <v>-14481</v>
      </c>
      <c r="K67" s="2129"/>
      <c r="L67" s="2101"/>
    </row>
    <row r="68" spans="1:12" x14ac:dyDescent="0.2">
      <c r="A68" s="1664"/>
      <c r="B68" s="1658"/>
      <c r="C68" s="1659"/>
      <c r="D68" s="2704"/>
      <c r="E68" s="2778"/>
      <c r="F68" s="982"/>
      <c r="G68" s="12" t="s">
        <v>392</v>
      </c>
      <c r="H68" s="1514"/>
      <c r="I68" s="1323">
        <f>50/3.4528*1000</f>
        <v>14481</v>
      </c>
      <c r="J68" s="2180">
        <f>I68-H68</f>
        <v>14481</v>
      </c>
      <c r="K68" s="2129"/>
      <c r="L68" s="2101"/>
    </row>
    <row r="69" spans="1:12" ht="14.25" customHeight="1" x14ac:dyDescent="0.2">
      <c r="A69" s="1664"/>
      <c r="B69" s="1658"/>
      <c r="C69" s="1659"/>
      <c r="D69" s="2780"/>
      <c r="E69" s="2779"/>
      <c r="F69" s="961"/>
      <c r="G69" s="40" t="s">
        <v>77</v>
      </c>
      <c r="H69" s="1508"/>
      <c r="I69" s="1236"/>
      <c r="J69" s="1536"/>
      <c r="K69" s="2129"/>
      <c r="L69" s="2101"/>
    </row>
    <row r="70" spans="1:12" ht="23.25" customHeight="1" x14ac:dyDescent="0.2">
      <c r="A70" s="2757"/>
      <c r="B70" s="2727"/>
      <c r="C70" s="2709"/>
      <c r="D70" s="2703" t="s">
        <v>276</v>
      </c>
      <c r="E70" s="128" t="s">
        <v>79</v>
      </c>
      <c r="F70" s="2710" t="s">
        <v>72</v>
      </c>
      <c r="G70" s="512" t="s">
        <v>108</v>
      </c>
      <c r="H70" s="1506"/>
      <c r="I70" s="1529">
        <v>5257</v>
      </c>
      <c r="J70" s="1729">
        <f>I70-H70</f>
        <v>5257</v>
      </c>
      <c r="K70" s="2129"/>
      <c r="L70" s="2121"/>
    </row>
    <row r="71" spans="1:12" ht="15.75" customHeight="1" x14ac:dyDescent="0.2">
      <c r="A71" s="2757"/>
      <c r="B71" s="2727"/>
      <c r="C71" s="2709"/>
      <c r="D71" s="2844"/>
      <c r="E71" s="2714"/>
      <c r="F71" s="2711"/>
      <c r="G71" s="20" t="s">
        <v>75</v>
      </c>
      <c r="H71" s="1514">
        <f>32.2/3.4528*1000</f>
        <v>9326</v>
      </c>
      <c r="I71" s="1323">
        <f>32.2/3.4528*1000</f>
        <v>9326</v>
      </c>
      <c r="J71" s="1738"/>
      <c r="K71" s="2129"/>
      <c r="L71" s="2121"/>
    </row>
    <row r="72" spans="1:12" ht="21.75" customHeight="1" x14ac:dyDescent="0.2">
      <c r="A72" s="2757"/>
      <c r="B72" s="2727"/>
      <c r="C72" s="2709"/>
      <c r="D72" s="2718" t="s">
        <v>277</v>
      </c>
      <c r="E72" s="2714"/>
      <c r="F72" s="2711"/>
      <c r="G72" s="676" t="s">
        <v>58</v>
      </c>
      <c r="H72" s="1515">
        <f>50/3.4528*1000</f>
        <v>14481</v>
      </c>
      <c r="I72" s="1527"/>
      <c r="J72" s="1739">
        <f>I72-H72</f>
        <v>-14481</v>
      </c>
      <c r="K72" s="2129"/>
      <c r="L72" s="2121"/>
    </row>
    <row r="73" spans="1:12" ht="27" customHeight="1" x14ac:dyDescent="0.2">
      <c r="A73" s="2135"/>
      <c r="B73" s="2137"/>
      <c r="C73" s="2138"/>
      <c r="D73" s="2958"/>
      <c r="E73" s="1432"/>
      <c r="F73" s="2134"/>
      <c r="G73" s="246" t="s">
        <v>392</v>
      </c>
      <c r="H73" s="1508"/>
      <c r="I73" s="1236">
        <v>14481</v>
      </c>
      <c r="J73" s="1739">
        <f>I73-H73</f>
        <v>14481</v>
      </c>
      <c r="K73" s="2129"/>
      <c r="L73" s="2121"/>
    </row>
    <row r="74" spans="1:12" ht="27" customHeight="1" x14ac:dyDescent="0.2">
      <c r="A74" s="2135"/>
      <c r="B74" s="2137"/>
      <c r="C74" s="2138"/>
      <c r="D74" s="2979" t="s">
        <v>307</v>
      </c>
      <c r="E74" s="2144"/>
      <c r="F74" s="2133"/>
      <c r="G74" s="512" t="s">
        <v>58</v>
      </c>
      <c r="H74" s="1506">
        <f>472.1/3.4528*1000</f>
        <v>136730</v>
      </c>
      <c r="I74" s="1529"/>
      <c r="J74" s="1729">
        <f>I74-H74</f>
        <v>-136730</v>
      </c>
      <c r="K74" s="2129"/>
      <c r="L74" s="2121"/>
    </row>
    <row r="75" spans="1:12" ht="27" customHeight="1" x14ac:dyDescent="0.2">
      <c r="A75" s="1664"/>
      <c r="B75" s="1658"/>
      <c r="C75" s="1659"/>
      <c r="D75" s="2958"/>
      <c r="E75" s="1432"/>
      <c r="F75" s="1666"/>
      <c r="G75" s="246" t="s">
        <v>392</v>
      </c>
      <c r="H75" s="1508"/>
      <c r="I75" s="1236">
        <f>472.1/3.4528*1000</f>
        <v>136730</v>
      </c>
      <c r="J75" s="1729">
        <f>I75-H75</f>
        <v>136730</v>
      </c>
      <c r="K75" s="2129"/>
      <c r="L75" s="2121"/>
    </row>
    <row r="76" spans="1:12" ht="17.25" customHeight="1" x14ac:dyDescent="0.2">
      <c r="A76" s="1664"/>
      <c r="B76" s="1658"/>
      <c r="C76" s="1659"/>
      <c r="D76" s="1677" t="s">
        <v>257</v>
      </c>
      <c r="E76" s="1680"/>
      <c r="F76" s="982" t="s">
        <v>57</v>
      </c>
      <c r="G76" s="552" t="s">
        <v>42</v>
      </c>
      <c r="H76" s="1509">
        <f>10/3.4528*1000</f>
        <v>2896</v>
      </c>
      <c r="I76" s="1389">
        <f>10/3.4528*1000</f>
        <v>2896</v>
      </c>
      <c r="J76" s="1740"/>
      <c r="K76" s="2129"/>
      <c r="L76" s="2121"/>
    </row>
    <row r="77" spans="1:12" ht="15.75" customHeight="1" thickBot="1" x14ac:dyDescent="0.25">
      <c r="A77" s="1670"/>
      <c r="B77" s="1671"/>
      <c r="C77" s="1672"/>
      <c r="D77" s="1170"/>
      <c r="E77" s="1002"/>
      <c r="F77" s="944"/>
      <c r="G77" s="1173" t="s">
        <v>9</v>
      </c>
      <c r="H77" s="1510">
        <f>SUM(H66:H76)</f>
        <v>177914</v>
      </c>
      <c r="I77" s="1510">
        <f t="shared" ref="I77:J77" si="3">SUM(I66:I76)</f>
        <v>183171</v>
      </c>
      <c r="J77" s="1510">
        <f t="shared" si="3"/>
        <v>5257</v>
      </c>
      <c r="K77" s="2129"/>
      <c r="L77" s="2101"/>
    </row>
    <row r="78" spans="1:12" ht="26.25" customHeight="1" x14ac:dyDescent="0.2">
      <c r="A78" s="1673" t="s">
        <v>8</v>
      </c>
      <c r="B78" s="1674" t="s">
        <v>8</v>
      </c>
      <c r="C78" s="1675" t="s">
        <v>54</v>
      </c>
      <c r="D78" s="133" t="s">
        <v>127</v>
      </c>
      <c r="E78" s="1004" t="s">
        <v>206</v>
      </c>
      <c r="F78" s="622"/>
      <c r="G78" s="913"/>
      <c r="H78" s="1342"/>
      <c r="I78" s="1534"/>
      <c r="J78" s="1541"/>
      <c r="K78" s="2129"/>
      <c r="L78" s="2101"/>
    </row>
    <row r="79" spans="1:12" ht="19.5" customHeight="1" x14ac:dyDescent="0.2">
      <c r="A79" s="2757"/>
      <c r="B79" s="2727"/>
      <c r="C79" s="2709"/>
      <c r="D79" s="2703" t="s">
        <v>278</v>
      </c>
      <c r="E79" s="1668" t="s">
        <v>79</v>
      </c>
      <c r="F79" s="2711" t="s">
        <v>72</v>
      </c>
      <c r="G79" s="802" t="s">
        <v>77</v>
      </c>
      <c r="H79" s="1340"/>
      <c r="I79" s="1529">
        <f>(217.8+199.4)/3.4528*1000</f>
        <v>120829</v>
      </c>
      <c r="J79" s="1729">
        <f>I79-H79</f>
        <v>120829</v>
      </c>
      <c r="K79" s="2129"/>
      <c r="L79" s="2122"/>
    </row>
    <row r="80" spans="1:12" ht="19.5" customHeight="1" x14ac:dyDescent="0.2">
      <c r="A80" s="2757"/>
      <c r="B80" s="2727"/>
      <c r="C80" s="2709"/>
      <c r="D80" s="2704"/>
      <c r="E80" s="1743"/>
      <c r="F80" s="2711"/>
      <c r="G80" s="1744" t="s">
        <v>80</v>
      </c>
      <c r="H80" s="1334"/>
      <c r="I80" s="1527">
        <v>23199</v>
      </c>
      <c r="J80" s="1739">
        <f>I80-H80</f>
        <v>23199</v>
      </c>
      <c r="K80" s="2129"/>
      <c r="L80" s="2122"/>
    </row>
    <row r="81" spans="1:12" ht="24" customHeight="1" x14ac:dyDescent="0.2">
      <c r="A81" s="2757"/>
      <c r="B81" s="2727"/>
      <c r="C81" s="2709"/>
      <c r="D81" s="2704"/>
      <c r="E81" s="926"/>
      <c r="F81" s="2711"/>
      <c r="G81" s="919" t="s">
        <v>75</v>
      </c>
      <c r="H81" s="1213">
        <f>310/3.4528*1000</f>
        <v>89782</v>
      </c>
      <c r="I81" s="1236">
        <v>191149</v>
      </c>
      <c r="J81" s="1745">
        <f>I81-H81</f>
        <v>101367</v>
      </c>
      <c r="K81" s="2129"/>
      <c r="L81" s="2101"/>
    </row>
    <row r="82" spans="1:12" ht="21" customHeight="1" x14ac:dyDescent="0.2">
      <c r="A82" s="2757"/>
      <c r="B82" s="2727"/>
      <c r="C82" s="2709"/>
      <c r="D82" s="2703" t="s">
        <v>319</v>
      </c>
      <c r="E82" s="2706" t="s">
        <v>79</v>
      </c>
      <c r="F82" s="2710" t="s">
        <v>72</v>
      </c>
      <c r="G82" s="920" t="s">
        <v>74</v>
      </c>
      <c r="H82" s="1370">
        <f>6842.4/3.4528*1000</f>
        <v>1981696</v>
      </c>
      <c r="I82" s="1525">
        <f>6842.4/3.4528*1000</f>
        <v>1981696</v>
      </c>
      <c r="J82" s="1526"/>
      <c r="K82" s="2129"/>
      <c r="L82" s="2101"/>
    </row>
    <row r="83" spans="1:12" ht="30.75" customHeight="1" x14ac:dyDescent="0.2">
      <c r="A83" s="2757"/>
      <c r="B83" s="2727"/>
      <c r="C83" s="2709"/>
      <c r="D83" s="2705"/>
      <c r="E83" s="2707"/>
      <c r="F83" s="2715"/>
      <c r="G83" s="919" t="s">
        <v>80</v>
      </c>
      <c r="H83" s="1213">
        <f>1701.8/3.4528*1000</f>
        <v>492875</v>
      </c>
      <c r="I83" s="1236">
        <f>1701.8/3.4528*1000</f>
        <v>492875</v>
      </c>
      <c r="J83" s="1538"/>
      <c r="K83" s="2129"/>
      <c r="L83" s="2101"/>
    </row>
    <row r="84" spans="1:12" ht="24.75" customHeight="1" x14ac:dyDescent="0.2">
      <c r="A84" s="1664"/>
      <c r="B84" s="1658"/>
      <c r="C84" s="1678"/>
      <c r="D84" s="2760" t="s">
        <v>154</v>
      </c>
      <c r="E84" s="1679" t="s">
        <v>79</v>
      </c>
      <c r="F84" s="1660" t="s">
        <v>72</v>
      </c>
      <c r="G84" s="914" t="s">
        <v>80</v>
      </c>
      <c r="H84" s="1214"/>
      <c r="I84" s="1323"/>
      <c r="J84" s="1539"/>
      <c r="K84" s="2129"/>
      <c r="L84" s="2101"/>
    </row>
    <row r="85" spans="1:12" ht="19.5" customHeight="1" thickBot="1" x14ac:dyDescent="0.25">
      <c r="A85" s="1664"/>
      <c r="B85" s="1658"/>
      <c r="C85" s="1678"/>
      <c r="D85" s="2762"/>
      <c r="E85" s="1669"/>
      <c r="F85" s="1666"/>
      <c r="G85" s="876" t="s">
        <v>9</v>
      </c>
      <c r="H85" s="1219">
        <f>SUM(H78:H84)</f>
        <v>2564353</v>
      </c>
      <c r="I85" s="1219">
        <f>SUM(I78:I84)</f>
        <v>2809748</v>
      </c>
      <c r="J85" s="1222">
        <f>SUM(J78:J84)</f>
        <v>245395</v>
      </c>
      <c r="K85" s="2129"/>
      <c r="L85" s="2101"/>
    </row>
    <row r="86" spans="1:12" s="73" customFormat="1" ht="27.75" customHeight="1" x14ac:dyDescent="0.2">
      <c r="A86" s="2755" t="s">
        <v>8</v>
      </c>
      <c r="B86" s="2847" t="s">
        <v>8</v>
      </c>
      <c r="C86" s="2854" t="s">
        <v>55</v>
      </c>
      <c r="D86" s="2857" t="s">
        <v>144</v>
      </c>
      <c r="E86" s="2781"/>
      <c r="F86" s="2738" t="s">
        <v>72</v>
      </c>
      <c r="G86" s="921" t="s">
        <v>42</v>
      </c>
      <c r="H86" s="1519">
        <f>10/3.4528*1000</f>
        <v>2896</v>
      </c>
      <c r="I86" s="1372">
        <f>10/3.4528*1000</f>
        <v>2896</v>
      </c>
      <c r="J86" s="1521"/>
      <c r="K86" s="2131"/>
      <c r="L86" s="2123"/>
    </row>
    <row r="87" spans="1:12" ht="14.25" customHeight="1" x14ac:dyDescent="0.2">
      <c r="A87" s="2757"/>
      <c r="B87" s="2727"/>
      <c r="C87" s="2855"/>
      <c r="D87" s="2704"/>
      <c r="E87" s="2782"/>
      <c r="F87" s="2711"/>
      <c r="G87" s="919"/>
      <c r="H87" s="1514"/>
      <c r="I87" s="1323"/>
      <c r="J87" s="1542"/>
      <c r="K87" s="2129"/>
      <c r="L87" s="2101"/>
    </row>
    <row r="88" spans="1:12" ht="13.5" thickBot="1" x14ac:dyDescent="0.25">
      <c r="A88" s="2756"/>
      <c r="B88" s="2728"/>
      <c r="C88" s="2856"/>
      <c r="D88" s="2858"/>
      <c r="E88" s="2783"/>
      <c r="F88" s="2739"/>
      <c r="G88" s="922" t="s">
        <v>9</v>
      </c>
      <c r="H88" s="1503">
        <f>SUM(H86:H87)</f>
        <v>2896</v>
      </c>
      <c r="I88" s="1219">
        <f>SUM(I86:I87)</f>
        <v>2896</v>
      </c>
      <c r="J88" s="1222">
        <f>SUM(J86:J87)</f>
        <v>0</v>
      </c>
      <c r="K88" s="2129"/>
      <c r="L88" s="2101"/>
    </row>
    <row r="89" spans="1:12" ht="13.5" thickBot="1" x14ac:dyDescent="0.25">
      <c r="A89" s="382" t="s">
        <v>8</v>
      </c>
      <c r="B89" s="11" t="s">
        <v>8</v>
      </c>
      <c r="C89" s="2730" t="s">
        <v>11</v>
      </c>
      <c r="D89" s="2730"/>
      <c r="E89" s="2730"/>
      <c r="F89" s="2730"/>
      <c r="G89" s="2730"/>
      <c r="H89" s="1520">
        <f>H88+H85+H77+H57+H46+H29+H65</f>
        <v>3877229</v>
      </c>
      <c r="I89" s="1223">
        <f>I88+I85+I77+I57+I46+I29+I65</f>
        <v>4189281</v>
      </c>
      <c r="J89" s="2060">
        <f>J88+J85+J77+J57+J46+J29+J65</f>
        <v>312052</v>
      </c>
      <c r="K89" s="2129"/>
      <c r="L89" s="2101"/>
    </row>
    <row r="90" spans="1:12" ht="13.5" thickBot="1" x14ac:dyDescent="0.25">
      <c r="A90" s="382" t="s">
        <v>8</v>
      </c>
      <c r="B90" s="11" t="s">
        <v>10</v>
      </c>
      <c r="C90" s="2770" t="s">
        <v>49</v>
      </c>
      <c r="D90" s="2770"/>
      <c r="E90" s="2770"/>
      <c r="F90" s="2770"/>
      <c r="G90" s="2770"/>
      <c r="H90" s="2771"/>
      <c r="I90" s="2770"/>
      <c r="J90" s="2772"/>
      <c r="K90" s="2129"/>
      <c r="L90" s="2101"/>
    </row>
    <row r="91" spans="1:12" x14ac:dyDescent="0.2">
      <c r="A91" s="1673" t="s">
        <v>8</v>
      </c>
      <c r="B91" s="1674" t="s">
        <v>10</v>
      </c>
      <c r="C91" s="1675" t="s">
        <v>8</v>
      </c>
      <c r="D91" s="2791" t="s">
        <v>99</v>
      </c>
      <c r="E91" s="2842" t="s">
        <v>263</v>
      </c>
      <c r="F91" s="1676"/>
      <c r="G91" s="241" t="s">
        <v>42</v>
      </c>
      <c r="H91" s="1373">
        <f>17326.9/3.4528*1000</f>
        <v>5018217</v>
      </c>
      <c r="I91" s="1543">
        <f>17326.9/3.4528*1000</f>
        <v>5018217</v>
      </c>
      <c r="J91" s="1543"/>
      <c r="K91" s="2129"/>
      <c r="L91" s="2121"/>
    </row>
    <row r="92" spans="1:12" x14ac:dyDescent="0.2">
      <c r="A92" s="1664"/>
      <c r="B92" s="1658"/>
      <c r="C92" s="1659"/>
      <c r="D92" s="2744"/>
      <c r="E92" s="2843"/>
      <c r="F92" s="1662"/>
      <c r="G92" s="240" t="s">
        <v>122</v>
      </c>
      <c r="H92" s="1330">
        <f>500/3.4528*1000</f>
        <v>144810</v>
      </c>
      <c r="I92" s="1389">
        <f>500/3.4528*1000</f>
        <v>144810</v>
      </c>
      <c r="J92" s="1389"/>
      <c r="K92" s="2129"/>
      <c r="L92" s="2121"/>
    </row>
    <row r="93" spans="1:12" x14ac:dyDescent="0.2">
      <c r="A93" s="1664"/>
      <c r="B93" s="1658"/>
      <c r="C93" s="1659"/>
      <c r="D93" s="2792"/>
      <c r="E93" s="2843"/>
      <c r="F93" s="1666"/>
      <c r="G93" s="242" t="s">
        <v>108</v>
      </c>
      <c r="H93" s="1213">
        <f>117/3.4528*1000</f>
        <v>33886</v>
      </c>
      <c r="I93" s="1236">
        <v>3717</v>
      </c>
      <c r="J93" s="1612">
        <f>I93-H93</f>
        <v>-30169</v>
      </c>
      <c r="K93" s="2129"/>
      <c r="L93" s="2121"/>
    </row>
    <row r="94" spans="1:12" ht="13.5" customHeight="1" x14ac:dyDescent="0.2">
      <c r="A94" s="1664"/>
      <c r="B94" s="1658"/>
      <c r="C94" s="1659"/>
      <c r="D94" s="1017" t="s">
        <v>87</v>
      </c>
      <c r="E94" s="1679"/>
      <c r="F94" s="1662"/>
      <c r="G94" s="884"/>
      <c r="H94" s="1214"/>
      <c r="I94" s="1323"/>
      <c r="J94" s="1741"/>
      <c r="K94" s="2129"/>
      <c r="L94" s="2121"/>
    </row>
    <row r="95" spans="1:12" ht="27" customHeight="1" x14ac:dyDescent="0.2">
      <c r="A95" s="1664"/>
      <c r="B95" s="1658"/>
      <c r="C95" s="1659"/>
      <c r="D95" s="1663" t="s">
        <v>148</v>
      </c>
      <c r="E95" s="1679"/>
      <c r="F95" s="1662" t="s">
        <v>57</v>
      </c>
      <c r="G95" s="887"/>
      <c r="H95" s="1334"/>
      <c r="I95" s="1527"/>
      <c r="J95" s="1739"/>
      <c r="K95" s="2129"/>
      <c r="L95" s="2121"/>
    </row>
    <row r="96" spans="1:12" x14ac:dyDescent="0.2">
      <c r="A96" s="1664"/>
      <c r="B96" s="1658"/>
      <c r="C96" s="1659"/>
      <c r="D96" s="894" t="s">
        <v>149</v>
      </c>
      <c r="E96" s="1679"/>
      <c r="F96" s="1662"/>
      <c r="G96" s="887"/>
      <c r="H96" s="1334"/>
      <c r="I96" s="1527"/>
      <c r="J96" s="1739"/>
      <c r="K96" s="2129"/>
      <c r="L96" s="2121"/>
    </row>
    <row r="97" spans="1:13" x14ac:dyDescent="0.2">
      <c r="A97" s="1664"/>
      <c r="B97" s="1658"/>
      <c r="C97" s="1659"/>
      <c r="D97" s="1457" t="s">
        <v>150</v>
      </c>
      <c r="E97" s="1458"/>
      <c r="F97" s="1661"/>
      <c r="G97" s="887"/>
      <c r="H97" s="1334"/>
      <c r="I97" s="1527"/>
      <c r="J97" s="1739"/>
      <c r="K97" s="2129"/>
      <c r="L97" s="2121"/>
    </row>
    <row r="98" spans="1:13" ht="27" customHeight="1" x14ac:dyDescent="0.2">
      <c r="A98" s="1664"/>
      <c r="B98" s="1658"/>
      <c r="C98" s="1659"/>
      <c r="D98" s="895" t="s">
        <v>68</v>
      </c>
      <c r="E98" s="1679"/>
      <c r="F98" s="1662" t="s">
        <v>57</v>
      </c>
      <c r="G98" s="884"/>
      <c r="H98" s="1370"/>
      <c r="I98" s="1525"/>
      <c r="J98" s="1742"/>
      <c r="K98" s="2129"/>
      <c r="L98" s="2121"/>
    </row>
    <row r="99" spans="1:13" ht="42.75" customHeight="1" x14ac:dyDescent="0.2">
      <c r="A99" s="1664"/>
      <c r="B99" s="1658"/>
      <c r="C99" s="1659"/>
      <c r="D99" s="894" t="s">
        <v>279</v>
      </c>
      <c r="E99" s="1005"/>
      <c r="F99" s="1006" t="s">
        <v>57</v>
      </c>
      <c r="G99" s="676"/>
      <c r="H99" s="1334"/>
      <c r="I99" s="1527"/>
      <c r="J99" s="1739"/>
      <c r="K99" s="2129"/>
      <c r="L99" s="2121"/>
    </row>
    <row r="100" spans="1:13" ht="42" customHeight="1" x14ac:dyDescent="0.2">
      <c r="A100" s="2167"/>
      <c r="B100" s="2164"/>
      <c r="C100" s="2165"/>
      <c r="D100" s="894" t="s">
        <v>145</v>
      </c>
      <c r="E100" s="1005"/>
      <c r="F100" s="1006" t="s">
        <v>57</v>
      </c>
      <c r="G100" s="676"/>
      <c r="H100" s="1334"/>
      <c r="I100" s="1527"/>
      <c r="J100" s="1739"/>
      <c r="K100" s="2129"/>
      <c r="L100" s="2121"/>
    </row>
    <row r="101" spans="1:13" ht="21.75" customHeight="1" x14ac:dyDescent="0.2">
      <c r="A101" s="2757"/>
      <c r="B101" s="2727"/>
      <c r="C101" s="2709"/>
      <c r="D101" s="2786" t="s">
        <v>69</v>
      </c>
      <c r="E101" s="2788" t="s">
        <v>136</v>
      </c>
      <c r="F101" s="2711" t="s">
        <v>57</v>
      </c>
      <c r="G101" s="885"/>
      <c r="H101" s="1370"/>
      <c r="I101" s="1525"/>
      <c r="J101" s="1742"/>
      <c r="K101" s="2129"/>
      <c r="L101" s="2121"/>
    </row>
    <row r="102" spans="1:13" x14ac:dyDescent="0.2">
      <c r="A102" s="2962"/>
      <c r="B102" s="2963"/>
      <c r="C102" s="2964"/>
      <c r="D102" s="2965"/>
      <c r="E102" s="2966"/>
      <c r="F102" s="2715"/>
      <c r="G102" s="2221" t="s">
        <v>9</v>
      </c>
      <c r="H102" s="2222">
        <f>SUM(H90:H101)</f>
        <v>5196913</v>
      </c>
      <c r="I102" s="2222">
        <f>SUM(I90:I101)</f>
        <v>5166744</v>
      </c>
      <c r="J102" s="2222">
        <f>SUM(J91:J101)</f>
        <v>-30169</v>
      </c>
      <c r="K102" s="346"/>
      <c r="L102" s="2125"/>
    </row>
    <row r="103" spans="1:13" ht="13.5" thickBot="1" x14ac:dyDescent="0.25">
      <c r="A103" s="2168" t="s">
        <v>8</v>
      </c>
      <c r="B103" s="2166" t="s">
        <v>10</v>
      </c>
      <c r="C103" s="2967" t="s">
        <v>11</v>
      </c>
      <c r="D103" s="2967"/>
      <c r="E103" s="2967"/>
      <c r="F103" s="2967"/>
      <c r="G103" s="2967"/>
      <c r="H103" s="2220">
        <f>H102</f>
        <v>5196913</v>
      </c>
      <c r="I103" s="2220">
        <f>I102</f>
        <v>5166744</v>
      </c>
      <c r="J103" s="2220">
        <f t="shared" ref="J103" si="4">J102</f>
        <v>-30169</v>
      </c>
      <c r="K103" s="2129"/>
      <c r="L103" s="2101"/>
    </row>
    <row r="104" spans="1:13" ht="13.5" thickBot="1" x14ac:dyDescent="0.25">
      <c r="A104" s="382" t="s">
        <v>8</v>
      </c>
      <c r="B104" s="11" t="s">
        <v>45</v>
      </c>
      <c r="C104" s="2820" t="s">
        <v>51</v>
      </c>
      <c r="D104" s="2821"/>
      <c r="E104" s="2821"/>
      <c r="F104" s="2821"/>
      <c r="G104" s="2821"/>
      <c r="H104" s="2821"/>
      <c r="I104" s="2821"/>
      <c r="J104" s="2822"/>
      <c r="K104" s="2129"/>
      <c r="L104" s="2101"/>
    </row>
    <row r="105" spans="1:13" ht="38.25" customHeight="1" x14ac:dyDescent="0.2">
      <c r="A105" s="2092" t="s">
        <v>8</v>
      </c>
      <c r="B105" s="2093" t="s">
        <v>45</v>
      </c>
      <c r="C105" s="2096" t="s">
        <v>8</v>
      </c>
      <c r="D105" s="630" t="s">
        <v>295</v>
      </c>
      <c r="E105" s="1459" t="s">
        <v>141</v>
      </c>
      <c r="F105" s="622"/>
      <c r="G105" s="19"/>
      <c r="H105" s="1460"/>
      <c r="I105" s="1544"/>
      <c r="J105" s="2118"/>
      <c r="K105" s="2129"/>
      <c r="L105" s="2121"/>
    </row>
    <row r="106" spans="1:13" ht="38.25" customHeight="1" x14ac:dyDescent="0.2">
      <c r="A106" s="2230"/>
      <c r="B106" s="2223"/>
      <c r="C106" s="2097"/>
      <c r="D106" s="2224" t="s">
        <v>116</v>
      </c>
      <c r="E106" s="2154" t="s">
        <v>137</v>
      </c>
      <c r="F106" s="2100" t="s">
        <v>57</v>
      </c>
      <c r="G106" s="39" t="s">
        <v>122</v>
      </c>
      <c r="H106" s="2155">
        <f>364.8/3.4528*1000</f>
        <v>105653</v>
      </c>
      <c r="I106" s="1389">
        <f>364.8/3.4528*1000</f>
        <v>105653</v>
      </c>
      <c r="J106" s="1380"/>
      <c r="K106" s="2129"/>
      <c r="L106" s="2121"/>
    </row>
    <row r="107" spans="1:13" ht="25.5" customHeight="1" x14ac:dyDescent="0.2">
      <c r="A107" s="2280"/>
      <c r="B107" s="2281"/>
      <c r="C107" s="2097"/>
      <c r="D107" s="2282"/>
      <c r="E107" s="2267"/>
      <c r="F107" s="2268"/>
      <c r="G107" s="512" t="s">
        <v>58</v>
      </c>
      <c r="H107" s="1379">
        <v>152311</v>
      </c>
      <c r="I107" s="1529"/>
      <c r="J107" s="2178">
        <f t="shared" ref="J107:J113" si="5">I107-H107</f>
        <v>-152311</v>
      </c>
      <c r="K107" s="2129"/>
      <c r="L107" s="2121"/>
    </row>
    <row r="108" spans="1:13" ht="25.5" customHeight="1" x14ac:dyDescent="0.2">
      <c r="A108" s="2284"/>
      <c r="B108" s="2285"/>
      <c r="C108" s="1810"/>
      <c r="D108" s="2283"/>
      <c r="E108" s="2099"/>
      <c r="F108" s="2269"/>
      <c r="G108" s="246" t="s">
        <v>392</v>
      </c>
      <c r="H108" s="1225"/>
      <c r="I108" s="1236">
        <v>152311</v>
      </c>
      <c r="J108" s="2120">
        <f t="shared" si="5"/>
        <v>152311</v>
      </c>
      <c r="K108" s="346"/>
      <c r="L108" s="2125"/>
    </row>
    <row r="109" spans="1:13" ht="14.25" customHeight="1" x14ac:dyDescent="0.2">
      <c r="A109" s="2090"/>
      <c r="B109" s="2085"/>
      <c r="C109" s="2097"/>
      <c r="D109" s="2146"/>
      <c r="E109" s="2099"/>
      <c r="F109" s="1084"/>
      <c r="G109" s="509" t="s">
        <v>133</v>
      </c>
      <c r="H109" s="1225"/>
      <c r="I109" s="1236">
        <v>65825</v>
      </c>
      <c r="J109" s="2120">
        <f t="shared" si="5"/>
        <v>65825</v>
      </c>
      <c r="K109" s="2182"/>
      <c r="L109" s="2124"/>
    </row>
    <row r="110" spans="1:13" ht="14.25" customHeight="1" x14ac:dyDescent="0.2">
      <c r="A110" s="2135"/>
      <c r="B110" s="2137"/>
      <c r="C110" s="2097"/>
      <c r="D110" s="2143"/>
      <c r="E110" s="2098"/>
      <c r="F110" s="1081"/>
      <c r="G110" s="512" t="s">
        <v>58</v>
      </c>
      <c r="H110" s="1379">
        <v>173801</v>
      </c>
      <c r="I110" s="1529"/>
      <c r="J110" s="2178">
        <f t="shared" si="5"/>
        <v>-173801</v>
      </c>
      <c r="K110" s="2980" t="s">
        <v>397</v>
      </c>
      <c r="L110" s="2207">
        <v>1</v>
      </c>
    </row>
    <row r="111" spans="1:13" ht="16.5" customHeight="1" x14ac:dyDescent="0.2">
      <c r="A111" s="2090"/>
      <c r="B111" s="2085"/>
      <c r="C111" s="2097"/>
      <c r="D111" s="1797" t="s">
        <v>117</v>
      </c>
      <c r="E111" s="2099"/>
      <c r="F111" s="1790"/>
      <c r="G111" s="246" t="s">
        <v>392</v>
      </c>
      <c r="H111" s="1225"/>
      <c r="I111" s="1236">
        <v>174911</v>
      </c>
      <c r="J111" s="2120">
        <f t="shared" si="5"/>
        <v>174911</v>
      </c>
      <c r="K111" s="2981"/>
      <c r="L111" s="2127"/>
      <c r="M111" s="1731"/>
    </row>
    <row r="112" spans="1:13" ht="15" customHeight="1" x14ac:dyDescent="0.2">
      <c r="A112" s="2090"/>
      <c r="B112" s="2085"/>
      <c r="C112" s="2097"/>
      <c r="D112" s="2760" t="s">
        <v>328</v>
      </c>
      <c r="E112" s="2184" t="s">
        <v>79</v>
      </c>
      <c r="F112" s="2185" t="s">
        <v>72</v>
      </c>
      <c r="G112" s="512" t="s">
        <v>58</v>
      </c>
      <c r="H112" s="1379">
        <f>30/3.4528*1000</f>
        <v>8689</v>
      </c>
      <c r="I112" s="1529"/>
      <c r="J112" s="2178">
        <f t="shared" si="5"/>
        <v>-8689</v>
      </c>
      <c r="K112" s="2129"/>
      <c r="L112" s="2121"/>
    </row>
    <row r="113" spans="1:12" ht="19.5" customHeight="1" x14ac:dyDescent="0.2">
      <c r="A113" s="2135"/>
      <c r="B113" s="2137"/>
      <c r="C113" s="2097"/>
      <c r="D113" s="2929"/>
      <c r="E113" s="2140"/>
      <c r="F113" s="2183"/>
      <c r="G113" s="246" t="s">
        <v>392</v>
      </c>
      <c r="H113" s="1225"/>
      <c r="I113" s="1236">
        <f>30/3.4528*1000</f>
        <v>8689</v>
      </c>
      <c r="J113" s="2120">
        <f t="shared" si="5"/>
        <v>8689</v>
      </c>
      <c r="K113" s="2129"/>
      <c r="L113" s="2121"/>
    </row>
    <row r="114" spans="1:12" ht="27" customHeight="1" x14ac:dyDescent="0.2">
      <c r="A114" s="2090"/>
      <c r="B114" s="2085"/>
      <c r="C114" s="2097"/>
      <c r="D114" s="2760" t="s">
        <v>280</v>
      </c>
      <c r="E114" s="1809"/>
      <c r="F114" s="1208" t="s">
        <v>57</v>
      </c>
      <c r="G114" s="39" t="s">
        <v>42</v>
      </c>
      <c r="H114" s="1224">
        <f>18/3.4528*1000</f>
        <v>5213</v>
      </c>
      <c r="I114" s="1389">
        <f>18/3.4528*1000</f>
        <v>5213</v>
      </c>
      <c r="J114" s="1380"/>
      <c r="K114" s="2129"/>
      <c r="L114" s="2121"/>
    </row>
    <row r="115" spans="1:12" ht="16.5" customHeight="1" thickBot="1" x14ac:dyDescent="0.25">
      <c r="A115" s="2090"/>
      <c r="B115" s="2085"/>
      <c r="C115" s="2097"/>
      <c r="D115" s="2934"/>
      <c r="E115" s="1807"/>
      <c r="F115" s="1806"/>
      <c r="G115" s="1008" t="s">
        <v>9</v>
      </c>
      <c r="H115" s="1383">
        <f>SUM(H105:H114)</f>
        <v>445667</v>
      </c>
      <c r="I115" s="1512">
        <f>SUM(I105:I114)</f>
        <v>512602</v>
      </c>
      <c r="J115" s="1219">
        <f>SUM(J105:J114)</f>
        <v>66935</v>
      </c>
      <c r="K115" s="2129"/>
      <c r="L115" s="2121"/>
    </row>
    <row r="116" spans="1:12" ht="15.75" customHeight="1" x14ac:dyDescent="0.2">
      <c r="A116" s="2755" t="s">
        <v>8</v>
      </c>
      <c r="B116" s="2847" t="s">
        <v>45</v>
      </c>
      <c r="C116" s="2732" t="s">
        <v>10</v>
      </c>
      <c r="D116" s="2743" t="s">
        <v>60</v>
      </c>
      <c r="E116" s="1805"/>
      <c r="F116" s="613" t="s">
        <v>57</v>
      </c>
      <c r="G116" s="897" t="s">
        <v>122</v>
      </c>
      <c r="H116" s="1226">
        <f>1730.2/3.4528*1000</f>
        <v>501101</v>
      </c>
      <c r="I116" s="1546">
        <f>1730.2/3.4528*1000</f>
        <v>501101</v>
      </c>
      <c r="J116" s="1547"/>
      <c r="K116" s="2129"/>
      <c r="L116" s="2121"/>
    </row>
    <row r="117" spans="1:12" x14ac:dyDescent="0.2">
      <c r="A117" s="2757"/>
      <c r="B117" s="2727"/>
      <c r="C117" s="2709"/>
      <c r="D117" s="2744"/>
      <c r="E117" s="1801"/>
      <c r="F117" s="612"/>
      <c r="G117" s="1463" t="s">
        <v>133</v>
      </c>
      <c r="H117" s="1461"/>
      <c r="I117" s="1545">
        <v>6482</v>
      </c>
      <c r="J117" s="1767">
        <f>I117-H117</f>
        <v>6482</v>
      </c>
      <c r="K117" s="2129"/>
      <c r="L117" s="2121"/>
    </row>
    <row r="118" spans="1:12" x14ac:dyDescent="0.2">
      <c r="A118" s="2757"/>
      <c r="B118" s="2727"/>
      <c r="C118" s="2709"/>
      <c r="D118" s="1799"/>
      <c r="E118" s="1801"/>
      <c r="F118" s="612"/>
      <c r="G118" s="992"/>
      <c r="H118" s="1229"/>
      <c r="I118" s="1323"/>
      <c r="J118" s="1738"/>
      <c r="K118" s="2129"/>
      <c r="L118" s="2121"/>
    </row>
    <row r="119" spans="1:12" x14ac:dyDescent="0.2">
      <c r="A119" s="2757"/>
      <c r="B119" s="2727"/>
      <c r="C119" s="2709"/>
      <c r="D119" s="1799"/>
      <c r="E119" s="1801"/>
      <c r="F119" s="612"/>
      <c r="G119" s="992"/>
      <c r="H119" s="1229"/>
      <c r="I119" s="1323"/>
      <c r="J119" s="1741"/>
      <c r="K119" s="2129"/>
      <c r="L119" s="2121"/>
    </row>
    <row r="120" spans="1:12" x14ac:dyDescent="0.2">
      <c r="A120" s="2757"/>
      <c r="B120" s="2727"/>
      <c r="C120" s="2709"/>
      <c r="D120" s="1799"/>
      <c r="E120" s="1801"/>
      <c r="F120" s="612"/>
      <c r="G120" s="509"/>
      <c r="H120" s="1229"/>
      <c r="I120" s="1323"/>
      <c r="J120" s="1741"/>
      <c r="K120" s="2129"/>
      <c r="L120" s="2121"/>
    </row>
    <row r="121" spans="1:12" ht="14.25" customHeight="1" thickBot="1" x14ac:dyDescent="0.25">
      <c r="A121" s="2756"/>
      <c r="B121" s="2728"/>
      <c r="C121" s="2729"/>
      <c r="D121" s="1800"/>
      <c r="E121" s="1802"/>
      <c r="F121" s="1009"/>
      <c r="G121" s="299" t="s">
        <v>9</v>
      </c>
      <c r="H121" s="1385">
        <f>H116</f>
        <v>501101</v>
      </c>
      <c r="I121" s="1219">
        <f>I116+I117</f>
        <v>507583</v>
      </c>
      <c r="J121" s="1219">
        <f>J116+J117</f>
        <v>6482</v>
      </c>
      <c r="K121" s="2129"/>
      <c r="L121" s="2121"/>
    </row>
    <row r="122" spans="1:12" ht="25.5" customHeight="1" x14ac:dyDescent="0.2">
      <c r="A122" s="2755" t="s">
        <v>8</v>
      </c>
      <c r="B122" s="2847" t="s">
        <v>45</v>
      </c>
      <c r="C122" s="2732" t="s">
        <v>45</v>
      </c>
      <c r="D122" s="2740" t="s">
        <v>172</v>
      </c>
      <c r="E122" s="1792" t="s">
        <v>79</v>
      </c>
      <c r="F122" s="1789" t="s">
        <v>57</v>
      </c>
      <c r="G122" s="94" t="s">
        <v>122</v>
      </c>
      <c r="H122" s="1231">
        <f>200/3.4528*1000</f>
        <v>57924</v>
      </c>
      <c r="I122" s="1543">
        <f>200/3.4528*1000</f>
        <v>57924</v>
      </c>
      <c r="J122" s="1684"/>
      <c r="K122" s="2129"/>
      <c r="L122" s="2121"/>
    </row>
    <row r="123" spans="1:12" x14ac:dyDescent="0.2">
      <c r="A123" s="2757"/>
      <c r="B123" s="2727"/>
      <c r="C123" s="2709"/>
      <c r="D123" s="2741"/>
      <c r="E123" s="2745" t="s">
        <v>139</v>
      </c>
      <c r="F123" s="1790"/>
      <c r="G123" s="20"/>
      <c r="H123" s="1229"/>
      <c r="I123" s="1323"/>
      <c r="J123" s="1353"/>
      <c r="K123" s="2129"/>
      <c r="L123" s="2121"/>
    </row>
    <row r="124" spans="1:12" x14ac:dyDescent="0.2">
      <c r="A124" s="2757"/>
      <c r="B124" s="2727"/>
      <c r="C124" s="2709"/>
      <c r="D124" s="2741"/>
      <c r="E124" s="2746"/>
      <c r="F124" s="1790"/>
      <c r="G124" s="20"/>
      <c r="H124" s="1229"/>
      <c r="I124" s="1323"/>
      <c r="J124" s="1353"/>
      <c r="K124" s="2129"/>
      <c r="L124" s="2121"/>
    </row>
    <row r="125" spans="1:12" x14ac:dyDescent="0.2">
      <c r="A125" s="2757"/>
      <c r="B125" s="2727"/>
      <c r="C125" s="2709"/>
      <c r="D125" s="2741"/>
      <c r="E125" s="1793"/>
      <c r="F125" s="1790"/>
      <c r="G125" s="246"/>
      <c r="H125" s="1225"/>
      <c r="I125" s="1236"/>
      <c r="J125" s="1388"/>
      <c r="K125" s="2129"/>
      <c r="L125" s="2121"/>
    </row>
    <row r="126" spans="1:12" ht="13.5" thickBot="1" x14ac:dyDescent="0.25">
      <c r="A126" s="2756"/>
      <c r="B126" s="2728"/>
      <c r="C126" s="2729"/>
      <c r="D126" s="2742"/>
      <c r="E126" s="551"/>
      <c r="F126" s="1791"/>
      <c r="G126" s="299" t="s">
        <v>9</v>
      </c>
      <c r="H126" s="1385">
        <f>H122+H123</f>
        <v>57924</v>
      </c>
      <c r="I126" s="1219">
        <f>I122+I123</f>
        <v>57924</v>
      </c>
      <c r="J126" s="1222">
        <f>SUM(J122:J125)</f>
        <v>0</v>
      </c>
      <c r="K126" s="2129"/>
      <c r="L126" s="2121"/>
    </row>
    <row r="127" spans="1:12" ht="25.5" x14ac:dyDescent="0.2">
      <c r="A127" s="1783" t="s">
        <v>8</v>
      </c>
      <c r="B127" s="1784" t="s">
        <v>45</v>
      </c>
      <c r="C127" s="1785" t="s">
        <v>50</v>
      </c>
      <c r="D127" s="738" t="s">
        <v>228</v>
      </c>
      <c r="E127" s="1793"/>
      <c r="F127" s="1790"/>
      <c r="G127" s="246"/>
      <c r="H127" s="1225"/>
      <c r="I127" s="1236"/>
      <c r="J127" s="1536"/>
      <c r="K127" s="2129"/>
      <c r="L127" s="2121"/>
    </row>
    <row r="128" spans="1:12" ht="38.25" x14ac:dyDescent="0.2">
      <c r="A128" s="1808"/>
      <c r="B128" s="1784"/>
      <c r="C128" s="1785"/>
      <c r="D128" s="1467" t="s">
        <v>219</v>
      </c>
      <c r="E128" s="1468"/>
      <c r="F128" s="1469" t="s">
        <v>57</v>
      </c>
      <c r="G128" s="1470" t="s">
        <v>122</v>
      </c>
      <c r="H128" s="1379">
        <f>20/3.4528*1000</f>
        <v>5792</v>
      </c>
      <c r="I128" s="1529">
        <f>20/3.4528*1000</f>
        <v>5792</v>
      </c>
      <c r="J128" s="1537"/>
      <c r="K128" s="2129"/>
      <c r="L128" s="2121"/>
    </row>
    <row r="129" spans="1:12" ht="12.75" customHeight="1" x14ac:dyDescent="0.2">
      <c r="A129" s="1808"/>
      <c r="B129" s="1784"/>
      <c r="C129" s="1785"/>
      <c r="D129" s="2968" t="s">
        <v>413</v>
      </c>
      <c r="E129" s="2848" t="s">
        <v>214</v>
      </c>
      <c r="F129" s="2715" t="s">
        <v>57</v>
      </c>
      <c r="G129" s="1449" t="s">
        <v>122</v>
      </c>
      <c r="H129" s="1461">
        <f>50/3.4528*1000</f>
        <v>14481</v>
      </c>
      <c r="I129" s="1545">
        <f>14481+71556</f>
        <v>86037</v>
      </c>
      <c r="J129" s="1767">
        <f>I129-H129</f>
        <v>71556</v>
      </c>
      <c r="K129" s="2129"/>
      <c r="L129" s="2121"/>
    </row>
    <row r="130" spans="1:12" ht="15.75" customHeight="1" x14ac:dyDescent="0.2">
      <c r="A130" s="1808"/>
      <c r="B130" s="1784"/>
      <c r="C130" s="1785"/>
      <c r="D130" s="2968"/>
      <c r="E130" s="2848"/>
      <c r="F130" s="2710"/>
      <c r="G130" s="20"/>
      <c r="H130" s="1229"/>
      <c r="I130" s="1323"/>
      <c r="J130" s="1539"/>
      <c r="K130" s="2129"/>
      <c r="L130" s="2121"/>
    </row>
    <row r="131" spans="1:12" ht="28.5" customHeight="1" thickBot="1" x14ac:dyDescent="0.25">
      <c r="A131" s="1808"/>
      <c r="B131" s="1784"/>
      <c r="C131" s="1785"/>
      <c r="D131" s="2969"/>
      <c r="E131" s="2932"/>
      <c r="F131" s="1790"/>
      <c r="G131" s="299" t="s">
        <v>9</v>
      </c>
      <c r="H131" s="1503">
        <f>SUM(H128:H130)</f>
        <v>20273</v>
      </c>
      <c r="I131" s="1219">
        <f>SUM(I128:I130)</f>
        <v>91829</v>
      </c>
      <c r="J131" s="1222">
        <f>SUM(J127:J130)</f>
        <v>71556</v>
      </c>
      <c r="K131" s="2129"/>
      <c r="L131" s="2121"/>
    </row>
    <row r="132" spans="1:12" ht="15" customHeight="1" x14ac:dyDescent="0.2">
      <c r="A132" s="2755" t="s">
        <v>8</v>
      </c>
      <c r="B132" s="2847" t="s">
        <v>45</v>
      </c>
      <c r="C132" s="2732" t="s">
        <v>52</v>
      </c>
      <c r="D132" s="2743" t="s">
        <v>81</v>
      </c>
      <c r="E132" s="2747" t="s">
        <v>135</v>
      </c>
      <c r="F132" s="2738" t="s">
        <v>98</v>
      </c>
      <c r="G132" s="94" t="s">
        <v>42</v>
      </c>
      <c r="H132" s="1504">
        <f>340/3.4528*1000</f>
        <v>98471</v>
      </c>
      <c r="I132" s="1477">
        <f>340/3.4528*1000</f>
        <v>98471</v>
      </c>
      <c r="J132" s="1478"/>
      <c r="K132" s="2129"/>
      <c r="L132" s="2121"/>
    </row>
    <row r="133" spans="1:12" ht="10.5" customHeight="1" x14ac:dyDescent="0.2">
      <c r="A133" s="2757"/>
      <c r="B133" s="2727"/>
      <c r="C133" s="2709"/>
      <c r="D133" s="2786"/>
      <c r="E133" s="2748"/>
      <c r="F133" s="2711"/>
      <c r="G133" s="1091"/>
      <c r="H133" s="1225"/>
      <c r="I133" s="1236"/>
      <c r="J133" s="1212"/>
      <c r="K133" s="2129"/>
      <c r="L133" s="2121"/>
    </row>
    <row r="134" spans="1:12" ht="13.5" thickBot="1" x14ac:dyDescent="0.25">
      <c r="A134" s="2756"/>
      <c r="B134" s="2728"/>
      <c r="C134" s="2729"/>
      <c r="D134" s="2787"/>
      <c r="E134" s="2749"/>
      <c r="F134" s="2739"/>
      <c r="G134" s="299" t="s">
        <v>9</v>
      </c>
      <c r="H134" s="1503">
        <f>SUM(H132:H133)</f>
        <v>98471</v>
      </c>
      <c r="I134" s="1219">
        <f>SUM(I132:I133)</f>
        <v>98471</v>
      </c>
      <c r="J134" s="1222">
        <f t="shared" ref="J134" si="6">SUM(J132:J133)</f>
        <v>0</v>
      </c>
      <c r="K134" s="2129"/>
      <c r="L134" s="2121"/>
    </row>
    <row r="135" spans="1:12" ht="15" customHeight="1" x14ac:dyDescent="0.2">
      <c r="A135" s="2755" t="s">
        <v>8</v>
      </c>
      <c r="B135" s="2847" t="s">
        <v>45</v>
      </c>
      <c r="C135" s="2732" t="s">
        <v>54</v>
      </c>
      <c r="D135" s="2743" t="s">
        <v>91</v>
      </c>
      <c r="E135" s="2747" t="s">
        <v>79</v>
      </c>
      <c r="F135" s="2738" t="s">
        <v>72</v>
      </c>
      <c r="G135" s="94" t="s">
        <v>58</v>
      </c>
      <c r="H135" s="1231">
        <f>250/3.4528*1000</f>
        <v>72405</v>
      </c>
      <c r="I135" s="1543"/>
      <c r="J135" s="2186">
        <f>I135-H135</f>
        <v>-72405</v>
      </c>
      <c r="K135" s="2129"/>
      <c r="L135" s="2121"/>
    </row>
    <row r="136" spans="1:12" ht="15" customHeight="1" x14ac:dyDescent="0.2">
      <c r="A136" s="2757"/>
      <c r="B136" s="2727"/>
      <c r="C136" s="2709"/>
      <c r="D136" s="2786"/>
      <c r="E136" s="2748"/>
      <c r="F136" s="2711"/>
      <c r="G136" s="39" t="s">
        <v>392</v>
      </c>
      <c r="H136" s="1224"/>
      <c r="I136" s="1389">
        <f>250/3.4528*1000</f>
        <v>72405</v>
      </c>
      <c r="J136" s="2187">
        <f>I136-H136</f>
        <v>72405</v>
      </c>
      <c r="K136" s="2129"/>
      <c r="L136" s="2121"/>
    </row>
    <row r="137" spans="1:12" ht="14.25" customHeight="1" x14ac:dyDescent="0.2">
      <c r="A137" s="2757"/>
      <c r="B137" s="2727"/>
      <c r="C137" s="2709"/>
      <c r="D137" s="2786"/>
      <c r="E137" s="2748"/>
      <c r="F137" s="2711"/>
      <c r="G137" s="1091" t="s">
        <v>122</v>
      </c>
      <c r="H137" s="1229">
        <f>50/3.4528*1000</f>
        <v>14481</v>
      </c>
      <c r="I137" s="1323">
        <f>50/3.4528*1000</f>
        <v>14481</v>
      </c>
      <c r="J137" s="1221"/>
      <c r="K137" s="2129"/>
      <c r="L137" s="2121"/>
    </row>
    <row r="138" spans="1:12" ht="13.5" customHeight="1" thickBot="1" x14ac:dyDescent="0.25">
      <c r="A138" s="2756"/>
      <c r="B138" s="2728"/>
      <c r="C138" s="2729"/>
      <c r="D138" s="2787"/>
      <c r="E138" s="2749"/>
      <c r="F138" s="2739"/>
      <c r="G138" s="299" t="s">
        <v>9</v>
      </c>
      <c r="H138" s="1503">
        <f>H135+H137+H136</f>
        <v>86886</v>
      </c>
      <c r="I138" s="1503">
        <f t="shared" ref="I138:J138" si="7">I135+I137+I136</f>
        <v>86886</v>
      </c>
      <c r="J138" s="1503">
        <f t="shared" si="7"/>
        <v>0</v>
      </c>
      <c r="K138" s="2129"/>
      <c r="L138" s="2121"/>
    </row>
    <row r="139" spans="1:12" ht="29.25" x14ac:dyDescent="0.2">
      <c r="A139" s="1803" t="s">
        <v>8</v>
      </c>
      <c r="B139" s="1804" t="s">
        <v>45</v>
      </c>
      <c r="C139" s="1788" t="s">
        <v>55</v>
      </c>
      <c r="D139" s="899" t="s">
        <v>221</v>
      </c>
      <c r="E139" s="1011" t="s">
        <v>139</v>
      </c>
      <c r="F139" s="900"/>
      <c r="G139" s="19"/>
      <c r="H139" s="1505"/>
      <c r="I139" s="1544"/>
      <c r="J139" s="1390"/>
      <c r="K139" s="2129"/>
      <c r="L139" s="2121"/>
    </row>
    <row r="140" spans="1:12" ht="12.75" customHeight="1" x14ac:dyDescent="0.2">
      <c r="A140" s="1783"/>
      <c r="B140" s="1784"/>
      <c r="C140" s="1785"/>
      <c r="D140" s="2850" t="s">
        <v>329</v>
      </c>
      <c r="E140" s="1794" t="s">
        <v>79</v>
      </c>
      <c r="F140" s="2710" t="s">
        <v>72</v>
      </c>
      <c r="G140" s="512" t="s">
        <v>122</v>
      </c>
      <c r="H140" s="1506">
        <f>30/3.4528*1000</f>
        <v>8689</v>
      </c>
      <c r="I140" s="1529">
        <f>30/3.4528*1000</f>
        <v>8689</v>
      </c>
      <c r="J140" s="1327"/>
      <c r="K140" s="2129"/>
      <c r="L140" s="2121"/>
    </row>
    <row r="141" spans="1:12" ht="12.75" customHeight="1" x14ac:dyDescent="0.2">
      <c r="A141" s="2064"/>
      <c r="B141" s="2062"/>
      <c r="C141" s="2063"/>
      <c r="D141" s="2845"/>
      <c r="E141" s="2065"/>
      <c r="F141" s="2711"/>
      <c r="G141" s="836" t="s">
        <v>392</v>
      </c>
      <c r="H141" s="1507"/>
      <c r="I141" s="1525">
        <v>54684</v>
      </c>
      <c r="J141" s="2079">
        <f>I141-H141</f>
        <v>54684</v>
      </c>
      <c r="K141" s="2129"/>
      <c r="L141" s="2121"/>
    </row>
    <row r="142" spans="1:12" x14ac:dyDescent="0.2">
      <c r="A142" s="1783"/>
      <c r="B142" s="1784"/>
      <c r="C142" s="1785"/>
      <c r="D142" s="2845"/>
      <c r="E142" s="1313"/>
      <c r="F142" s="2711"/>
      <c r="G142" s="836" t="s">
        <v>58</v>
      </c>
      <c r="H142" s="1507">
        <f>250/3.4528*1000</f>
        <v>72405</v>
      </c>
      <c r="I142" s="1525">
        <v>21721</v>
      </c>
      <c r="J142" s="2058">
        <f>I142-H142</f>
        <v>-50684</v>
      </c>
      <c r="K142" s="2129"/>
      <c r="L142" s="2121"/>
    </row>
    <row r="143" spans="1:12" x14ac:dyDescent="0.2">
      <c r="A143" s="1783"/>
      <c r="B143" s="1784"/>
      <c r="C143" s="1785"/>
      <c r="D143" s="2845"/>
      <c r="E143" s="1313"/>
      <c r="F143" s="2711"/>
      <c r="G143" s="246" t="s">
        <v>75</v>
      </c>
      <c r="H143" s="1508">
        <f>163.5/3.4528*1000</f>
        <v>47353</v>
      </c>
      <c r="I143" s="1236">
        <f>163.5/3.4528*1000</f>
        <v>47353</v>
      </c>
      <c r="J143" s="1388"/>
      <c r="K143" s="346"/>
      <c r="L143" s="2215"/>
    </row>
    <row r="144" spans="1:12" ht="28.5" customHeight="1" x14ac:dyDescent="0.2">
      <c r="A144" s="1808"/>
      <c r="B144" s="1784"/>
      <c r="C144" s="1785"/>
      <c r="D144" s="2985" t="s">
        <v>412</v>
      </c>
      <c r="E144" s="1794" t="s">
        <v>79</v>
      </c>
      <c r="F144" s="1795" t="s">
        <v>57</v>
      </c>
      <c r="G144" s="552" t="s">
        <v>122</v>
      </c>
      <c r="H144" s="1509">
        <f>754.9/3.4528*1000</f>
        <v>218634</v>
      </c>
      <c r="I144" s="1389">
        <f>218634-71556</f>
        <v>147078</v>
      </c>
      <c r="J144" s="2075">
        <f>I144-H144</f>
        <v>-71556</v>
      </c>
      <c r="K144" s="2860" t="s">
        <v>303</v>
      </c>
      <c r="L144" s="2211" t="s">
        <v>402</v>
      </c>
    </row>
    <row r="145" spans="1:12" ht="27.75" customHeight="1" thickBot="1" x14ac:dyDescent="0.25">
      <c r="A145" s="1798"/>
      <c r="B145" s="1786"/>
      <c r="C145" s="1787"/>
      <c r="D145" s="2931"/>
      <c r="E145" s="1286"/>
      <c r="F145" s="944"/>
      <c r="G145" s="299" t="s">
        <v>9</v>
      </c>
      <c r="H145" s="1510">
        <f>SUM(H139:H144)</f>
        <v>347081</v>
      </c>
      <c r="I145" s="1215">
        <f>SUM(I139:I144)</f>
        <v>279525</v>
      </c>
      <c r="J145" s="2061">
        <f>SUM(J139:J144)</f>
        <v>-67556</v>
      </c>
      <c r="K145" s="2984"/>
      <c r="L145" s="2121"/>
    </row>
    <row r="146" spans="1:12" ht="12.75" customHeight="1" x14ac:dyDescent="0.2">
      <c r="A146" s="2082" t="s">
        <v>8</v>
      </c>
      <c r="B146" s="120" t="s">
        <v>45</v>
      </c>
      <c r="C146" s="2732" t="s">
        <v>218</v>
      </c>
      <c r="D146" s="2733" t="s">
        <v>102</v>
      </c>
      <c r="E146" s="2736"/>
      <c r="F146" s="2738" t="s">
        <v>57</v>
      </c>
      <c r="G146" s="94" t="s">
        <v>392</v>
      </c>
      <c r="H146" s="2202"/>
      <c r="I146" s="1543">
        <f>29049+64522</f>
        <v>93571</v>
      </c>
      <c r="J146" s="2209">
        <f>I146-H146</f>
        <v>93571</v>
      </c>
      <c r="K146" s="2982" t="s">
        <v>103</v>
      </c>
      <c r="L146" s="2208">
        <v>5</v>
      </c>
    </row>
    <row r="147" spans="1:12" ht="12.75" customHeight="1" x14ac:dyDescent="0.2">
      <c r="A147" s="2167"/>
      <c r="B147" s="1751"/>
      <c r="C147" s="2709"/>
      <c r="D147" s="2734"/>
      <c r="E147" s="2716"/>
      <c r="F147" s="2711"/>
      <c r="G147" s="676" t="s">
        <v>58</v>
      </c>
      <c r="H147" s="1515">
        <v>29049</v>
      </c>
      <c r="I147" s="1527"/>
      <c r="J147" s="2210">
        <f>I147-H147</f>
        <v>-29049</v>
      </c>
      <c r="K147" s="2768"/>
      <c r="L147" s="2201">
        <v>12</v>
      </c>
    </row>
    <row r="148" spans="1:12" ht="12.75" customHeight="1" x14ac:dyDescent="0.2">
      <c r="A148" s="2081"/>
      <c r="B148" s="1751"/>
      <c r="C148" s="2709"/>
      <c r="D148" s="2734"/>
      <c r="E148" s="2716"/>
      <c r="F148" s="2711"/>
      <c r="G148" s="1769" t="s">
        <v>133</v>
      </c>
      <c r="H148" s="1514"/>
      <c r="I148" s="1323"/>
      <c r="J148" s="1754"/>
      <c r="K148" s="2983"/>
      <c r="L148" s="2125"/>
    </row>
    <row r="149" spans="1:12" ht="13.5" thickBot="1" x14ac:dyDescent="0.25">
      <c r="A149" s="2083"/>
      <c r="B149" s="122"/>
      <c r="C149" s="2729"/>
      <c r="D149" s="2735"/>
      <c r="E149" s="2737"/>
      <c r="F149" s="2739"/>
      <c r="G149" s="325" t="s">
        <v>9</v>
      </c>
      <c r="H149" s="1503">
        <f>SUM(H146:H148)</f>
        <v>29049</v>
      </c>
      <c r="I149" s="1503">
        <f t="shared" ref="I149:J149" si="8">SUM(I146:I148)</f>
        <v>93571</v>
      </c>
      <c r="J149" s="1503">
        <f t="shared" si="8"/>
        <v>64522</v>
      </c>
      <c r="K149" s="2129"/>
      <c r="L149" s="2121"/>
    </row>
    <row r="150" spans="1:12" ht="13.5" thickBot="1" x14ac:dyDescent="0.25">
      <c r="A150" s="383" t="s">
        <v>8</v>
      </c>
      <c r="B150" s="11" t="s">
        <v>45</v>
      </c>
      <c r="C150" s="2730" t="s">
        <v>11</v>
      </c>
      <c r="D150" s="2730"/>
      <c r="E150" s="2730"/>
      <c r="F150" s="2730"/>
      <c r="G150" s="2731"/>
      <c r="H150" s="1511">
        <f>H149+H145+H138+H134+H131+H126+H121+H115</f>
        <v>1586452</v>
      </c>
      <c r="I150" s="1223">
        <f>I149+I145+I138+I134+I131+I126+I121+I115</f>
        <v>1728391</v>
      </c>
      <c r="J150" s="1223">
        <f>J149+J145+J138+J134+J131+J126+J121+J115</f>
        <v>141939</v>
      </c>
      <c r="K150" s="2129"/>
      <c r="L150" s="2101"/>
    </row>
    <row r="151" spans="1:12" ht="13.5" thickBot="1" x14ac:dyDescent="0.25">
      <c r="A151" s="382" t="s">
        <v>8</v>
      </c>
      <c r="B151" s="11" t="s">
        <v>50</v>
      </c>
      <c r="C151" s="2820" t="s">
        <v>53</v>
      </c>
      <c r="D151" s="2821"/>
      <c r="E151" s="2821"/>
      <c r="F151" s="2821"/>
      <c r="G151" s="2821"/>
      <c r="H151" s="2821"/>
      <c r="I151" s="2821"/>
      <c r="J151" s="2822"/>
      <c r="K151" s="2129"/>
      <c r="L151" s="2101"/>
    </row>
    <row r="152" spans="1:12" ht="25.5" x14ac:dyDescent="0.2">
      <c r="A152" s="2232" t="s">
        <v>8</v>
      </c>
      <c r="B152" s="2234" t="s">
        <v>50</v>
      </c>
      <c r="C152" s="1440" t="s">
        <v>8</v>
      </c>
      <c r="D152" s="630" t="s">
        <v>182</v>
      </c>
      <c r="E152" s="620"/>
      <c r="F152" s="622"/>
      <c r="G152" s="1559"/>
      <c r="H152" s="2188"/>
      <c r="I152" s="2190"/>
      <c r="J152" s="1396"/>
      <c r="K152" s="2129"/>
      <c r="L152" s="2121"/>
    </row>
    <row r="153" spans="1:12" ht="18.75" customHeight="1" x14ac:dyDescent="0.2">
      <c r="A153" s="2230"/>
      <c r="B153" s="2223"/>
      <c r="C153" s="901"/>
      <c r="D153" s="2237" t="s">
        <v>184</v>
      </c>
      <c r="E153" s="896"/>
      <c r="F153" s="2229" t="s">
        <v>72</v>
      </c>
      <c r="G153" s="601" t="s">
        <v>58</v>
      </c>
      <c r="H153" s="2189">
        <f>10/3.4528*1000</f>
        <v>2896</v>
      </c>
      <c r="I153" s="2191"/>
      <c r="J153" s="2192">
        <f>I153-H153</f>
        <v>-2896</v>
      </c>
      <c r="K153" s="2129"/>
      <c r="L153" s="2121"/>
    </row>
    <row r="154" spans="1:12" ht="21.75" customHeight="1" thickBot="1" x14ac:dyDescent="0.25">
      <c r="A154" s="2233"/>
      <c r="B154" s="2225"/>
      <c r="C154" s="902"/>
      <c r="D154" s="1170"/>
      <c r="E154" s="2236"/>
      <c r="F154" s="2227"/>
      <c r="G154" s="2263" t="s">
        <v>392</v>
      </c>
      <c r="H154" s="2264"/>
      <c r="I154" s="2265">
        <f>10/3.4528*1000</f>
        <v>2896</v>
      </c>
      <c r="J154" s="2266">
        <f>I154-H154</f>
        <v>2896</v>
      </c>
      <c r="K154" s="2132"/>
      <c r="L154" s="2153"/>
    </row>
    <row r="155" spans="1:12" ht="30.75" customHeight="1" x14ac:dyDescent="0.2">
      <c r="A155" s="2230"/>
      <c r="B155" s="2223"/>
      <c r="C155" s="901"/>
      <c r="D155" s="2243" t="s">
        <v>405</v>
      </c>
      <c r="E155" s="2141"/>
      <c r="F155" s="970" t="s">
        <v>57</v>
      </c>
      <c r="G155" s="2271" t="s">
        <v>58</v>
      </c>
      <c r="H155" s="2272">
        <f>1200/3.4528*1000</f>
        <v>347544</v>
      </c>
      <c r="I155" s="2273"/>
      <c r="J155" s="2274">
        <f>I155-H155</f>
        <v>-347544</v>
      </c>
      <c r="K155" s="2971" t="s">
        <v>407</v>
      </c>
      <c r="L155" s="2246" t="s">
        <v>404</v>
      </c>
    </row>
    <row r="156" spans="1:12" ht="25.5" customHeight="1" x14ac:dyDescent="0.2">
      <c r="A156" s="2230"/>
      <c r="B156" s="2223"/>
      <c r="C156" s="901"/>
      <c r="D156" s="2275" t="s">
        <v>408</v>
      </c>
      <c r="E156" s="2238"/>
      <c r="F156" s="2226" t="s">
        <v>57</v>
      </c>
      <c r="G156" s="884" t="s">
        <v>392</v>
      </c>
      <c r="H156" s="2245"/>
      <c r="I156" s="1489">
        <f>347544+447907</f>
        <v>795451</v>
      </c>
      <c r="J156" s="2247">
        <f>I156-H156</f>
        <v>795451</v>
      </c>
      <c r="K156" s="2972"/>
      <c r="L156" s="2251"/>
    </row>
    <row r="157" spans="1:12" ht="19.5" customHeight="1" x14ac:dyDescent="0.2">
      <c r="A157" s="2230"/>
      <c r="B157" s="2223"/>
      <c r="C157" s="901"/>
      <c r="D157" s="2275" t="s">
        <v>409</v>
      </c>
      <c r="E157" s="2238"/>
      <c r="F157" s="2226"/>
      <c r="G157" s="884"/>
      <c r="H157" s="2245"/>
      <c r="I157" s="1489"/>
      <c r="J157" s="2247"/>
      <c r="K157" s="2261"/>
      <c r="L157" s="2251"/>
    </row>
    <row r="158" spans="1:12" ht="29.25" customHeight="1" x14ac:dyDescent="0.2">
      <c r="A158" s="2230"/>
      <c r="B158" s="2223"/>
      <c r="C158" s="901"/>
      <c r="D158" s="2276" t="s">
        <v>414</v>
      </c>
      <c r="E158" s="2238"/>
      <c r="F158" s="2242"/>
      <c r="G158" s="884"/>
      <c r="H158" s="2245"/>
      <c r="I158" s="1489"/>
      <c r="J158" s="2247"/>
      <c r="K158" s="2262"/>
      <c r="L158" s="2252"/>
    </row>
    <row r="159" spans="1:12" ht="28.5" customHeight="1" x14ac:dyDescent="0.2">
      <c r="A159" s="2230"/>
      <c r="B159" s="2223"/>
      <c r="C159" s="901"/>
      <c r="D159" s="2276" t="s">
        <v>415</v>
      </c>
      <c r="E159" s="2238"/>
      <c r="F159" s="2242"/>
      <c r="G159" s="242"/>
      <c r="H159" s="2193"/>
      <c r="I159" s="2194"/>
      <c r="J159" s="2248"/>
      <c r="K159" s="2262"/>
      <c r="L159" s="2252"/>
    </row>
    <row r="160" spans="1:12" ht="18.75" customHeight="1" thickBot="1" x14ac:dyDescent="0.25">
      <c r="A160" s="2230"/>
      <c r="B160" s="2223"/>
      <c r="C160" s="901"/>
      <c r="D160" s="2244"/>
      <c r="E160" s="2147"/>
      <c r="F160" s="2148"/>
      <c r="G160" s="2250" t="s">
        <v>9</v>
      </c>
      <c r="H160" s="1401">
        <f>SUM(H152:H158)</f>
        <v>350440</v>
      </c>
      <c r="I160" s="1401">
        <f>SUM(I152:I158)</f>
        <v>798347</v>
      </c>
      <c r="J160" s="2260">
        <f>SUM(J152:J158)</f>
        <v>447907</v>
      </c>
      <c r="K160" s="2249"/>
      <c r="L160" s="2153"/>
    </row>
    <row r="161" spans="1:12" x14ac:dyDescent="0.2">
      <c r="A161" s="2755" t="s">
        <v>8</v>
      </c>
      <c r="B161" s="2847" t="s">
        <v>50</v>
      </c>
      <c r="C161" s="2732" t="s">
        <v>10</v>
      </c>
      <c r="D161" s="2867" t="s">
        <v>90</v>
      </c>
      <c r="E161" s="907"/>
      <c r="F161" s="2088"/>
      <c r="G161" s="94"/>
      <c r="H161" s="1402"/>
      <c r="I161" s="1549"/>
      <c r="J161" s="1403"/>
      <c r="K161" s="2151"/>
      <c r="L161" s="2152"/>
    </row>
    <row r="162" spans="1:12" x14ac:dyDescent="0.2">
      <c r="A162" s="2757"/>
      <c r="B162" s="2727"/>
      <c r="C162" s="2709"/>
      <c r="D162" s="2868"/>
      <c r="E162" s="2094"/>
      <c r="F162" s="2089" t="s">
        <v>57</v>
      </c>
      <c r="G162" s="246"/>
      <c r="H162" s="1405"/>
      <c r="I162" s="1550"/>
      <c r="J162" s="1406"/>
      <c r="K162" s="2129"/>
      <c r="L162" s="2121"/>
    </row>
    <row r="163" spans="1:12" ht="25.5" x14ac:dyDescent="0.2">
      <c r="A163" s="2757"/>
      <c r="B163" s="2727"/>
      <c r="C163" s="2709"/>
      <c r="D163" s="2866" t="s">
        <v>89</v>
      </c>
      <c r="E163" s="2094"/>
      <c r="F163" s="2089"/>
      <c r="G163" s="512" t="s">
        <v>58</v>
      </c>
      <c r="H163" s="2195">
        <f>2170/3.4528*1000</f>
        <v>628475</v>
      </c>
      <c r="I163" s="2196"/>
      <c r="J163" s="2192">
        <f>I163-H163</f>
        <v>-628475</v>
      </c>
      <c r="K163" s="2087" t="s">
        <v>65</v>
      </c>
      <c r="L163" s="2126" t="s">
        <v>400</v>
      </c>
    </row>
    <row r="164" spans="1:12" ht="25.5" x14ac:dyDescent="0.2">
      <c r="A164" s="2757"/>
      <c r="B164" s="2727"/>
      <c r="C164" s="2709"/>
      <c r="D164" s="2697"/>
      <c r="E164" s="2094"/>
      <c r="F164" s="2089"/>
      <c r="G164" s="20" t="s">
        <v>392</v>
      </c>
      <c r="H164" s="1397"/>
      <c r="I164" s="1488">
        <f>628475+152138</f>
        <v>780613</v>
      </c>
      <c r="J164" s="2116">
        <f>I164-H164</f>
        <v>780613</v>
      </c>
      <c r="K164" s="539" t="s">
        <v>64</v>
      </c>
      <c r="L164" s="2213" t="s">
        <v>398</v>
      </c>
    </row>
    <row r="165" spans="1:12" ht="13.5" customHeight="1" x14ac:dyDescent="0.2">
      <c r="A165" s="2757"/>
      <c r="B165" s="2727"/>
      <c r="C165" s="2709"/>
      <c r="D165" s="2697"/>
      <c r="E165" s="2094"/>
      <c r="F165" s="2089"/>
      <c r="G165" s="1091"/>
      <c r="H165" s="1405"/>
      <c r="I165" s="1550"/>
      <c r="J165" s="1406"/>
      <c r="K165" s="2091" t="s">
        <v>118</v>
      </c>
      <c r="L165" s="2214" t="s">
        <v>399</v>
      </c>
    </row>
    <row r="166" spans="1:12" ht="15" customHeight="1" x14ac:dyDescent="0.2">
      <c r="A166" s="2757"/>
      <c r="B166" s="2727"/>
      <c r="C166" s="2709"/>
      <c r="D166" s="2703" t="s">
        <v>88</v>
      </c>
      <c r="E166" s="2094"/>
      <c r="F166" s="2089"/>
      <c r="G166" s="39" t="s">
        <v>42</v>
      </c>
      <c r="H166" s="1233">
        <f>500/3.4528*1000</f>
        <v>144810</v>
      </c>
      <c r="I166" s="1548">
        <f>500/3.4528*1000</f>
        <v>144810</v>
      </c>
      <c r="J166" s="1399"/>
      <c r="K166" s="2129"/>
      <c r="L166" s="2101"/>
    </row>
    <row r="167" spans="1:12" ht="13.5" thickBot="1" x14ac:dyDescent="0.25">
      <c r="A167" s="2756"/>
      <c r="B167" s="2728"/>
      <c r="C167" s="2865"/>
      <c r="D167" s="2970"/>
      <c r="E167" s="903"/>
      <c r="F167" s="909"/>
      <c r="G167" s="1551" t="s">
        <v>9</v>
      </c>
      <c r="H167" s="1400">
        <f>SUM(H161:H166)</f>
        <v>773285</v>
      </c>
      <c r="I167" s="1401">
        <f>SUM(I161:I166)</f>
        <v>925423</v>
      </c>
      <c r="J167" s="1401">
        <f>SUM(J161:J166)</f>
        <v>152138</v>
      </c>
      <c r="K167" s="2132"/>
      <c r="L167" s="2153"/>
    </row>
    <row r="168" spans="1:12" ht="15" customHeight="1" x14ac:dyDescent="0.2">
      <c r="A168" s="2757" t="s">
        <v>8</v>
      </c>
      <c r="B168" s="2727" t="s">
        <v>50</v>
      </c>
      <c r="C168" s="2709" t="s">
        <v>45</v>
      </c>
      <c r="D168" s="2786" t="s">
        <v>281</v>
      </c>
      <c r="E168" s="2863"/>
      <c r="F168" s="2711" t="s">
        <v>57</v>
      </c>
      <c r="G168" s="836" t="s">
        <v>122</v>
      </c>
      <c r="H168" s="2149">
        <f>45/3.4528*1000</f>
        <v>13033</v>
      </c>
      <c r="I168" s="2150">
        <f>45/3.4528*1000</f>
        <v>13033</v>
      </c>
      <c r="J168" s="2150"/>
      <c r="K168" s="2692" t="s">
        <v>62</v>
      </c>
      <c r="L168" s="2208">
        <v>0.3</v>
      </c>
    </row>
    <row r="169" spans="1:12" x14ac:dyDescent="0.2">
      <c r="A169" s="2757"/>
      <c r="B169" s="2727"/>
      <c r="C169" s="2709"/>
      <c r="D169" s="2786"/>
      <c r="E169" s="2863"/>
      <c r="F169" s="2711"/>
      <c r="G169" s="246" t="s">
        <v>58</v>
      </c>
      <c r="H169" s="1397">
        <f>455/3.4528*1000</f>
        <v>131777</v>
      </c>
      <c r="I169" s="1488"/>
      <c r="J169" s="2117">
        <f>I169-H169</f>
        <v>-131777</v>
      </c>
      <c r="K169" s="2973"/>
      <c r="L169" s="2212">
        <v>1</v>
      </c>
    </row>
    <row r="170" spans="1:12" x14ac:dyDescent="0.2">
      <c r="A170" s="2757"/>
      <c r="B170" s="2727"/>
      <c r="C170" s="2709"/>
      <c r="D170" s="2786"/>
      <c r="E170" s="2863"/>
      <c r="F170" s="2711"/>
      <c r="G170" s="246" t="s">
        <v>392</v>
      </c>
      <c r="H170" s="1397"/>
      <c r="I170" s="1488">
        <f>131777+319443</f>
        <v>451220</v>
      </c>
      <c r="J170" s="2117">
        <f>I170-H170</f>
        <v>451220</v>
      </c>
      <c r="K170" s="2145"/>
      <c r="L170" s="2121"/>
    </row>
    <row r="171" spans="1:12" ht="14.25" customHeight="1" thickBot="1" x14ac:dyDescent="0.25">
      <c r="A171" s="2756"/>
      <c r="B171" s="2728"/>
      <c r="C171" s="2729"/>
      <c r="D171" s="2787"/>
      <c r="E171" s="2853"/>
      <c r="F171" s="2739"/>
      <c r="G171" s="299" t="s">
        <v>9</v>
      </c>
      <c r="H171" s="1410">
        <f>SUM(H168:H170)</f>
        <v>144810</v>
      </c>
      <c r="I171" s="1410">
        <f t="shared" ref="I171:J171" si="9">SUM(I168:I170)</f>
        <v>464253</v>
      </c>
      <c r="J171" s="1410">
        <f t="shared" si="9"/>
        <v>319443</v>
      </c>
      <c r="K171" s="346"/>
      <c r="L171" s="2125"/>
    </row>
    <row r="172" spans="1:12" ht="27.75" customHeight="1" x14ac:dyDescent="0.2">
      <c r="A172" s="2755" t="s">
        <v>8</v>
      </c>
      <c r="B172" s="2847" t="s">
        <v>50</v>
      </c>
      <c r="C172" s="2732" t="s">
        <v>50</v>
      </c>
      <c r="D172" s="962" t="s">
        <v>282</v>
      </c>
      <c r="E172" s="968"/>
      <c r="F172" s="970" t="s">
        <v>57</v>
      </c>
      <c r="G172" s="908" t="s">
        <v>42</v>
      </c>
      <c r="H172" s="1413">
        <f>182/3.4528*1000</f>
        <v>52711</v>
      </c>
      <c r="I172" s="1486">
        <f>182/3.4528*1000</f>
        <v>52711</v>
      </c>
      <c r="J172" s="1414"/>
      <c r="K172" s="2129"/>
      <c r="L172" s="2121"/>
    </row>
    <row r="173" spans="1:12" ht="15.75" customHeight="1" x14ac:dyDescent="0.2">
      <c r="A173" s="2757"/>
      <c r="B173" s="2727"/>
      <c r="C173" s="2709"/>
      <c r="D173" s="2142"/>
      <c r="E173" s="2141"/>
      <c r="F173" s="2133"/>
      <c r="G173" s="676" t="s">
        <v>58</v>
      </c>
      <c r="H173" s="2197">
        <f>30/3.4528*1000</f>
        <v>8689</v>
      </c>
      <c r="I173" s="2198"/>
      <c r="J173" s="2199">
        <f>I173-H173</f>
        <v>-8689</v>
      </c>
      <c r="K173" s="2129"/>
      <c r="L173" s="2121"/>
    </row>
    <row r="174" spans="1:12" ht="18" customHeight="1" x14ac:dyDescent="0.2">
      <c r="A174" s="2757"/>
      <c r="B174" s="2727"/>
      <c r="C174" s="2709"/>
      <c r="D174" s="2845" t="s">
        <v>283</v>
      </c>
      <c r="E174" s="1801"/>
      <c r="F174" s="1790" t="s">
        <v>72</v>
      </c>
      <c r="G174" s="20" t="s">
        <v>392</v>
      </c>
      <c r="H174" s="1397"/>
      <c r="I174" s="1488">
        <f>30/3.4528*1000</f>
        <v>8689</v>
      </c>
      <c r="J174" s="1398">
        <f>I174-H174</f>
        <v>8689</v>
      </c>
      <c r="K174" s="2129"/>
      <c r="L174" s="2121"/>
    </row>
    <row r="175" spans="1:12" ht="17.25" customHeight="1" thickBot="1" x14ac:dyDescent="0.25">
      <c r="A175" s="2756"/>
      <c r="B175" s="2728"/>
      <c r="C175" s="2729"/>
      <c r="D175" s="2930"/>
      <c r="E175" s="1802"/>
      <c r="F175" s="1791"/>
      <c r="G175" s="299" t="s">
        <v>9</v>
      </c>
      <c r="H175" s="1410">
        <f>SUM(H172:H174)</f>
        <v>61400</v>
      </c>
      <c r="I175" s="1410">
        <f t="shared" ref="I175:J175" si="10">SUM(I172:I174)</f>
        <v>61400</v>
      </c>
      <c r="J175" s="1410">
        <f t="shared" si="10"/>
        <v>0</v>
      </c>
      <c r="K175" s="2129"/>
      <c r="L175" s="2121"/>
    </row>
    <row r="176" spans="1:12" ht="15" customHeight="1" x14ac:dyDescent="0.2">
      <c r="A176" s="2755" t="s">
        <v>8</v>
      </c>
      <c r="B176" s="2847" t="s">
        <v>50</v>
      </c>
      <c r="C176" s="2732" t="s">
        <v>52</v>
      </c>
      <c r="D176" s="2743" t="s">
        <v>61</v>
      </c>
      <c r="E176" s="2852"/>
      <c r="F176" s="2738" t="s">
        <v>57</v>
      </c>
      <c r="G176" s="19" t="s">
        <v>58</v>
      </c>
      <c r="H176" s="2203">
        <f>317.7/3.4528*1000</f>
        <v>92012</v>
      </c>
      <c r="I176" s="2204"/>
      <c r="J176" s="2205">
        <f>I176-H176</f>
        <v>-92012</v>
      </c>
      <c r="K176" s="2129"/>
      <c r="L176" s="2121"/>
    </row>
    <row r="177" spans="1:27" ht="15" customHeight="1" x14ac:dyDescent="0.2">
      <c r="A177" s="2757"/>
      <c r="B177" s="2727"/>
      <c r="C177" s="2709"/>
      <c r="D177" s="2786"/>
      <c r="E177" s="2863"/>
      <c r="F177" s="2711"/>
      <c r="G177" s="20" t="s">
        <v>392</v>
      </c>
      <c r="H177" s="1397"/>
      <c r="I177" s="1488">
        <f>317.7/3.4528*1000</f>
        <v>92012</v>
      </c>
      <c r="J177" s="2116">
        <f>I177-H177</f>
        <v>92012</v>
      </c>
      <c r="K177" s="2129"/>
      <c r="L177" s="2121"/>
    </row>
    <row r="178" spans="1:27" ht="15.75" customHeight="1" thickBot="1" x14ac:dyDescent="0.25">
      <c r="A178" s="2756"/>
      <c r="B178" s="2728"/>
      <c r="C178" s="2729"/>
      <c r="D178" s="2787"/>
      <c r="E178" s="2853"/>
      <c r="F178" s="2739"/>
      <c r="G178" s="299" t="s">
        <v>9</v>
      </c>
      <c r="H178" s="1410">
        <f>H176+H177</f>
        <v>92012</v>
      </c>
      <c r="I178" s="1410">
        <f>I176+I177</f>
        <v>92012</v>
      </c>
      <c r="J178" s="1410">
        <f t="shared" ref="J178" si="11">J176+J177</f>
        <v>0</v>
      </c>
      <c r="K178" s="2129"/>
      <c r="L178" s="2121"/>
    </row>
    <row r="179" spans="1:27" ht="14.25" customHeight="1" thickBot="1" x14ac:dyDescent="0.25">
      <c r="A179" s="383" t="s">
        <v>8</v>
      </c>
      <c r="B179" s="11" t="s">
        <v>50</v>
      </c>
      <c r="C179" s="2730" t="s">
        <v>11</v>
      </c>
      <c r="D179" s="2730"/>
      <c r="E179" s="2730"/>
      <c r="F179" s="2730"/>
      <c r="G179" s="2731"/>
      <c r="H179" s="1417">
        <f>SUM(H178,H171,H167,H160,,H175)</f>
        <v>1421947</v>
      </c>
      <c r="I179" s="1418">
        <f>SUM(I178,I171,I167,I160,,I175)</f>
        <v>2341435</v>
      </c>
      <c r="J179" s="1418">
        <f>SUM(J178,J171,J167,J160,,J175)</f>
        <v>919488</v>
      </c>
      <c r="K179" s="2129"/>
      <c r="L179" s="2101"/>
    </row>
    <row r="180" spans="1:27" ht="14.25" customHeight="1" thickBot="1" x14ac:dyDescent="0.25">
      <c r="A180" s="383" t="s">
        <v>8</v>
      </c>
      <c r="B180" s="2830" t="s">
        <v>12</v>
      </c>
      <c r="C180" s="2831"/>
      <c r="D180" s="2831"/>
      <c r="E180" s="2831"/>
      <c r="F180" s="2831"/>
      <c r="G180" s="2832"/>
      <c r="H180" s="1420">
        <f>H179+H150+H103+H89</f>
        <v>12082541</v>
      </c>
      <c r="I180" s="1552">
        <f>I179+I150+I103+I89</f>
        <v>13425851</v>
      </c>
      <c r="J180" s="1421">
        <f>J179+J150+J103+J89</f>
        <v>1343310</v>
      </c>
      <c r="K180" s="2129"/>
      <c r="L180" s="2101"/>
    </row>
    <row r="181" spans="1:27" ht="14.25" customHeight="1" thickBot="1" x14ac:dyDescent="0.25">
      <c r="A181" s="154" t="s">
        <v>54</v>
      </c>
      <c r="B181" s="2836" t="s">
        <v>101</v>
      </c>
      <c r="C181" s="2837"/>
      <c r="D181" s="2837"/>
      <c r="E181" s="2837"/>
      <c r="F181" s="2837"/>
      <c r="G181" s="2838"/>
      <c r="H181" s="1423">
        <f>H180</f>
        <v>12082541</v>
      </c>
      <c r="I181" s="1423">
        <f>I180</f>
        <v>13425851</v>
      </c>
      <c r="J181" s="1424">
        <f t="shared" ref="J181" si="12">SUM(J180)</f>
        <v>1343310</v>
      </c>
      <c r="K181" s="2132"/>
      <c r="L181" s="2105"/>
    </row>
    <row r="182" spans="1:27" s="22" customFormat="1" ht="12.75" customHeight="1" x14ac:dyDescent="0.2">
      <c r="A182" s="2826"/>
      <c r="B182" s="2826"/>
      <c r="C182" s="2826"/>
      <c r="D182" s="2826"/>
      <c r="E182" s="2826"/>
      <c r="F182" s="2826"/>
      <c r="G182" s="2826"/>
      <c r="H182" s="2826"/>
      <c r="I182" s="2826"/>
      <c r="J182" s="2826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spans="1:27" s="22" customFormat="1" ht="15" customHeight="1" thickBot="1" x14ac:dyDescent="0.25">
      <c r="A183" s="2754" t="s">
        <v>17</v>
      </c>
      <c r="B183" s="2754"/>
      <c r="C183" s="2754"/>
      <c r="D183" s="2754"/>
      <c r="E183" s="2754"/>
      <c r="F183" s="2754"/>
      <c r="G183" s="2754"/>
      <c r="H183" s="2754"/>
      <c r="I183" s="2754"/>
      <c r="J183" s="2754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spans="1:27" ht="54" customHeight="1" thickBot="1" x14ac:dyDescent="0.25">
      <c r="A184" s="2827" t="s">
        <v>13</v>
      </c>
      <c r="B184" s="2828"/>
      <c r="C184" s="2828"/>
      <c r="D184" s="2828"/>
      <c r="E184" s="2828"/>
      <c r="F184" s="2828"/>
      <c r="G184" s="2829"/>
      <c r="H184" s="41" t="s">
        <v>159</v>
      </c>
      <c r="I184" s="41" t="s">
        <v>309</v>
      </c>
      <c r="J184" s="41" t="s">
        <v>310</v>
      </c>
    </row>
    <row r="185" spans="1:27" ht="14.25" customHeight="1" x14ac:dyDescent="0.2">
      <c r="A185" s="2817" t="s">
        <v>18</v>
      </c>
      <c r="B185" s="2818"/>
      <c r="C185" s="2818"/>
      <c r="D185" s="2818"/>
      <c r="E185" s="2818"/>
      <c r="F185" s="2818"/>
      <c r="G185" s="2819"/>
      <c r="H185" s="1234">
        <f>H186+H192+H194+H193</f>
        <v>6696073</v>
      </c>
      <c r="I185" s="1234">
        <f t="shared" ref="I185:J185" si="13">I186+I192+I194+I193</f>
        <v>10298072</v>
      </c>
      <c r="J185" s="1234">
        <f t="shared" si="13"/>
        <v>3601999</v>
      </c>
    </row>
    <row r="186" spans="1:27" ht="14.25" customHeight="1" x14ac:dyDescent="0.2">
      <c r="A186" s="2823" t="s">
        <v>217</v>
      </c>
      <c r="B186" s="2824"/>
      <c r="C186" s="2824"/>
      <c r="D186" s="2824"/>
      <c r="E186" s="2824"/>
      <c r="F186" s="2824"/>
      <c r="G186" s="2825"/>
      <c r="H186" s="1235">
        <f>SUM(H187:H191)</f>
        <v>6443698</v>
      </c>
      <c r="I186" s="1235">
        <f t="shared" ref="I186:J186" si="14">SUM(I187:I191)</f>
        <v>9915990</v>
      </c>
      <c r="J186" s="1235">
        <f t="shared" si="14"/>
        <v>3472292</v>
      </c>
    </row>
    <row r="187" spans="1:27" x14ac:dyDescent="0.2">
      <c r="A187" s="2814" t="s">
        <v>33</v>
      </c>
      <c r="B187" s="2815"/>
      <c r="C187" s="2815"/>
      <c r="D187" s="2815"/>
      <c r="E187" s="2815"/>
      <c r="F187" s="2815"/>
      <c r="G187" s="2816"/>
      <c r="H187" s="1236">
        <f>SUMIF(G12:G181,"SB",H12:H181)</f>
        <v>5325214</v>
      </c>
      <c r="I187" s="1236">
        <f>SUMIF(G12:G181,"SB",I12:I181)</f>
        <v>5325214</v>
      </c>
      <c r="J187" s="1236">
        <f>SUMIF(G12:G181,"SB",J12:J181)</f>
        <v>0</v>
      </c>
    </row>
    <row r="188" spans="1:27" x14ac:dyDescent="0.2">
      <c r="A188" s="2811" t="s">
        <v>34</v>
      </c>
      <c r="B188" s="2812"/>
      <c r="C188" s="2812"/>
      <c r="D188" s="2812"/>
      <c r="E188" s="2812"/>
      <c r="F188" s="2812"/>
      <c r="G188" s="2813"/>
      <c r="H188" s="1236">
        <f>SUMIF(G12:G181,"SB(P)",H12:H181)</f>
        <v>0</v>
      </c>
      <c r="I188" s="1236">
        <f>SUMIF(G12:G181,"SB(P)",I12:I181)</f>
        <v>120829</v>
      </c>
      <c r="J188" s="1236">
        <f>SUMIF(G12:G181,"SB(P)",J12:J181)</f>
        <v>120829</v>
      </c>
    </row>
    <row r="189" spans="1:27" x14ac:dyDescent="0.2">
      <c r="A189" s="2811" t="s">
        <v>123</v>
      </c>
      <c r="B189" s="2812"/>
      <c r="C189" s="2812"/>
      <c r="D189" s="2812"/>
      <c r="E189" s="2812"/>
      <c r="F189" s="2812"/>
      <c r="G189" s="2813"/>
      <c r="H189" s="1236">
        <f>SUMIF(G12:G181,"SB(VR)",H12:H181)</f>
        <v>1084598</v>
      </c>
      <c r="I189" s="1236">
        <f>SUMIF(G12:G181,"SB(VR)",I12:I181)</f>
        <v>1084598</v>
      </c>
      <c r="J189" s="1236">
        <f>SUMIF(G12:G181,"SB(VR)",J12:J181)</f>
        <v>0</v>
      </c>
    </row>
    <row r="190" spans="1:27" x14ac:dyDescent="0.2">
      <c r="A190" s="2811" t="s">
        <v>146</v>
      </c>
      <c r="B190" s="2812"/>
      <c r="C190" s="2812"/>
      <c r="D190" s="2812"/>
      <c r="E190" s="2812"/>
      <c r="F190" s="2812"/>
      <c r="G190" s="2813"/>
      <c r="H190" s="1236">
        <f>SUMIF(G13:G181,"SB(L)",H13:H181)</f>
        <v>33886</v>
      </c>
      <c r="I190" s="1236">
        <f>SUMIF(G13:G181,"SB(L)",I13:I181)</f>
        <v>8974</v>
      </c>
      <c r="J190" s="1236">
        <f>SUMIF(G11:G179,"SB(L)",J11:J179)</f>
        <v>-24912</v>
      </c>
    </row>
    <row r="191" spans="1:27" x14ac:dyDescent="0.2">
      <c r="A191" s="2800" t="s">
        <v>393</v>
      </c>
      <c r="B191" s="2801"/>
      <c r="C191" s="2801"/>
      <c r="D191" s="2801"/>
      <c r="E191" s="2801"/>
      <c r="F191" s="2801"/>
      <c r="G191" s="2802"/>
      <c r="H191" s="1237"/>
      <c r="I191" s="1237">
        <f>SUMIF(G13:G181,"SB(KPP)",I13:I181)</f>
        <v>3376375</v>
      </c>
      <c r="J191" s="1237">
        <f>SUMIF(G13:G181,"SB(KPP)",J13:J181)</f>
        <v>3376375</v>
      </c>
      <c r="K191" s="1731"/>
      <c r="L191" s="130"/>
    </row>
    <row r="192" spans="1:27" x14ac:dyDescent="0.2">
      <c r="A192" s="2720" t="s">
        <v>134</v>
      </c>
      <c r="B192" s="2721"/>
      <c r="C192" s="2721"/>
      <c r="D192" s="2721"/>
      <c r="E192" s="2721"/>
      <c r="F192" s="2721"/>
      <c r="G192" s="2722"/>
      <c r="H192" s="1213">
        <f>SUMIF(G12:G181,"SB(VRL)",H12:H181)</f>
        <v>0</v>
      </c>
      <c r="I192" s="1213">
        <f>SUMIF(G12:G181,"SB(VRL)",I12:I181)</f>
        <v>72307</v>
      </c>
      <c r="J192" s="1213">
        <f>SUMIF(G12:G182,"SB(VRL)",J12:J182)</f>
        <v>72307</v>
      </c>
    </row>
    <row r="193" spans="1:11" x14ac:dyDescent="0.2">
      <c r="A193" s="2720" t="s">
        <v>331</v>
      </c>
      <c r="B193" s="2721"/>
      <c r="C193" s="2721"/>
      <c r="D193" s="2721"/>
      <c r="E193" s="2721"/>
      <c r="F193" s="2721"/>
      <c r="G193" s="2722"/>
      <c r="H193" s="1213">
        <f>SUMIF(G13:G182,"SB(ŽPL)",H13:H182)</f>
        <v>252375</v>
      </c>
      <c r="I193" s="1213">
        <f>SUMIF(G13:G182,"SB(ŽPL)",I13:I182)</f>
        <v>309775</v>
      </c>
      <c r="J193" s="1213">
        <f>SUMIF(G13:G183,"SB(ŽPL)",J13:J183)</f>
        <v>57400</v>
      </c>
    </row>
    <row r="194" spans="1:11" x14ac:dyDescent="0.2">
      <c r="A194" s="2720" t="s">
        <v>140</v>
      </c>
      <c r="B194" s="2809"/>
      <c r="C194" s="2809"/>
      <c r="D194" s="2809"/>
      <c r="E194" s="2809"/>
      <c r="F194" s="2809"/>
      <c r="G194" s="2810"/>
      <c r="H194" s="1213">
        <f>SUMIF(G12:G181,"PF",H12:H181)</f>
        <v>0</v>
      </c>
      <c r="I194" s="1213">
        <f>SUMIF(G12:G181,"PF",I12:I181)</f>
        <v>0</v>
      </c>
      <c r="J194" s="1213">
        <f>SUMIF(G12:G179,"PF",J12:J181)</f>
        <v>0</v>
      </c>
    </row>
    <row r="195" spans="1:11" x14ac:dyDescent="0.2">
      <c r="A195" s="2803" t="s">
        <v>19</v>
      </c>
      <c r="B195" s="2804"/>
      <c r="C195" s="2804"/>
      <c r="D195" s="2804"/>
      <c r="E195" s="2804"/>
      <c r="F195" s="2804"/>
      <c r="G195" s="2805"/>
      <c r="H195" s="1238">
        <f>H196+H198+H199+H200+H197</f>
        <v>5386468</v>
      </c>
      <c r="I195" s="1238">
        <f>I196+I198+I199+I200+I197</f>
        <v>3127779</v>
      </c>
      <c r="J195" s="1238">
        <f t="shared" ref="J195" si="15">J196+J198+J199+J200+J197</f>
        <v>-2258689</v>
      </c>
      <c r="K195" s="2200"/>
    </row>
    <row r="196" spans="1:11" x14ac:dyDescent="0.2">
      <c r="A196" s="2806" t="s">
        <v>35</v>
      </c>
      <c r="B196" s="2807"/>
      <c r="C196" s="2807"/>
      <c r="D196" s="2807"/>
      <c r="E196" s="2807"/>
      <c r="F196" s="2807"/>
      <c r="G196" s="2808"/>
      <c r="H196" s="1237">
        <f>SUMIF(G12:G181,"ES",H12:H181)</f>
        <v>1981696</v>
      </c>
      <c r="I196" s="1237">
        <f>SUMIF(G12:G181,"ES",I12:I181)</f>
        <v>1981696</v>
      </c>
      <c r="J196" s="1237">
        <f>SUMIF(G12:G181,"ES",J12:J181)</f>
        <v>0</v>
      </c>
    </row>
    <row r="197" spans="1:11" x14ac:dyDescent="0.2">
      <c r="A197" s="2800" t="s">
        <v>36</v>
      </c>
      <c r="B197" s="2801"/>
      <c r="C197" s="2801"/>
      <c r="D197" s="2801"/>
      <c r="E197" s="2801"/>
      <c r="F197" s="2801"/>
      <c r="G197" s="2802"/>
      <c r="H197" s="1237">
        <f>SUMIF(G13:G182,"KPP",H13:H182)</f>
        <v>2765436</v>
      </c>
      <c r="I197" s="1237">
        <f>SUMIF(G13:G182,"KPP",I13:I182)</f>
        <v>382181</v>
      </c>
      <c r="J197" s="1237">
        <f>SUMIF(G13:G182,"KPP",J13:J182)</f>
        <v>-2383255</v>
      </c>
    </row>
    <row r="198" spans="1:11" x14ac:dyDescent="0.2">
      <c r="A198" s="2800" t="s">
        <v>37</v>
      </c>
      <c r="B198" s="2801"/>
      <c r="C198" s="2801"/>
      <c r="D198" s="2801"/>
      <c r="E198" s="2801"/>
      <c r="F198" s="2801"/>
      <c r="G198" s="2802"/>
      <c r="H198" s="1237">
        <f>SUMIF(G12:G181,"KVJUD",H12:H181)</f>
        <v>492875</v>
      </c>
      <c r="I198" s="1237">
        <f>SUMIF(G12:G181,"KVJUD",I12:I181)</f>
        <v>516074</v>
      </c>
      <c r="J198" s="1237">
        <f>SUMIF(G12:G181,"KVJUD",J12:J181)</f>
        <v>23199</v>
      </c>
    </row>
    <row r="199" spans="1:11" x14ac:dyDescent="0.2">
      <c r="A199" s="2797" t="s">
        <v>38</v>
      </c>
      <c r="B199" s="2798"/>
      <c r="C199" s="2798"/>
      <c r="D199" s="2798"/>
      <c r="E199" s="2798"/>
      <c r="F199" s="2798"/>
      <c r="G199" s="2799"/>
      <c r="H199" s="1237">
        <f>SUMIF(G12:G181,"LRVB",H12:H181)</f>
        <v>0</v>
      </c>
      <c r="I199" s="1237">
        <f>SUMIF(H12:H181,"LRVB",I12:I181)</f>
        <v>0</v>
      </c>
      <c r="J199" s="1237">
        <f>SUMIF(G12:G181,"LRVB",J12:J181)</f>
        <v>0</v>
      </c>
    </row>
    <row r="200" spans="1:11" x14ac:dyDescent="0.2">
      <c r="A200" s="2797" t="s">
        <v>39</v>
      </c>
      <c r="B200" s="2798"/>
      <c r="C200" s="2798"/>
      <c r="D200" s="2798"/>
      <c r="E200" s="2798"/>
      <c r="F200" s="2798"/>
      <c r="G200" s="2799"/>
      <c r="H200" s="1237">
        <f>SUMIF(G12:G181,"Kt",H12:H181)</f>
        <v>146461</v>
      </c>
      <c r="I200" s="1237">
        <f>SUMIF(G12:G181,"Kt",I12:I181)</f>
        <v>247828</v>
      </c>
      <c r="J200" s="1237">
        <f>SUMIF(G12:G181,"Kt",J12:J181)</f>
        <v>101367</v>
      </c>
    </row>
    <row r="201" spans="1:11" ht="13.5" thickBot="1" x14ac:dyDescent="0.25">
      <c r="A201" s="2793" t="s">
        <v>20</v>
      </c>
      <c r="B201" s="2794"/>
      <c r="C201" s="2794"/>
      <c r="D201" s="2794"/>
      <c r="E201" s="2794"/>
      <c r="F201" s="2794"/>
      <c r="G201" s="2795"/>
      <c r="H201" s="1239">
        <f>H195+H185</f>
        <v>12082541</v>
      </c>
      <c r="I201" s="1239">
        <f t="shared" ref="I201:J201" si="16">I195+I185</f>
        <v>13425851</v>
      </c>
      <c r="J201" s="1239">
        <f t="shared" si="16"/>
        <v>1343310</v>
      </c>
    </row>
    <row r="203" spans="1:11" x14ac:dyDescent="0.2">
      <c r="G203" s="936"/>
      <c r="H203" s="2080"/>
      <c r="J203" s="118"/>
    </row>
    <row r="206" spans="1:11" x14ac:dyDescent="0.2">
      <c r="H206" s="2080"/>
      <c r="I206" s="2080"/>
      <c r="J206" s="118"/>
    </row>
    <row r="207" spans="1:1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 spans="1:11" x14ac:dyDescent="0.2">
      <c r="A208" s="6"/>
      <c r="B208" s="6"/>
      <c r="C208" s="6"/>
      <c r="D208" s="6"/>
      <c r="E208" s="6"/>
      <c r="F208" s="6"/>
      <c r="G208" s="6"/>
      <c r="H208" s="1731"/>
      <c r="I208" s="6"/>
      <c r="J208" s="6"/>
    </row>
    <row r="211" spans="8:8" x14ac:dyDescent="0.2">
      <c r="H211" s="2080"/>
    </row>
  </sheetData>
  <mergeCells count="223">
    <mergeCell ref="D43:D44"/>
    <mergeCell ref="D72:D73"/>
    <mergeCell ref="D74:D75"/>
    <mergeCell ref="K110:K111"/>
    <mergeCell ref="D112:D113"/>
    <mergeCell ref="K146:K148"/>
    <mergeCell ref="C150:G150"/>
    <mergeCell ref="C151:J151"/>
    <mergeCell ref="D91:D93"/>
    <mergeCell ref="E91:E93"/>
    <mergeCell ref="D67:D69"/>
    <mergeCell ref="E68:E69"/>
    <mergeCell ref="D45:D46"/>
    <mergeCell ref="K144:K145"/>
    <mergeCell ref="D140:D143"/>
    <mergeCell ref="F140:F143"/>
    <mergeCell ref="D144:D145"/>
    <mergeCell ref="C146:C149"/>
    <mergeCell ref="D146:D149"/>
    <mergeCell ref="E146:E149"/>
    <mergeCell ref="F146:F149"/>
    <mergeCell ref="K155:K156"/>
    <mergeCell ref="K168:K169"/>
    <mergeCell ref="K5:K7"/>
    <mergeCell ref="A191:G191"/>
    <mergeCell ref="G1:J1"/>
    <mergeCell ref="A200:G200"/>
    <mergeCell ref="A201:G201"/>
    <mergeCell ref="A194:G194"/>
    <mergeCell ref="A195:G195"/>
    <mergeCell ref="A196:G196"/>
    <mergeCell ref="A198:G198"/>
    <mergeCell ref="A199:G199"/>
    <mergeCell ref="A186:G186"/>
    <mergeCell ref="A187:G187"/>
    <mergeCell ref="A188:G188"/>
    <mergeCell ref="A189:G189"/>
    <mergeCell ref="A190:G190"/>
    <mergeCell ref="A192:G192"/>
    <mergeCell ref="B181:G181"/>
    <mergeCell ref="A182:J182"/>
    <mergeCell ref="A183:J183"/>
    <mergeCell ref="A184:G184"/>
    <mergeCell ref="A185:G185"/>
    <mergeCell ref="E176:E178"/>
    <mergeCell ref="F176:F178"/>
    <mergeCell ref="C179:G179"/>
    <mergeCell ref="B180:G180"/>
    <mergeCell ref="A172:A175"/>
    <mergeCell ref="B172:B175"/>
    <mergeCell ref="C172:C175"/>
    <mergeCell ref="D174:D175"/>
    <mergeCell ref="A176:A178"/>
    <mergeCell ref="B176:B178"/>
    <mergeCell ref="C176:C178"/>
    <mergeCell ref="D176:D178"/>
    <mergeCell ref="A168:A171"/>
    <mergeCell ref="B168:B171"/>
    <mergeCell ref="C168:C171"/>
    <mergeCell ref="D168:D171"/>
    <mergeCell ref="E168:E171"/>
    <mergeCell ref="F168:F171"/>
    <mergeCell ref="A161:A167"/>
    <mergeCell ref="B161:B167"/>
    <mergeCell ref="C161:C167"/>
    <mergeCell ref="D161:D162"/>
    <mergeCell ref="D163:D165"/>
    <mergeCell ref="D166:D167"/>
    <mergeCell ref="A135:A138"/>
    <mergeCell ref="B135:B138"/>
    <mergeCell ref="C135:C138"/>
    <mergeCell ref="D135:D138"/>
    <mergeCell ref="E135:E138"/>
    <mergeCell ref="F135:F138"/>
    <mergeCell ref="D129:D131"/>
    <mergeCell ref="E129:E131"/>
    <mergeCell ref="F129:F130"/>
    <mergeCell ref="A132:A134"/>
    <mergeCell ref="B132:B134"/>
    <mergeCell ref="C132:C134"/>
    <mergeCell ref="D132:D134"/>
    <mergeCell ref="E132:E134"/>
    <mergeCell ref="F132:F134"/>
    <mergeCell ref="A116:A121"/>
    <mergeCell ref="B116:B121"/>
    <mergeCell ref="C116:C121"/>
    <mergeCell ref="D116:D117"/>
    <mergeCell ref="A122:A126"/>
    <mergeCell ref="B122:B126"/>
    <mergeCell ref="C122:C126"/>
    <mergeCell ref="D122:D126"/>
    <mergeCell ref="C103:G103"/>
    <mergeCell ref="C104:J104"/>
    <mergeCell ref="D114:D115"/>
    <mergeCell ref="E123:E124"/>
    <mergeCell ref="A101:A102"/>
    <mergeCell ref="B101:B102"/>
    <mergeCell ref="C101:C102"/>
    <mergeCell ref="D101:D102"/>
    <mergeCell ref="E101:E102"/>
    <mergeCell ref="F101:F102"/>
    <mergeCell ref="A86:A88"/>
    <mergeCell ref="B86:B88"/>
    <mergeCell ref="C86:C88"/>
    <mergeCell ref="D86:D88"/>
    <mergeCell ref="E86:E88"/>
    <mergeCell ref="F86:F88"/>
    <mergeCell ref="C89:G89"/>
    <mergeCell ref="C90:J90"/>
    <mergeCell ref="A82:A83"/>
    <mergeCell ref="B82:B83"/>
    <mergeCell ref="C82:C83"/>
    <mergeCell ref="D82:D83"/>
    <mergeCell ref="E82:E83"/>
    <mergeCell ref="F82:F83"/>
    <mergeCell ref="D84:D85"/>
    <mergeCell ref="E71:E72"/>
    <mergeCell ref="A79:A81"/>
    <mergeCell ref="B79:B81"/>
    <mergeCell ref="C79:C81"/>
    <mergeCell ref="D79:D81"/>
    <mergeCell ref="F79:F81"/>
    <mergeCell ref="A70:A72"/>
    <mergeCell ref="B70:B72"/>
    <mergeCell ref="C70:C72"/>
    <mergeCell ref="D70:D71"/>
    <mergeCell ref="F70:F72"/>
    <mergeCell ref="A63:A65"/>
    <mergeCell ref="B63:B65"/>
    <mergeCell ref="C63:C65"/>
    <mergeCell ref="D63:D65"/>
    <mergeCell ref="E63:E65"/>
    <mergeCell ref="F63:F65"/>
    <mergeCell ref="A61:A62"/>
    <mergeCell ref="B61:B62"/>
    <mergeCell ref="C61:C62"/>
    <mergeCell ref="D61:D62"/>
    <mergeCell ref="E61:E62"/>
    <mergeCell ref="F61:F62"/>
    <mergeCell ref="A55:A56"/>
    <mergeCell ref="B55:B56"/>
    <mergeCell ref="C55:C56"/>
    <mergeCell ref="D55:D56"/>
    <mergeCell ref="D59:D60"/>
    <mergeCell ref="E59:E60"/>
    <mergeCell ref="F59:F60"/>
    <mergeCell ref="F49:F52"/>
    <mergeCell ref="A53:A54"/>
    <mergeCell ref="B53:B54"/>
    <mergeCell ref="C53:C54"/>
    <mergeCell ref="D53:D54"/>
    <mergeCell ref="E53:E54"/>
    <mergeCell ref="F53:F54"/>
    <mergeCell ref="A49:A52"/>
    <mergeCell ref="B49:B52"/>
    <mergeCell ref="C49:C52"/>
    <mergeCell ref="D49:D52"/>
    <mergeCell ref="E49:E52"/>
    <mergeCell ref="A40:A42"/>
    <mergeCell ref="B40:B42"/>
    <mergeCell ref="C40:C42"/>
    <mergeCell ref="D40:D42"/>
    <mergeCell ref="F40:F42"/>
    <mergeCell ref="F33:F35"/>
    <mergeCell ref="A36:A37"/>
    <mergeCell ref="B36:B37"/>
    <mergeCell ref="C36:C37"/>
    <mergeCell ref="D36:D37"/>
    <mergeCell ref="F36:F37"/>
    <mergeCell ref="D38:D39"/>
    <mergeCell ref="A31:A32"/>
    <mergeCell ref="B31:B32"/>
    <mergeCell ref="C31:C32"/>
    <mergeCell ref="D31:D32"/>
    <mergeCell ref="F31:F32"/>
    <mergeCell ref="A33:A35"/>
    <mergeCell ref="B33:B35"/>
    <mergeCell ref="C33:C35"/>
    <mergeCell ref="D33:D35"/>
    <mergeCell ref="E33:E35"/>
    <mergeCell ref="A13:A15"/>
    <mergeCell ref="B13:B15"/>
    <mergeCell ref="C13:C15"/>
    <mergeCell ref="E13:E15"/>
    <mergeCell ref="F13:F15"/>
    <mergeCell ref="A27:A29"/>
    <mergeCell ref="B27:B29"/>
    <mergeCell ref="C27:C29"/>
    <mergeCell ref="D27:D29"/>
    <mergeCell ref="E27:E29"/>
    <mergeCell ref="F27:F29"/>
    <mergeCell ref="A19:A21"/>
    <mergeCell ref="B19:B21"/>
    <mergeCell ref="C19:C21"/>
    <mergeCell ref="D19:D20"/>
    <mergeCell ref="E19:E21"/>
    <mergeCell ref="D24:D26"/>
    <mergeCell ref="E24:E26"/>
    <mergeCell ref="D22:D23"/>
    <mergeCell ref="A197:G197"/>
    <mergeCell ref="A193:G193"/>
    <mergeCell ref="G5:G7"/>
    <mergeCell ref="H5:H7"/>
    <mergeCell ref="I5:I7"/>
    <mergeCell ref="J5:J7"/>
    <mergeCell ref="A2:J2"/>
    <mergeCell ref="A3:J3"/>
    <mergeCell ref="A5:A7"/>
    <mergeCell ref="B5:B7"/>
    <mergeCell ref="C5:C7"/>
    <mergeCell ref="D5:D7"/>
    <mergeCell ref="E5:E7"/>
    <mergeCell ref="F5:F7"/>
    <mergeCell ref="A17:A18"/>
    <mergeCell ref="B17:B18"/>
    <mergeCell ref="C17:C18"/>
    <mergeCell ref="D17:D18"/>
    <mergeCell ref="E17:E18"/>
    <mergeCell ref="F17:F18"/>
    <mergeCell ref="A8:J8"/>
    <mergeCell ref="A9:J9"/>
    <mergeCell ref="B10:J10"/>
    <mergeCell ref="C11:J11"/>
  </mergeCells>
  <pageMargins left="0.78740157480314965" right="0" top="0.19685039370078741" bottom="0.19685039370078741" header="0" footer="0"/>
  <pageSetup paperSize="9" scale="70" orientation="portrait" r:id="rId1"/>
  <headerFooter differentOddEven="1"/>
  <rowBreaks count="1" manualBreakCount="1">
    <brk id="154" max="1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84"/>
  <sheetViews>
    <sheetView view="pageBreakPreview" topLeftCell="A148" zoomScaleNormal="100" zoomScaleSheetLayoutView="100" workbookViewId="0">
      <selection activeCell="K167" sqref="K167"/>
    </sheetView>
  </sheetViews>
  <sheetFormatPr defaultRowHeight="12.75" x14ac:dyDescent="0.2"/>
  <cols>
    <col min="1" max="4" width="2.7109375" style="9" customWidth="1"/>
    <col min="5" max="5" width="35.5703125" style="9" customWidth="1"/>
    <col min="6" max="6" width="2.7109375" style="68" customWidth="1"/>
    <col min="7" max="7" width="3.7109375" style="9" customWidth="1"/>
    <col min="8" max="8" width="2.7109375" style="114" customWidth="1"/>
    <col min="9" max="9" width="13.28515625" style="114" customWidth="1"/>
    <col min="10" max="10" width="7.7109375" style="10" customWidth="1"/>
    <col min="11" max="11" width="10.42578125" style="9" customWidth="1"/>
    <col min="12" max="12" width="27.85546875" style="9" customWidth="1"/>
    <col min="13" max="13" width="6.28515625" style="9" customWidth="1"/>
    <col min="14" max="16384" width="9.140625" style="6"/>
  </cols>
  <sheetData>
    <row r="1" spans="1:16" ht="18.75" customHeight="1" x14ac:dyDescent="0.2">
      <c r="F1" s="9"/>
      <c r="J1" s="1555"/>
      <c r="K1" s="2986" t="s">
        <v>323</v>
      </c>
      <c r="L1" s="2987"/>
      <c r="M1" s="2987"/>
    </row>
    <row r="2" spans="1:16" ht="22.5" customHeight="1" x14ac:dyDescent="0.2">
      <c r="F2" s="9"/>
      <c r="J2" s="1555"/>
      <c r="K2" s="2987"/>
      <c r="L2" s="2987"/>
      <c r="M2" s="2987"/>
    </row>
    <row r="3" spans="1:16" ht="39.75" customHeight="1" x14ac:dyDescent="0.2">
      <c r="F3" s="9"/>
      <c r="J3" s="1555"/>
      <c r="K3" s="2986" t="s">
        <v>383</v>
      </c>
      <c r="L3" s="2987"/>
      <c r="M3" s="2987"/>
      <c r="N3" s="1948"/>
    </row>
    <row r="4" spans="1:16" ht="18" customHeight="1" x14ac:dyDescent="0.2">
      <c r="F4" s="9"/>
      <c r="J4" s="1555"/>
      <c r="K4" s="10"/>
      <c r="L4" s="1896"/>
      <c r="M4" s="1896"/>
    </row>
    <row r="5" spans="1:16" ht="18" customHeight="1" x14ac:dyDescent="0.2">
      <c r="A5" s="3095" t="s">
        <v>313</v>
      </c>
      <c r="B5" s="3095"/>
      <c r="C5" s="3095"/>
      <c r="D5" s="3095"/>
      <c r="E5" s="3095"/>
      <c r="F5" s="3095"/>
      <c r="G5" s="3095"/>
      <c r="H5" s="3095"/>
      <c r="I5" s="3095"/>
      <c r="J5" s="3095"/>
      <c r="K5" s="3095"/>
      <c r="L5" s="3095"/>
      <c r="M5" s="3095"/>
    </row>
    <row r="6" spans="1:16" ht="15" customHeight="1" x14ac:dyDescent="0.2">
      <c r="A6" s="2873" t="s">
        <v>46</v>
      </c>
      <c r="B6" s="2873"/>
      <c r="C6" s="2873"/>
      <c r="D6" s="2873"/>
      <c r="E6" s="2873"/>
      <c r="F6" s="2873"/>
      <c r="G6" s="2873"/>
      <c r="H6" s="2873"/>
      <c r="I6" s="2873"/>
      <c r="J6" s="2873"/>
      <c r="K6" s="2873"/>
      <c r="L6" s="2873"/>
      <c r="M6" s="2873"/>
    </row>
    <row r="7" spans="1:16" ht="24" customHeight="1" x14ac:dyDescent="0.2">
      <c r="A7" s="2874" t="s">
        <v>30</v>
      </c>
      <c r="B7" s="2874"/>
      <c r="C7" s="2874"/>
      <c r="D7" s="2874"/>
      <c r="E7" s="2874"/>
      <c r="F7" s="2874"/>
      <c r="G7" s="2874"/>
      <c r="H7" s="2874"/>
      <c r="I7" s="2874"/>
      <c r="J7" s="2874"/>
      <c r="K7" s="2874"/>
      <c r="L7" s="2874"/>
      <c r="M7" s="2874"/>
      <c r="N7" s="4"/>
      <c r="O7" s="4"/>
      <c r="P7" s="4"/>
    </row>
    <row r="8" spans="1:16" ht="18.75" customHeight="1" thickBot="1" x14ac:dyDescent="0.25">
      <c r="A8" s="329"/>
      <c r="B8" s="329"/>
      <c r="C8" s="329"/>
      <c r="D8" s="329"/>
      <c r="E8" s="329"/>
      <c r="F8" s="330"/>
      <c r="G8" s="329"/>
      <c r="H8" s="331"/>
      <c r="I8" s="331"/>
      <c r="J8" s="1885"/>
      <c r="K8" s="329"/>
      <c r="L8" s="2875" t="s">
        <v>265</v>
      </c>
      <c r="M8" s="3096"/>
    </row>
    <row r="9" spans="1:16" ht="58.5" customHeight="1" x14ac:dyDescent="0.2">
      <c r="A9" s="2876" t="s">
        <v>31</v>
      </c>
      <c r="B9" s="2879" t="s">
        <v>1</v>
      </c>
      <c r="C9" s="2879" t="s">
        <v>2</v>
      </c>
      <c r="D9" s="2879" t="s">
        <v>44</v>
      </c>
      <c r="E9" s="2882" t="s">
        <v>15</v>
      </c>
      <c r="F9" s="2885" t="s">
        <v>3</v>
      </c>
      <c r="G9" s="2879" t="s">
        <v>312</v>
      </c>
      <c r="H9" s="3099" t="s">
        <v>4</v>
      </c>
      <c r="I9" s="3102" t="s">
        <v>110</v>
      </c>
      <c r="J9" s="2906" t="s">
        <v>5</v>
      </c>
      <c r="K9" s="3105" t="s">
        <v>314</v>
      </c>
      <c r="L9" s="3108" t="s">
        <v>315</v>
      </c>
      <c r="M9" s="3109"/>
    </row>
    <row r="10" spans="1:16" ht="14.25" customHeight="1" x14ac:dyDescent="0.2">
      <c r="A10" s="2877"/>
      <c r="B10" s="2880"/>
      <c r="C10" s="2880"/>
      <c r="D10" s="2880"/>
      <c r="E10" s="2883"/>
      <c r="F10" s="2886"/>
      <c r="G10" s="3097"/>
      <c r="H10" s="3100"/>
      <c r="I10" s="3103"/>
      <c r="J10" s="2907"/>
      <c r="K10" s="3106"/>
      <c r="L10" s="2888" t="s">
        <v>15</v>
      </c>
      <c r="M10" s="1962" t="s">
        <v>264</v>
      </c>
    </row>
    <row r="11" spans="1:16" ht="38.25" customHeight="1" thickBot="1" x14ac:dyDescent="0.25">
      <c r="A11" s="2878"/>
      <c r="B11" s="2881"/>
      <c r="C11" s="2881"/>
      <c r="D11" s="2881"/>
      <c r="E11" s="2884"/>
      <c r="F11" s="2887"/>
      <c r="G11" s="3098"/>
      <c r="H11" s="3101"/>
      <c r="I11" s="3104"/>
      <c r="J11" s="2908"/>
      <c r="K11" s="3107"/>
      <c r="L11" s="2889"/>
      <c r="M11" s="1963" t="s">
        <v>41</v>
      </c>
    </row>
    <row r="12" spans="1:16" s="108" customFormat="1" ht="15.75" customHeight="1" x14ac:dyDescent="0.2">
      <c r="A12" s="2894" t="s">
        <v>109</v>
      </c>
      <c r="B12" s="2895"/>
      <c r="C12" s="2895"/>
      <c r="D12" s="2895"/>
      <c r="E12" s="2895"/>
      <c r="F12" s="2895"/>
      <c r="G12" s="2895"/>
      <c r="H12" s="2895"/>
      <c r="I12" s="2895"/>
      <c r="J12" s="2895"/>
      <c r="K12" s="2895"/>
      <c r="L12" s="2895"/>
      <c r="M12" s="2896"/>
    </row>
    <row r="13" spans="1:16" s="108" customFormat="1" ht="15" customHeight="1" x14ac:dyDescent="0.2">
      <c r="A13" s="2909" t="s">
        <v>43</v>
      </c>
      <c r="B13" s="2910"/>
      <c r="C13" s="2910"/>
      <c r="D13" s="2910"/>
      <c r="E13" s="2910"/>
      <c r="F13" s="2910"/>
      <c r="G13" s="2910"/>
      <c r="H13" s="2910"/>
      <c r="I13" s="2910"/>
      <c r="J13" s="2910"/>
      <c r="K13" s="2910"/>
      <c r="L13" s="2910"/>
      <c r="M13" s="2911"/>
    </row>
    <row r="14" spans="1:16" ht="15.75" customHeight="1" x14ac:dyDescent="0.2">
      <c r="A14" s="376" t="s">
        <v>8</v>
      </c>
      <c r="B14" s="2912" t="s">
        <v>47</v>
      </c>
      <c r="C14" s="2913"/>
      <c r="D14" s="2913"/>
      <c r="E14" s="2913"/>
      <c r="F14" s="2913"/>
      <c r="G14" s="2913"/>
      <c r="H14" s="2913"/>
      <c r="I14" s="2913"/>
      <c r="J14" s="2913"/>
      <c r="K14" s="2913"/>
      <c r="L14" s="2913"/>
      <c r="M14" s="2914"/>
    </row>
    <row r="15" spans="1:16" ht="16.5" customHeight="1" x14ac:dyDescent="0.2">
      <c r="A15" s="377" t="s">
        <v>8</v>
      </c>
      <c r="B15" s="177" t="s">
        <v>8</v>
      </c>
      <c r="C15" s="2920" t="s">
        <v>48</v>
      </c>
      <c r="D15" s="2921"/>
      <c r="E15" s="2921"/>
      <c r="F15" s="2921"/>
      <c r="G15" s="2921"/>
      <c r="H15" s="2921"/>
      <c r="I15" s="2921"/>
      <c r="J15" s="2921"/>
      <c r="K15" s="2921"/>
      <c r="L15" s="2921"/>
      <c r="M15" s="2922"/>
    </row>
    <row r="16" spans="1:16" ht="27" customHeight="1" x14ac:dyDescent="0.2">
      <c r="A16" s="1835" t="s">
        <v>8</v>
      </c>
      <c r="B16" s="1829" t="s">
        <v>8</v>
      </c>
      <c r="C16" s="1869" t="s">
        <v>8</v>
      </c>
      <c r="D16" s="146"/>
      <c r="E16" s="1721" t="s">
        <v>82</v>
      </c>
      <c r="F16" s="1691" t="s">
        <v>202</v>
      </c>
      <c r="G16" s="1868"/>
      <c r="H16" s="1833" t="s">
        <v>72</v>
      </c>
      <c r="I16" s="304"/>
      <c r="J16" s="12"/>
      <c r="K16" s="33"/>
      <c r="L16" s="60"/>
      <c r="M16" s="101"/>
    </row>
    <row r="17" spans="1:15" ht="45" customHeight="1" x14ac:dyDescent="0.2">
      <c r="A17" s="2757"/>
      <c r="B17" s="2727"/>
      <c r="C17" s="2991"/>
      <c r="D17" s="3063" t="s">
        <v>8</v>
      </c>
      <c r="E17" s="1855" t="s">
        <v>232</v>
      </c>
      <c r="F17" s="2869" t="s">
        <v>79</v>
      </c>
      <c r="G17" s="3110" t="s">
        <v>338</v>
      </c>
      <c r="H17" s="2710" t="s">
        <v>72</v>
      </c>
      <c r="I17" s="3112" t="s">
        <v>126</v>
      </c>
      <c r="J17" s="743"/>
      <c r="K17" s="1613"/>
      <c r="L17" s="1845"/>
      <c r="M17" s="138"/>
    </row>
    <row r="18" spans="1:15" ht="22.5" customHeight="1" x14ac:dyDescent="0.2">
      <c r="A18" s="2757"/>
      <c r="B18" s="2727"/>
      <c r="C18" s="2991"/>
      <c r="D18" s="3065"/>
      <c r="E18" s="1685" t="s">
        <v>233</v>
      </c>
      <c r="F18" s="2893"/>
      <c r="G18" s="3111"/>
      <c r="H18" s="2715"/>
      <c r="I18" s="3122"/>
      <c r="J18" s="1033" t="s">
        <v>330</v>
      </c>
      <c r="K18" s="1578">
        <f>457.2/3.4528*1000</f>
        <v>132414</v>
      </c>
      <c r="L18" s="1686" t="s">
        <v>216</v>
      </c>
      <c r="M18" s="1687"/>
    </row>
    <row r="19" spans="1:15" ht="52.5" customHeight="1" x14ac:dyDescent="0.2">
      <c r="A19" s="1835"/>
      <c r="B19" s="1829"/>
      <c r="C19" s="1869"/>
      <c r="D19" s="1884" t="s">
        <v>10</v>
      </c>
      <c r="E19" s="879" t="s">
        <v>238</v>
      </c>
      <c r="F19" s="1837"/>
      <c r="G19" s="1892" t="s">
        <v>337</v>
      </c>
      <c r="H19" s="1833" t="s">
        <v>72</v>
      </c>
      <c r="I19" s="3112" t="s">
        <v>125</v>
      </c>
      <c r="J19" s="17" t="s">
        <v>330</v>
      </c>
      <c r="K19" s="1579">
        <f>20/3.4528*1000</f>
        <v>5792</v>
      </c>
      <c r="L19" s="1889" t="s">
        <v>248</v>
      </c>
      <c r="M19" s="211"/>
    </row>
    <row r="20" spans="1:15" ht="29.25" customHeight="1" x14ac:dyDescent="0.2">
      <c r="A20" s="1835"/>
      <c r="B20" s="1829"/>
      <c r="C20" s="1869"/>
      <c r="D20" s="1877" t="s">
        <v>45</v>
      </c>
      <c r="E20" s="1855" t="s">
        <v>193</v>
      </c>
      <c r="F20" s="1839"/>
      <c r="G20" s="1894" t="s">
        <v>339</v>
      </c>
      <c r="H20" s="1832" t="s">
        <v>72</v>
      </c>
      <c r="I20" s="3113"/>
      <c r="J20" s="740" t="s">
        <v>330</v>
      </c>
      <c r="K20" s="1615">
        <f>50/3.4528*1000</f>
        <v>14481</v>
      </c>
      <c r="L20" s="763" t="s">
        <v>231</v>
      </c>
      <c r="M20" s="1586">
        <v>1</v>
      </c>
    </row>
    <row r="21" spans="1:15" ht="24.75" customHeight="1" x14ac:dyDescent="0.2">
      <c r="A21" s="2757"/>
      <c r="B21" s="2727"/>
      <c r="C21" s="2991"/>
      <c r="D21" s="1877" t="s">
        <v>50</v>
      </c>
      <c r="E21" s="2760" t="s">
        <v>239</v>
      </c>
      <c r="F21" s="3114" t="s">
        <v>79</v>
      </c>
      <c r="G21" s="3117" t="s">
        <v>340</v>
      </c>
      <c r="H21" s="1078" t="s">
        <v>72</v>
      </c>
      <c r="I21" s="3120" t="s">
        <v>125</v>
      </c>
      <c r="J21" s="1079" t="s">
        <v>330</v>
      </c>
      <c r="K21" s="1617">
        <f>50/3.4528*1000</f>
        <v>14481</v>
      </c>
      <c r="L21" s="1026" t="s">
        <v>230</v>
      </c>
      <c r="M21" s="1587">
        <v>100</v>
      </c>
    </row>
    <row r="22" spans="1:15" ht="38.25" customHeight="1" x14ac:dyDescent="0.2">
      <c r="A22" s="2757"/>
      <c r="B22" s="2727"/>
      <c r="C22" s="2991"/>
      <c r="D22" s="1884"/>
      <c r="E22" s="2702"/>
      <c r="F22" s="3115"/>
      <c r="G22" s="3118"/>
      <c r="H22" s="1081"/>
      <c r="I22" s="3121"/>
      <c r="J22" s="721" t="s">
        <v>58</v>
      </c>
      <c r="K22" s="1618"/>
      <c r="L22" s="3089" t="s">
        <v>259</v>
      </c>
      <c r="M22" s="1588"/>
    </row>
    <row r="23" spans="1:15" ht="14.25" customHeight="1" x14ac:dyDescent="0.2">
      <c r="A23" s="2757"/>
      <c r="B23" s="2727"/>
      <c r="C23" s="2991"/>
      <c r="D23" s="1878"/>
      <c r="E23" s="1157"/>
      <c r="F23" s="3116"/>
      <c r="G23" s="3119"/>
      <c r="H23" s="1084"/>
      <c r="I23" s="3093"/>
      <c r="J23" s="1085" t="s">
        <v>42</v>
      </c>
      <c r="K23" s="1578"/>
      <c r="L23" s="3090"/>
      <c r="M23" s="64"/>
    </row>
    <row r="24" spans="1:15" ht="42" customHeight="1" x14ac:dyDescent="0.2">
      <c r="A24" s="1835"/>
      <c r="B24" s="1829"/>
      <c r="C24" s="451"/>
      <c r="D24" s="311" t="s">
        <v>52</v>
      </c>
      <c r="E24" s="1202" t="s">
        <v>240</v>
      </c>
      <c r="F24" s="1688"/>
      <c r="G24" s="1716" t="s">
        <v>341</v>
      </c>
      <c r="H24" s="1689" t="s">
        <v>72</v>
      </c>
      <c r="I24" s="3093"/>
      <c r="J24" s="552" t="s">
        <v>58</v>
      </c>
      <c r="K24" s="1580">
        <f>210.9/3.4528*1000</f>
        <v>61081</v>
      </c>
      <c r="L24" s="1690" t="s">
        <v>226</v>
      </c>
      <c r="M24" s="1589" t="s">
        <v>224</v>
      </c>
      <c r="O24" s="14"/>
    </row>
    <row r="25" spans="1:15" ht="21.75" customHeight="1" x14ac:dyDescent="0.2">
      <c r="A25" s="2757"/>
      <c r="B25" s="2727"/>
      <c r="C25" s="2991"/>
      <c r="D25" s="2855" t="s">
        <v>54</v>
      </c>
      <c r="E25" s="2704" t="s">
        <v>143</v>
      </c>
      <c r="F25" s="2695" t="s">
        <v>79</v>
      </c>
      <c r="G25" s="3091" t="s">
        <v>339</v>
      </c>
      <c r="H25" s="2711" t="s">
        <v>72</v>
      </c>
      <c r="I25" s="3093"/>
      <c r="J25" s="783" t="s">
        <v>330</v>
      </c>
      <c r="K25" s="1614">
        <f>66.3/3.4528*1000</f>
        <v>19202</v>
      </c>
      <c r="L25" s="2692" t="s">
        <v>321</v>
      </c>
      <c r="M25" s="1590"/>
    </row>
    <row r="26" spans="1:15" ht="21" customHeight="1" x14ac:dyDescent="0.2">
      <c r="A26" s="2757"/>
      <c r="B26" s="2727"/>
      <c r="C26" s="2991"/>
      <c r="D26" s="2855"/>
      <c r="E26" s="2844"/>
      <c r="F26" s="2695"/>
      <c r="G26" s="3092"/>
      <c r="H26" s="2711"/>
      <c r="I26" s="3094"/>
      <c r="J26" s="40" t="s">
        <v>58</v>
      </c>
      <c r="K26" s="1620">
        <f>358/3.4528*1000</f>
        <v>103684</v>
      </c>
      <c r="L26" s="2692"/>
      <c r="M26" s="1591">
        <v>100</v>
      </c>
    </row>
    <row r="27" spans="1:15" ht="14.25" customHeight="1" thickBot="1" x14ac:dyDescent="0.25">
      <c r="A27" s="1835"/>
      <c r="B27" s="1829"/>
      <c r="C27" s="1882"/>
      <c r="D27" s="399"/>
      <c r="E27" s="3049"/>
      <c r="F27" s="3049"/>
      <c r="G27" s="3049"/>
      <c r="H27" s="3049"/>
      <c r="I27" s="3060" t="s">
        <v>112</v>
      </c>
      <c r="J27" s="3123"/>
      <c r="K27" s="1621">
        <f>SUM(K17:K26)</f>
        <v>351135</v>
      </c>
      <c r="L27" s="402"/>
      <c r="M27" s="404"/>
    </row>
    <row r="28" spans="1:15" ht="29.25" customHeight="1" x14ac:dyDescent="0.2">
      <c r="A28" s="1846" t="s">
        <v>8</v>
      </c>
      <c r="B28" s="1848" t="s">
        <v>8</v>
      </c>
      <c r="C28" s="1875" t="s">
        <v>10</v>
      </c>
      <c r="D28" s="148"/>
      <c r="E28" s="1722" t="s">
        <v>83</v>
      </c>
      <c r="F28" s="834" t="s">
        <v>205</v>
      </c>
      <c r="G28" s="1881"/>
      <c r="H28" s="1852"/>
      <c r="I28" s="144"/>
      <c r="J28" s="74"/>
      <c r="K28" s="1622"/>
      <c r="L28" s="545"/>
      <c r="M28" s="687"/>
      <c r="O28" s="14"/>
    </row>
    <row r="29" spans="1:15" ht="20.25" customHeight="1" x14ac:dyDescent="0.2">
      <c r="A29" s="2759"/>
      <c r="B29" s="2727"/>
      <c r="C29" s="2991"/>
      <c r="D29" s="3063" t="s">
        <v>8</v>
      </c>
      <c r="E29" s="2703" t="s">
        <v>105</v>
      </c>
      <c r="F29" s="129" t="s">
        <v>79</v>
      </c>
      <c r="G29" s="3066" t="s">
        <v>342</v>
      </c>
      <c r="H29" s="2710" t="s">
        <v>72</v>
      </c>
      <c r="I29" s="3037" t="s">
        <v>125</v>
      </c>
      <c r="J29" s="740" t="s">
        <v>42</v>
      </c>
      <c r="K29" s="1615"/>
      <c r="L29" s="1841" t="s">
        <v>76</v>
      </c>
      <c r="M29" s="78">
        <v>1</v>
      </c>
    </row>
    <row r="30" spans="1:15" ht="16.5" customHeight="1" x14ac:dyDescent="0.2">
      <c r="A30" s="2759"/>
      <c r="B30" s="2727"/>
      <c r="C30" s="2991"/>
      <c r="D30" s="3065"/>
      <c r="E30" s="2705"/>
      <c r="F30" s="813"/>
      <c r="G30" s="3054"/>
      <c r="H30" s="2715"/>
      <c r="I30" s="3067"/>
      <c r="J30" s="40" t="s">
        <v>58</v>
      </c>
      <c r="K30" s="1578">
        <f>83.7/3.4528*1000</f>
        <v>24241</v>
      </c>
      <c r="L30" s="766" t="s">
        <v>285</v>
      </c>
      <c r="M30" s="64"/>
    </row>
    <row r="31" spans="1:15" ht="40.5" customHeight="1" x14ac:dyDescent="0.2">
      <c r="A31" s="2759"/>
      <c r="B31" s="2727"/>
      <c r="C31" s="2991"/>
      <c r="D31" s="3063" t="s">
        <v>10</v>
      </c>
      <c r="E31" s="2703" t="s">
        <v>241</v>
      </c>
      <c r="F31" s="2694" t="s">
        <v>79</v>
      </c>
      <c r="G31" s="3130" t="s">
        <v>343</v>
      </c>
      <c r="H31" s="2710" t="s">
        <v>72</v>
      </c>
      <c r="I31" s="3112" t="s">
        <v>125</v>
      </c>
      <c r="J31" s="13" t="s">
        <v>58</v>
      </c>
      <c r="K31" s="1617">
        <f>535.9/3.4528*1000</f>
        <v>155207</v>
      </c>
      <c r="L31" s="768" t="s">
        <v>189</v>
      </c>
      <c r="M31" s="1592"/>
    </row>
    <row r="32" spans="1:15" ht="15" customHeight="1" x14ac:dyDescent="0.2">
      <c r="A32" s="2759"/>
      <c r="B32" s="2727"/>
      <c r="C32" s="2991"/>
      <c r="D32" s="3064"/>
      <c r="E32" s="2704"/>
      <c r="F32" s="2695"/>
      <c r="G32" s="3131"/>
      <c r="H32" s="2711"/>
      <c r="I32" s="3124"/>
      <c r="J32" s="723" t="s">
        <v>330</v>
      </c>
      <c r="K32" s="1618">
        <f>41387+57400</f>
        <v>98787</v>
      </c>
      <c r="L32" s="711" t="s">
        <v>104</v>
      </c>
      <c r="M32" s="1593">
        <v>100</v>
      </c>
    </row>
    <row r="33" spans="1:15" ht="39" customHeight="1" x14ac:dyDescent="0.2">
      <c r="A33" s="2759"/>
      <c r="B33" s="2727"/>
      <c r="C33" s="2991"/>
      <c r="D33" s="3065"/>
      <c r="E33" s="2705"/>
      <c r="F33" s="2696"/>
      <c r="G33" s="3132"/>
      <c r="H33" s="2715"/>
      <c r="I33" s="3122"/>
      <c r="J33" s="40"/>
      <c r="K33" s="1578"/>
      <c r="L33" s="772" t="s">
        <v>190</v>
      </c>
      <c r="M33" s="1594"/>
    </row>
    <row r="34" spans="1:15" ht="28.5" customHeight="1" x14ac:dyDescent="0.2">
      <c r="A34" s="2759"/>
      <c r="B34" s="2727"/>
      <c r="C34" s="2991"/>
      <c r="D34" s="3063" t="s">
        <v>45</v>
      </c>
      <c r="E34" s="2760" t="s">
        <v>196</v>
      </c>
      <c r="F34" s="129" t="s">
        <v>79</v>
      </c>
      <c r="G34" s="3127" t="s">
        <v>344</v>
      </c>
      <c r="H34" s="2710" t="s">
        <v>72</v>
      </c>
      <c r="I34" s="3112" t="s">
        <v>125</v>
      </c>
      <c r="J34" s="740" t="s">
        <v>58</v>
      </c>
      <c r="K34" s="1619">
        <f>320/3.4528*1000</f>
        <v>92678</v>
      </c>
      <c r="L34" s="1841" t="s">
        <v>96</v>
      </c>
      <c r="M34" s="78">
        <v>1</v>
      </c>
    </row>
    <row r="35" spans="1:15" ht="38.25" customHeight="1" x14ac:dyDescent="0.2">
      <c r="A35" s="2759"/>
      <c r="B35" s="2727"/>
      <c r="C35" s="2991"/>
      <c r="D35" s="3125"/>
      <c r="E35" s="3126"/>
      <c r="F35" s="1094"/>
      <c r="G35" s="3128"/>
      <c r="H35" s="2924"/>
      <c r="I35" s="3124"/>
      <c r="J35" s="783" t="s">
        <v>42</v>
      </c>
      <c r="K35" s="1623"/>
      <c r="L35" s="1095" t="s">
        <v>379</v>
      </c>
      <c r="M35" s="1595"/>
    </row>
    <row r="36" spans="1:15" ht="27" customHeight="1" x14ac:dyDescent="0.2">
      <c r="A36" s="1835"/>
      <c r="B36" s="1829"/>
      <c r="C36" s="451"/>
      <c r="D36" s="1872"/>
      <c r="E36" s="1093" t="s">
        <v>242</v>
      </c>
      <c r="F36" s="253"/>
      <c r="G36" s="3129"/>
      <c r="H36" s="1838" t="s">
        <v>72</v>
      </c>
      <c r="I36" s="3113"/>
      <c r="J36" s="246" t="s">
        <v>58</v>
      </c>
      <c r="K36" s="1624">
        <f>131.2/3.4528*1000</f>
        <v>37998</v>
      </c>
      <c r="L36" s="1200" t="s">
        <v>250</v>
      </c>
      <c r="M36" s="1596" t="s">
        <v>224</v>
      </c>
      <c r="O36" s="14"/>
    </row>
    <row r="37" spans="1:15" ht="32.25" customHeight="1" x14ac:dyDescent="0.2">
      <c r="A37" s="2759"/>
      <c r="B37" s="2727"/>
      <c r="C37" s="2991"/>
      <c r="D37" s="3063" t="s">
        <v>50</v>
      </c>
      <c r="E37" s="2760" t="s">
        <v>210</v>
      </c>
      <c r="F37" s="1099" t="s">
        <v>79</v>
      </c>
      <c r="G37" s="3066" t="s">
        <v>345</v>
      </c>
      <c r="H37" s="2710" t="s">
        <v>72</v>
      </c>
      <c r="I37" s="3112" t="s">
        <v>125</v>
      </c>
      <c r="J37" s="740" t="s">
        <v>58</v>
      </c>
      <c r="K37" s="1619">
        <f>550/3.4528*1000</f>
        <v>159291</v>
      </c>
      <c r="L37" s="2690" t="s">
        <v>211</v>
      </c>
      <c r="M37" s="78">
        <v>1</v>
      </c>
    </row>
    <row r="38" spans="1:15" ht="20.25" customHeight="1" x14ac:dyDescent="0.2">
      <c r="A38" s="2759"/>
      <c r="B38" s="2727"/>
      <c r="C38" s="2991"/>
      <c r="D38" s="3065"/>
      <c r="E38" s="2761"/>
      <c r="F38" s="813"/>
      <c r="G38" s="3054"/>
      <c r="H38" s="2715"/>
      <c r="I38" s="3124"/>
      <c r="J38" s="40" t="s">
        <v>330</v>
      </c>
      <c r="K38" s="1616">
        <f>85/3.4528*1000</f>
        <v>24618</v>
      </c>
      <c r="L38" s="3133"/>
      <c r="M38" s="64">
        <v>100</v>
      </c>
    </row>
    <row r="39" spans="1:15" ht="28.5" customHeight="1" x14ac:dyDescent="0.2">
      <c r="A39" s="1835"/>
      <c r="B39" s="1829"/>
      <c r="C39" s="451"/>
      <c r="D39" s="311" t="s">
        <v>52</v>
      </c>
      <c r="E39" s="1063" t="s">
        <v>243</v>
      </c>
      <c r="F39" s="457"/>
      <c r="G39" s="1717" t="s">
        <v>346</v>
      </c>
      <c r="H39" s="1883" t="s">
        <v>72</v>
      </c>
      <c r="I39" s="3113"/>
      <c r="J39" s="39" t="s">
        <v>58</v>
      </c>
      <c r="K39" s="1580">
        <f>34.7/3.4528*1000</f>
        <v>10050</v>
      </c>
      <c r="L39" s="1066" t="s">
        <v>225</v>
      </c>
      <c r="M39" s="1597" t="s">
        <v>224</v>
      </c>
      <c r="O39" s="14"/>
    </row>
    <row r="40" spans="1:15" ht="16.5" customHeight="1" thickBot="1" x14ac:dyDescent="0.25">
      <c r="A40" s="1874"/>
      <c r="B40" s="1849"/>
      <c r="C40" s="1876"/>
      <c r="D40" s="399"/>
      <c r="E40" s="3049"/>
      <c r="F40" s="3049"/>
      <c r="G40" s="3049"/>
      <c r="H40" s="3134"/>
      <c r="I40" s="3060" t="s">
        <v>112</v>
      </c>
      <c r="J40" s="3061"/>
      <c r="K40" s="1621">
        <f>SUM(K29:K39)</f>
        <v>602870</v>
      </c>
      <c r="L40" s="429"/>
      <c r="M40" s="431"/>
    </row>
    <row r="41" spans="1:15" ht="30" customHeight="1" x14ac:dyDescent="0.2">
      <c r="A41" s="1846" t="s">
        <v>8</v>
      </c>
      <c r="B41" s="1848" t="s">
        <v>8</v>
      </c>
      <c r="C41" s="1875" t="s">
        <v>45</v>
      </c>
      <c r="D41" s="148"/>
      <c r="E41" s="1723" t="s">
        <v>290</v>
      </c>
      <c r="F41" s="833" t="s">
        <v>209</v>
      </c>
      <c r="G41" s="148"/>
      <c r="H41" s="236"/>
      <c r="I41" s="239"/>
      <c r="J41" s="237"/>
      <c r="K41" s="1625"/>
      <c r="L41" s="545"/>
      <c r="M41" s="718"/>
    </row>
    <row r="42" spans="1:15" ht="53.25" customHeight="1" x14ac:dyDescent="0.2">
      <c r="A42" s="1835"/>
      <c r="B42" s="1829"/>
      <c r="C42" s="1869"/>
      <c r="D42" s="654" t="s">
        <v>8</v>
      </c>
      <c r="E42" s="1712" t="s">
        <v>100</v>
      </c>
      <c r="F42" s="567" t="s">
        <v>79</v>
      </c>
      <c r="G42" s="1718" t="s">
        <v>324</v>
      </c>
      <c r="H42" s="1442" t="s">
        <v>72</v>
      </c>
      <c r="I42" s="1713" t="s">
        <v>125</v>
      </c>
      <c r="J42" s="238" t="s">
        <v>58</v>
      </c>
      <c r="K42" s="1626">
        <f>165.1/3.4528*1000</f>
        <v>47816</v>
      </c>
      <c r="L42" s="1843" t="s">
        <v>266</v>
      </c>
      <c r="M42" s="1714">
        <v>100</v>
      </c>
    </row>
    <row r="43" spans="1:15" ht="16.5" customHeight="1" x14ac:dyDescent="0.2">
      <c r="A43" s="2757"/>
      <c r="B43" s="2727"/>
      <c r="C43" s="2991"/>
      <c r="D43" s="3064" t="s">
        <v>10</v>
      </c>
      <c r="E43" s="3135" t="s">
        <v>291</v>
      </c>
      <c r="F43" s="2698" t="s">
        <v>79</v>
      </c>
      <c r="G43" s="3128" t="s">
        <v>325</v>
      </c>
      <c r="H43" s="2766" t="s">
        <v>72</v>
      </c>
      <c r="I43" s="3012" t="s">
        <v>125</v>
      </c>
      <c r="J43" s="1711" t="s">
        <v>58</v>
      </c>
      <c r="K43" s="1651">
        <f>119.9/3.4528*1000</f>
        <v>34725</v>
      </c>
      <c r="L43" s="2717" t="s">
        <v>155</v>
      </c>
      <c r="M43" s="135">
        <v>1</v>
      </c>
    </row>
    <row r="44" spans="1:15" ht="16.5" customHeight="1" x14ac:dyDescent="0.2">
      <c r="A44" s="2757"/>
      <c r="B44" s="2727"/>
      <c r="C44" s="2991"/>
      <c r="D44" s="3064"/>
      <c r="E44" s="3135"/>
      <c r="F44" s="2698"/>
      <c r="G44" s="3128"/>
      <c r="H44" s="2766"/>
      <c r="I44" s="3012"/>
      <c r="J44" s="992"/>
      <c r="K44" s="1692"/>
      <c r="L44" s="2717"/>
      <c r="M44" s="135"/>
    </row>
    <row r="45" spans="1:15" ht="21.75" customHeight="1" x14ac:dyDescent="0.2">
      <c r="A45" s="2757"/>
      <c r="B45" s="2727"/>
      <c r="C45" s="2991"/>
      <c r="D45" s="3065"/>
      <c r="E45" s="3136"/>
      <c r="F45" s="2765"/>
      <c r="G45" s="3129"/>
      <c r="H45" s="2767"/>
      <c r="I45" s="3067"/>
      <c r="J45" s="794"/>
      <c r="K45" s="1616"/>
      <c r="L45" s="3137"/>
      <c r="M45" s="137"/>
    </row>
    <row r="46" spans="1:15" ht="15.75" customHeight="1" thickBot="1" x14ac:dyDescent="0.25">
      <c r="A46" s="1847"/>
      <c r="B46" s="1849"/>
      <c r="C46" s="1876"/>
      <c r="D46" s="432"/>
      <c r="E46" s="3062"/>
      <c r="F46" s="3062"/>
      <c r="G46" s="3062"/>
      <c r="H46" s="3068"/>
      <c r="I46" s="3005" t="s">
        <v>112</v>
      </c>
      <c r="J46" s="3006"/>
      <c r="K46" s="1629">
        <f>SUM(K42:K45)</f>
        <v>82541</v>
      </c>
      <c r="L46" s="429"/>
      <c r="M46" s="437"/>
      <c r="O46" s="14"/>
    </row>
    <row r="47" spans="1:15" ht="29.25" customHeight="1" x14ac:dyDescent="0.2">
      <c r="A47" s="1846" t="s">
        <v>8</v>
      </c>
      <c r="B47" s="1848" t="s">
        <v>8</v>
      </c>
      <c r="C47" s="1875" t="s">
        <v>50</v>
      </c>
      <c r="D47" s="178"/>
      <c r="E47" s="619" t="s">
        <v>85</v>
      </c>
      <c r="F47" s="820" t="s">
        <v>204</v>
      </c>
      <c r="G47" s="180"/>
      <c r="H47" s="181"/>
      <c r="I47" s="729"/>
      <c r="J47" s="231"/>
      <c r="K47" s="1630"/>
      <c r="L47" s="685"/>
      <c r="M47" s="687"/>
      <c r="O47" s="14"/>
    </row>
    <row r="48" spans="1:15" ht="21" customHeight="1" x14ac:dyDescent="0.2">
      <c r="A48" s="1835"/>
      <c r="B48" s="1829"/>
      <c r="C48" s="1869"/>
      <c r="D48" s="3088" t="s">
        <v>8</v>
      </c>
      <c r="E48" s="2704" t="s">
        <v>107</v>
      </c>
      <c r="F48" s="2716" t="s">
        <v>79</v>
      </c>
      <c r="G48" s="3084" t="s">
        <v>347</v>
      </c>
      <c r="H48" s="2708" t="s">
        <v>72</v>
      </c>
      <c r="I48" s="3085" t="s">
        <v>125</v>
      </c>
      <c r="J48" s="1693" t="s">
        <v>58</v>
      </c>
      <c r="K48" s="1694">
        <f>340/3.4528*1000</f>
        <v>98471</v>
      </c>
      <c r="L48" s="2717" t="s">
        <v>201</v>
      </c>
      <c r="M48" s="1496">
        <v>1</v>
      </c>
      <c r="O48" s="14"/>
    </row>
    <row r="49" spans="1:15" ht="21.75" customHeight="1" x14ac:dyDescent="0.2">
      <c r="A49" s="1835"/>
      <c r="B49" s="1829"/>
      <c r="C49" s="1869"/>
      <c r="D49" s="3088"/>
      <c r="E49" s="2704"/>
      <c r="F49" s="2716"/>
      <c r="G49" s="3084"/>
      <c r="H49" s="2708"/>
      <c r="I49" s="3085"/>
      <c r="J49" s="1696"/>
      <c r="K49" s="1631"/>
      <c r="L49" s="2717"/>
      <c r="M49" s="1496"/>
      <c r="O49" s="14"/>
    </row>
    <row r="50" spans="1:15" ht="19.5" customHeight="1" x14ac:dyDescent="0.2">
      <c r="A50" s="2757"/>
      <c r="B50" s="2727"/>
      <c r="C50" s="2991"/>
      <c r="D50" s="3063" t="s">
        <v>10</v>
      </c>
      <c r="E50" s="2703" t="s">
        <v>292</v>
      </c>
      <c r="F50" s="2694" t="s">
        <v>79</v>
      </c>
      <c r="G50" s="3086" t="s">
        <v>348</v>
      </c>
      <c r="H50" s="2710" t="s">
        <v>72</v>
      </c>
      <c r="I50" s="3003" t="s">
        <v>125</v>
      </c>
      <c r="J50" s="1693" t="s">
        <v>58</v>
      </c>
      <c r="K50" s="1695">
        <f>100/3.4528*1000</f>
        <v>28962</v>
      </c>
      <c r="L50" s="763" t="s">
        <v>198</v>
      </c>
      <c r="M50" s="807"/>
    </row>
    <row r="51" spans="1:15" ht="27" customHeight="1" x14ac:dyDescent="0.2">
      <c r="A51" s="2757"/>
      <c r="B51" s="2727"/>
      <c r="C51" s="2991"/>
      <c r="D51" s="3064"/>
      <c r="E51" s="2704"/>
      <c r="F51" s="2695"/>
      <c r="G51" s="3087"/>
      <c r="H51" s="2711"/>
      <c r="I51" s="3058"/>
      <c r="J51" s="1697"/>
      <c r="K51" s="1631"/>
      <c r="L51" s="1844" t="s">
        <v>197</v>
      </c>
      <c r="M51" s="135"/>
    </row>
    <row r="52" spans="1:15" ht="17.25" customHeight="1" x14ac:dyDescent="0.2">
      <c r="A52" s="2757"/>
      <c r="B52" s="2727"/>
      <c r="C52" s="2991"/>
      <c r="D52" s="3063" t="s">
        <v>45</v>
      </c>
      <c r="E52" s="2760" t="s">
        <v>212</v>
      </c>
      <c r="F52" s="2694" t="s">
        <v>79</v>
      </c>
      <c r="G52" s="3086" t="s">
        <v>349</v>
      </c>
      <c r="H52" s="2710" t="s">
        <v>72</v>
      </c>
      <c r="I52" s="3003" t="s">
        <v>125</v>
      </c>
      <c r="J52" s="1693" t="s">
        <v>58</v>
      </c>
      <c r="K52" s="1695">
        <f>88/3.4528*1000</f>
        <v>25487</v>
      </c>
      <c r="L52" s="2690" t="s">
        <v>213</v>
      </c>
      <c r="M52" s="138">
        <v>1</v>
      </c>
    </row>
    <row r="53" spans="1:15" ht="21" customHeight="1" x14ac:dyDescent="0.2">
      <c r="A53" s="2757"/>
      <c r="B53" s="2727"/>
      <c r="C53" s="2991"/>
      <c r="D53" s="3065"/>
      <c r="E53" s="2761"/>
      <c r="F53" s="2696"/>
      <c r="G53" s="3087"/>
      <c r="H53" s="2715"/>
      <c r="I53" s="3059"/>
      <c r="J53" s="1697"/>
      <c r="K53" s="1631"/>
      <c r="L53" s="3090"/>
      <c r="M53" s="137"/>
    </row>
    <row r="54" spans="1:15" ht="18.75" customHeight="1" thickBot="1" x14ac:dyDescent="0.25">
      <c r="A54" s="1847"/>
      <c r="B54" s="1849"/>
      <c r="C54" s="433"/>
      <c r="D54" s="432"/>
      <c r="E54" s="3062"/>
      <c r="F54" s="3062"/>
      <c r="G54" s="3062"/>
      <c r="H54" s="3068"/>
      <c r="I54" s="3005" t="s">
        <v>112</v>
      </c>
      <c r="J54" s="3069"/>
      <c r="K54" s="1635">
        <f>SUM(K48:K53)</f>
        <v>152920</v>
      </c>
      <c r="L54" s="429"/>
      <c r="M54" s="437"/>
      <c r="O54" s="14"/>
    </row>
    <row r="55" spans="1:15" ht="29.25" customHeight="1" x14ac:dyDescent="0.2">
      <c r="A55" s="1846" t="s">
        <v>8</v>
      </c>
      <c r="B55" s="1848" t="s">
        <v>8</v>
      </c>
      <c r="C55" s="1875" t="s">
        <v>52</v>
      </c>
      <c r="D55" s="700"/>
      <c r="E55" s="1860" t="s">
        <v>274</v>
      </c>
      <c r="F55" s="820" t="s">
        <v>192</v>
      </c>
      <c r="G55" s="682"/>
      <c r="H55" s="622"/>
      <c r="I55" s="1186"/>
      <c r="J55" s="684"/>
      <c r="K55" s="1625"/>
      <c r="L55" s="16"/>
      <c r="M55" s="1890"/>
    </row>
    <row r="56" spans="1:15" ht="15" customHeight="1" x14ac:dyDescent="0.2">
      <c r="A56" s="1835"/>
      <c r="B56" s="1829"/>
      <c r="C56" s="1869"/>
      <c r="D56" s="1877" t="s">
        <v>8</v>
      </c>
      <c r="E56" s="3070" t="s">
        <v>275</v>
      </c>
      <c r="F56" s="128" t="s">
        <v>79</v>
      </c>
      <c r="G56" s="3066" t="s">
        <v>350</v>
      </c>
      <c r="H56" s="1832" t="s">
        <v>72</v>
      </c>
      <c r="I56" s="3037" t="s">
        <v>126</v>
      </c>
      <c r="J56" s="305" t="s">
        <v>58</v>
      </c>
      <c r="K56" s="1636">
        <f>50/3.4528*1000</f>
        <v>14481</v>
      </c>
      <c r="L56" s="2796" t="s">
        <v>207</v>
      </c>
      <c r="M56" s="1599"/>
    </row>
    <row r="57" spans="1:15" ht="18.75" customHeight="1" x14ac:dyDescent="0.2">
      <c r="A57" s="1835"/>
      <c r="B57" s="1829"/>
      <c r="C57" s="1869"/>
      <c r="D57" s="1884"/>
      <c r="E57" s="2734"/>
      <c r="F57" s="3075"/>
      <c r="G57" s="3072"/>
      <c r="H57" s="1833"/>
      <c r="I57" s="3074"/>
      <c r="J57" s="721" t="s">
        <v>74</v>
      </c>
      <c r="K57" s="1618"/>
      <c r="L57" s="2717"/>
      <c r="M57" s="113"/>
    </row>
    <row r="58" spans="1:15" ht="21.75" customHeight="1" x14ac:dyDescent="0.2">
      <c r="A58" s="1835"/>
      <c r="B58" s="1829"/>
      <c r="C58" s="1869"/>
      <c r="D58" s="1878"/>
      <c r="E58" s="3071"/>
      <c r="F58" s="3076"/>
      <c r="G58" s="3073"/>
      <c r="H58" s="1838"/>
      <c r="I58" s="3004"/>
      <c r="J58" s="40" t="s">
        <v>77</v>
      </c>
      <c r="K58" s="1637"/>
      <c r="L58" s="2938"/>
      <c r="M58" s="64"/>
    </row>
    <row r="59" spans="1:15" ht="18" customHeight="1" x14ac:dyDescent="0.2">
      <c r="A59" s="2757"/>
      <c r="B59" s="2727"/>
      <c r="C59" s="2991"/>
      <c r="D59" s="1870" t="s">
        <v>10</v>
      </c>
      <c r="E59" s="2866" t="s">
        <v>293</v>
      </c>
      <c r="F59" s="1836" t="s">
        <v>79</v>
      </c>
      <c r="G59" s="3078" t="s">
        <v>351</v>
      </c>
      <c r="H59" s="1832" t="s">
        <v>72</v>
      </c>
      <c r="I59" s="3082" t="s">
        <v>126</v>
      </c>
      <c r="J59" s="258" t="s">
        <v>75</v>
      </c>
      <c r="K59" s="1627">
        <f>32.2/3.4528*1000</f>
        <v>9326</v>
      </c>
      <c r="L59" s="2690" t="s">
        <v>286</v>
      </c>
      <c r="M59" s="220">
        <v>1</v>
      </c>
      <c r="O59" s="14"/>
    </row>
    <row r="60" spans="1:15" ht="24.75" customHeight="1" x14ac:dyDescent="0.2">
      <c r="A60" s="2757"/>
      <c r="B60" s="2727"/>
      <c r="C60" s="2991"/>
      <c r="D60" s="1857"/>
      <c r="E60" s="3077"/>
      <c r="F60" s="1862"/>
      <c r="G60" s="3079"/>
      <c r="H60" s="1833"/>
      <c r="I60" s="3083"/>
      <c r="J60" s="20" t="s">
        <v>108</v>
      </c>
      <c r="K60" s="1638">
        <v>5257</v>
      </c>
      <c r="L60" s="2763"/>
      <c r="M60" s="1496"/>
      <c r="O60" s="14"/>
    </row>
    <row r="61" spans="1:15" ht="29.25" customHeight="1" x14ac:dyDescent="0.2">
      <c r="A61" s="2757"/>
      <c r="B61" s="2727"/>
      <c r="C61" s="2991"/>
      <c r="D61" s="1857"/>
      <c r="E61" s="1032" t="s">
        <v>380</v>
      </c>
      <c r="F61" s="1862"/>
      <c r="G61" s="3079"/>
      <c r="H61" s="1833"/>
      <c r="I61" s="3081" t="s">
        <v>125</v>
      </c>
      <c r="J61" s="676" t="s">
        <v>58</v>
      </c>
      <c r="K61" s="1628">
        <f>50/3.4528*1000</f>
        <v>14481</v>
      </c>
      <c r="L61" s="627" t="s">
        <v>247</v>
      </c>
      <c r="M61" s="889"/>
      <c r="O61" s="14"/>
    </row>
    <row r="62" spans="1:15" ht="15" customHeight="1" x14ac:dyDescent="0.2">
      <c r="A62" s="1835"/>
      <c r="B62" s="1829"/>
      <c r="C62" s="1882"/>
      <c r="D62" s="1872"/>
      <c r="E62" s="1184" t="s">
        <v>307</v>
      </c>
      <c r="F62" s="1432"/>
      <c r="G62" s="3080"/>
      <c r="H62" s="1838"/>
      <c r="I62" s="3004"/>
      <c r="J62" s="246" t="s">
        <v>58</v>
      </c>
      <c r="K62" s="1616">
        <f>472.1/3.4528*1000</f>
        <v>136730</v>
      </c>
      <c r="L62" s="1843" t="s">
        <v>308</v>
      </c>
      <c r="M62" s="365">
        <v>100</v>
      </c>
      <c r="O62" s="14"/>
    </row>
    <row r="63" spans="1:15" ht="39.75" customHeight="1" x14ac:dyDescent="0.2">
      <c r="A63" s="1835"/>
      <c r="B63" s="1829"/>
      <c r="C63" s="1882"/>
      <c r="D63" s="654" t="s">
        <v>45</v>
      </c>
      <c r="E63" s="565" t="s">
        <v>257</v>
      </c>
      <c r="F63" s="1185"/>
      <c r="G63" s="1892" t="s">
        <v>352</v>
      </c>
      <c r="H63" s="1883" t="s">
        <v>57</v>
      </c>
      <c r="I63" s="1201" t="s">
        <v>129</v>
      </c>
      <c r="J63" s="38" t="s">
        <v>42</v>
      </c>
      <c r="K63" s="1639">
        <f>10/3.4528*1000</f>
        <v>2896</v>
      </c>
      <c r="L63" s="1441" t="s">
        <v>258</v>
      </c>
      <c r="M63" s="801">
        <v>1</v>
      </c>
    </row>
    <row r="64" spans="1:15" ht="15.75" customHeight="1" thickBot="1" x14ac:dyDescent="0.25">
      <c r="A64" s="1835"/>
      <c r="B64" s="1829"/>
      <c r="C64" s="1882"/>
      <c r="D64" s="754"/>
      <c r="E64" s="3062"/>
      <c r="F64" s="3062"/>
      <c r="G64" s="3062"/>
      <c r="H64" s="3062"/>
      <c r="I64" s="3005" t="s">
        <v>112</v>
      </c>
      <c r="J64" s="3006"/>
      <c r="K64" s="1640">
        <f>SUM(K56:K63)</f>
        <v>183171</v>
      </c>
      <c r="L64" s="429"/>
      <c r="M64" s="431"/>
    </row>
    <row r="65" spans="1:15" ht="32.25" customHeight="1" x14ac:dyDescent="0.2">
      <c r="A65" s="1846" t="s">
        <v>8</v>
      </c>
      <c r="B65" s="1848" t="s">
        <v>8</v>
      </c>
      <c r="C65" s="1875" t="s">
        <v>54</v>
      </c>
      <c r="D65" s="700"/>
      <c r="E65" s="1722" t="s">
        <v>127</v>
      </c>
      <c r="F65" s="820" t="s">
        <v>206</v>
      </c>
      <c r="G65" s="682"/>
      <c r="H65" s="622"/>
      <c r="I65" s="683"/>
      <c r="J65" s="74"/>
      <c r="K65" s="1625"/>
      <c r="L65" s="1863"/>
      <c r="M65" s="46"/>
    </row>
    <row r="66" spans="1:15" ht="16.5" customHeight="1" x14ac:dyDescent="0.2">
      <c r="A66" s="2757"/>
      <c r="B66" s="2727"/>
      <c r="C66" s="2991"/>
      <c r="D66" s="3063" t="s">
        <v>8</v>
      </c>
      <c r="E66" s="2703" t="s">
        <v>278</v>
      </c>
      <c r="F66" s="777" t="s">
        <v>79</v>
      </c>
      <c r="G66" s="3066" t="s">
        <v>353</v>
      </c>
      <c r="H66" s="2710" t="s">
        <v>72</v>
      </c>
      <c r="I66" s="3037" t="s">
        <v>126</v>
      </c>
      <c r="J66" s="740" t="s">
        <v>77</v>
      </c>
      <c r="K66" s="1619">
        <f>(199.4+217.8)/3.4528*1000</f>
        <v>120829</v>
      </c>
      <c r="L66" s="2690" t="s">
        <v>267</v>
      </c>
      <c r="M66" s="3050" t="s">
        <v>188</v>
      </c>
      <c r="O66" s="775"/>
    </row>
    <row r="67" spans="1:15" ht="21" customHeight="1" x14ac:dyDescent="0.2">
      <c r="A67" s="2757"/>
      <c r="B67" s="2727"/>
      <c r="C67" s="2991"/>
      <c r="D67" s="3064"/>
      <c r="E67" s="2704"/>
      <c r="F67" s="1497"/>
      <c r="G67" s="3053"/>
      <c r="H67" s="2711"/>
      <c r="I67" s="3012"/>
      <c r="J67" s="1746" t="s">
        <v>75</v>
      </c>
      <c r="K67" s="1747">
        <v>191149</v>
      </c>
      <c r="L67" s="2692"/>
      <c r="M67" s="3051"/>
      <c r="O67" s="775"/>
    </row>
    <row r="68" spans="1:15" ht="30.75" customHeight="1" x14ac:dyDescent="0.2">
      <c r="A68" s="2757"/>
      <c r="B68" s="2727"/>
      <c r="C68" s="2991"/>
      <c r="D68" s="3065"/>
      <c r="E68" s="2705"/>
      <c r="F68" s="1698"/>
      <c r="G68" s="3054"/>
      <c r="H68" s="2715"/>
      <c r="I68" s="3067"/>
      <c r="J68" s="40" t="s">
        <v>80</v>
      </c>
      <c r="K68" s="1616">
        <v>23199</v>
      </c>
      <c r="L68" s="2691"/>
      <c r="M68" s="3052"/>
      <c r="O68" s="775"/>
    </row>
    <row r="69" spans="1:15" ht="27" customHeight="1" x14ac:dyDescent="0.2">
      <c r="A69" s="2757"/>
      <c r="B69" s="2727"/>
      <c r="C69" s="2991"/>
      <c r="D69" s="1886" t="s">
        <v>10</v>
      </c>
      <c r="E69" s="2704" t="s">
        <v>294</v>
      </c>
      <c r="F69" s="2716" t="s">
        <v>79</v>
      </c>
      <c r="G69" s="3053" t="s">
        <v>354</v>
      </c>
      <c r="H69" s="2711" t="s">
        <v>72</v>
      </c>
      <c r="I69" s="3058" t="s">
        <v>126</v>
      </c>
      <c r="J69" s="783" t="s">
        <v>74</v>
      </c>
      <c r="K69" s="1614">
        <f>6842.4/3.4528*1000</f>
        <v>1981696</v>
      </c>
      <c r="L69" s="2784" t="s">
        <v>320</v>
      </c>
      <c r="M69" s="1598">
        <v>100</v>
      </c>
    </row>
    <row r="70" spans="1:15" ht="26.25" customHeight="1" x14ac:dyDescent="0.2">
      <c r="A70" s="2757"/>
      <c r="B70" s="2727"/>
      <c r="C70" s="2991"/>
      <c r="D70" s="773"/>
      <c r="E70" s="2705"/>
      <c r="F70" s="2707"/>
      <c r="G70" s="3054"/>
      <c r="H70" s="2715"/>
      <c r="I70" s="3059"/>
      <c r="J70" s="40" t="s">
        <v>80</v>
      </c>
      <c r="K70" s="1578">
        <f>1701.8/3.4528*1000</f>
        <v>492875</v>
      </c>
      <c r="L70" s="2937"/>
      <c r="M70" s="479"/>
    </row>
    <row r="71" spans="1:15" ht="14.25" customHeight="1" thickBot="1" x14ac:dyDescent="0.25">
      <c r="A71" s="1835"/>
      <c r="B71" s="1829"/>
      <c r="C71" s="1882"/>
      <c r="D71" s="441"/>
      <c r="E71" s="3049"/>
      <c r="F71" s="3049"/>
      <c r="G71" s="3049"/>
      <c r="H71" s="3049"/>
      <c r="I71" s="3060" t="s">
        <v>112</v>
      </c>
      <c r="J71" s="3061"/>
      <c r="K71" s="1621">
        <f>SUM(K66:K70)</f>
        <v>2809748</v>
      </c>
      <c r="L71" s="402"/>
      <c r="M71" s="404"/>
    </row>
    <row r="72" spans="1:15" s="73" customFormat="1" ht="17.25" customHeight="1" x14ac:dyDescent="0.2">
      <c r="A72" s="2755" t="s">
        <v>8</v>
      </c>
      <c r="B72" s="2847" t="s">
        <v>8</v>
      </c>
      <c r="C72" s="2854" t="s">
        <v>55</v>
      </c>
      <c r="D72" s="2854"/>
      <c r="E72" s="2857" t="s">
        <v>144</v>
      </c>
      <c r="F72" s="2781"/>
      <c r="G72" s="3138" t="s">
        <v>355</v>
      </c>
      <c r="H72" s="2738" t="s">
        <v>72</v>
      </c>
      <c r="I72" s="3140" t="s">
        <v>125</v>
      </c>
      <c r="J72" s="1700" t="s">
        <v>42</v>
      </c>
      <c r="K72" s="1699">
        <f>10/3.4528*1000</f>
        <v>2896</v>
      </c>
      <c r="L72" s="3143"/>
      <c r="M72" s="72"/>
    </row>
    <row r="73" spans="1:15" ht="18.75" customHeight="1" x14ac:dyDescent="0.2">
      <c r="A73" s="2757"/>
      <c r="B73" s="2727"/>
      <c r="C73" s="2855"/>
      <c r="D73" s="2855"/>
      <c r="E73" s="2704"/>
      <c r="F73" s="2782"/>
      <c r="G73" s="3053"/>
      <c r="H73" s="2711"/>
      <c r="I73" s="3141"/>
      <c r="J73" s="40"/>
      <c r="K73" s="1578"/>
      <c r="L73" s="2862"/>
      <c r="M73" s="46"/>
    </row>
    <row r="74" spans="1:15" ht="16.5" customHeight="1" thickBot="1" x14ac:dyDescent="0.25">
      <c r="A74" s="2756"/>
      <c r="B74" s="2728"/>
      <c r="C74" s="2856"/>
      <c r="D74" s="2856"/>
      <c r="E74" s="2858"/>
      <c r="F74" s="2783"/>
      <c r="G74" s="3139"/>
      <c r="H74" s="2739"/>
      <c r="I74" s="3142"/>
      <c r="J74" s="1556" t="s">
        <v>9</v>
      </c>
      <c r="K74" s="1621">
        <f>SUM(K72:K73)</f>
        <v>2896</v>
      </c>
      <c r="L74" s="18"/>
      <c r="M74" s="57"/>
    </row>
    <row r="75" spans="1:15" ht="17.25" customHeight="1" thickBot="1" x14ac:dyDescent="0.25">
      <c r="A75" s="382" t="s">
        <v>8</v>
      </c>
      <c r="B75" s="11" t="s">
        <v>8</v>
      </c>
      <c r="C75" s="2730" t="s">
        <v>11</v>
      </c>
      <c r="D75" s="2730"/>
      <c r="E75" s="2730"/>
      <c r="F75" s="2730"/>
      <c r="G75" s="2730"/>
      <c r="H75" s="2730"/>
      <c r="I75" s="2730"/>
      <c r="J75" s="2731"/>
      <c r="K75" s="1641">
        <f>K74+K71+K46+K40+K27+K64+K54</f>
        <v>4185281</v>
      </c>
      <c r="L75" s="1854"/>
      <c r="M75" s="59"/>
    </row>
    <row r="76" spans="1:15" ht="19.5" customHeight="1" thickBot="1" x14ac:dyDescent="0.25">
      <c r="A76" s="382" t="s">
        <v>8</v>
      </c>
      <c r="B76" s="11" t="s">
        <v>10</v>
      </c>
      <c r="C76" s="2770" t="s">
        <v>49</v>
      </c>
      <c r="D76" s="2770"/>
      <c r="E76" s="2770"/>
      <c r="F76" s="2770"/>
      <c r="G76" s="2770"/>
      <c r="H76" s="2770"/>
      <c r="I76" s="2770"/>
      <c r="J76" s="2770"/>
      <c r="K76" s="2771"/>
      <c r="L76" s="2770"/>
      <c r="M76" s="2772"/>
    </row>
    <row r="77" spans="1:15" ht="28.5" customHeight="1" x14ac:dyDescent="0.2">
      <c r="A77" s="1835" t="s">
        <v>8</v>
      </c>
      <c r="B77" s="1829" t="s">
        <v>10</v>
      </c>
      <c r="C77" s="1869" t="s">
        <v>8</v>
      </c>
      <c r="D77" s="682"/>
      <c r="E77" s="630" t="s">
        <v>99</v>
      </c>
      <c r="F77" s="1557" t="s">
        <v>316</v>
      </c>
      <c r="G77" s="1558"/>
      <c r="H77" s="622"/>
      <c r="I77" s="832"/>
      <c r="J77" s="1559"/>
      <c r="K77" s="1560"/>
      <c r="L77" s="1561"/>
      <c r="M77" s="1600"/>
      <c r="O77" s="14"/>
    </row>
    <row r="78" spans="1:15" ht="12" customHeight="1" x14ac:dyDescent="0.2">
      <c r="A78" s="1835"/>
      <c r="B78" s="1829"/>
      <c r="C78" s="1869"/>
      <c r="D78" s="1857" t="s">
        <v>8</v>
      </c>
      <c r="E78" s="1865" t="s">
        <v>87</v>
      </c>
      <c r="F78" s="1861"/>
      <c r="G78" s="3144">
        <v>6010303</v>
      </c>
      <c r="H78" s="1833"/>
      <c r="I78" s="3058" t="s">
        <v>128</v>
      </c>
      <c r="J78" s="242"/>
      <c r="K78" s="470"/>
      <c r="L78" s="466"/>
      <c r="M78" s="479"/>
      <c r="O78" s="14"/>
    </row>
    <row r="79" spans="1:15" ht="18.75" customHeight="1" x14ac:dyDescent="0.2">
      <c r="A79" s="1835"/>
      <c r="B79" s="1829"/>
      <c r="C79" s="1869"/>
      <c r="D79" s="1857"/>
      <c r="E79" s="2703" t="s">
        <v>148</v>
      </c>
      <c r="F79" s="1701"/>
      <c r="G79" s="3145"/>
      <c r="H79" s="1833" t="s">
        <v>57</v>
      </c>
      <c r="I79" s="3058"/>
      <c r="J79" s="590" t="s">
        <v>42</v>
      </c>
      <c r="K79" s="1633">
        <f>16592.9/3.4528*1000</f>
        <v>4805636</v>
      </c>
      <c r="L79" s="2692" t="s">
        <v>67</v>
      </c>
      <c r="M79" s="1496">
        <v>5</v>
      </c>
      <c r="O79" s="14"/>
    </row>
    <row r="80" spans="1:15" ht="14.25" customHeight="1" x14ac:dyDescent="0.2">
      <c r="A80" s="1835"/>
      <c r="B80" s="1829"/>
      <c r="C80" s="1869"/>
      <c r="D80" s="1857"/>
      <c r="E80" s="2705"/>
      <c r="F80" s="1701"/>
      <c r="G80" s="3145"/>
      <c r="H80" s="1833"/>
      <c r="I80" s="3058"/>
      <c r="J80" s="592" t="s">
        <v>108</v>
      </c>
      <c r="K80" s="1642"/>
      <c r="L80" s="2693"/>
      <c r="M80" s="365"/>
      <c r="O80" s="14"/>
    </row>
    <row r="81" spans="1:15" ht="27.75" customHeight="1" x14ac:dyDescent="0.2">
      <c r="A81" s="1835"/>
      <c r="B81" s="1829"/>
      <c r="C81" s="1869"/>
      <c r="D81" s="1857"/>
      <c r="E81" s="1858" t="s">
        <v>149</v>
      </c>
      <c r="F81" s="1701"/>
      <c r="G81" s="3145"/>
      <c r="H81" s="1833"/>
      <c r="I81" s="3058"/>
      <c r="J81" s="240" t="s">
        <v>42</v>
      </c>
      <c r="K81" s="1643">
        <f>45/3.4528*1000</f>
        <v>13033</v>
      </c>
      <c r="L81" s="1065" t="s">
        <v>235</v>
      </c>
      <c r="M81" s="589">
        <v>3</v>
      </c>
      <c r="O81" s="14"/>
    </row>
    <row r="82" spans="1:15" ht="28.5" customHeight="1" x14ac:dyDescent="0.2">
      <c r="A82" s="1835"/>
      <c r="B82" s="1829"/>
      <c r="C82" s="1869"/>
      <c r="D82" s="1857"/>
      <c r="E82" s="1831" t="s">
        <v>150</v>
      </c>
      <c r="F82" s="1861"/>
      <c r="G82" s="3146"/>
      <c r="H82" s="1833"/>
      <c r="I82" s="465"/>
      <c r="J82" s="240" t="s">
        <v>42</v>
      </c>
      <c r="K82" s="1643">
        <v>141987</v>
      </c>
      <c r="L82" s="1879" t="s">
        <v>234</v>
      </c>
      <c r="M82" s="211">
        <v>6</v>
      </c>
      <c r="N82" s="1731"/>
      <c r="O82" s="14"/>
    </row>
    <row r="83" spans="1:15" ht="16.5" customHeight="1" x14ac:dyDescent="0.2">
      <c r="A83" s="2757"/>
      <c r="B83" s="2727"/>
      <c r="C83" s="2991"/>
      <c r="D83" s="3030" t="s">
        <v>10</v>
      </c>
      <c r="E83" s="2926" t="s">
        <v>68</v>
      </c>
      <c r="F83" s="3055"/>
      <c r="G83" s="3056">
        <v>6010301</v>
      </c>
      <c r="H83" s="2710" t="s">
        <v>57</v>
      </c>
      <c r="I83" s="3003" t="s">
        <v>128</v>
      </c>
      <c r="J83" s="601" t="s">
        <v>42</v>
      </c>
      <c r="K83" s="1632">
        <f>189/3.4528*1000</f>
        <v>54738</v>
      </c>
      <c r="L83" s="2690" t="s">
        <v>92</v>
      </c>
      <c r="M83" s="3147">
        <v>6.8</v>
      </c>
      <c r="O83" s="14"/>
    </row>
    <row r="84" spans="1:15" ht="29.25" customHeight="1" x14ac:dyDescent="0.2">
      <c r="A84" s="2757"/>
      <c r="B84" s="2727"/>
      <c r="C84" s="2991"/>
      <c r="D84" s="3031"/>
      <c r="E84" s="2965"/>
      <c r="F84" s="3041"/>
      <c r="G84" s="3057"/>
      <c r="H84" s="2715"/>
      <c r="I84" s="3004"/>
      <c r="J84" s="242" t="s">
        <v>108</v>
      </c>
      <c r="K84" s="1634"/>
      <c r="L84" s="2691"/>
      <c r="M84" s="3148"/>
      <c r="O84" s="14"/>
    </row>
    <row r="85" spans="1:15" ht="29.25" customHeight="1" x14ac:dyDescent="0.2">
      <c r="A85" s="2757"/>
      <c r="B85" s="2727"/>
      <c r="C85" s="2991"/>
      <c r="D85" s="2855" t="s">
        <v>45</v>
      </c>
      <c r="E85" s="2786" t="s">
        <v>279</v>
      </c>
      <c r="F85" s="2748"/>
      <c r="G85" s="3149">
        <v>6010303</v>
      </c>
      <c r="H85" s="2711" t="s">
        <v>57</v>
      </c>
      <c r="I85" s="3058" t="s">
        <v>128</v>
      </c>
      <c r="J85" s="885" t="s">
        <v>108</v>
      </c>
      <c r="K85" s="1715">
        <v>3717</v>
      </c>
      <c r="L85" s="2701" t="s">
        <v>70</v>
      </c>
      <c r="M85" s="211">
        <v>3</v>
      </c>
      <c r="O85" s="14"/>
    </row>
    <row r="86" spans="1:15" ht="21" customHeight="1" x14ac:dyDescent="0.2">
      <c r="A86" s="2757"/>
      <c r="B86" s="2727"/>
      <c r="C86" s="2991"/>
      <c r="D86" s="3031"/>
      <c r="E86" s="2965"/>
      <c r="F86" s="3041"/>
      <c r="G86" s="3057"/>
      <c r="H86" s="2715"/>
      <c r="I86" s="3074"/>
      <c r="J86" s="242" t="s">
        <v>42</v>
      </c>
      <c r="K86" s="1634">
        <v>2823</v>
      </c>
      <c r="L86" s="3150"/>
      <c r="M86" s="440"/>
      <c r="N86" s="130"/>
      <c r="O86" s="130"/>
    </row>
    <row r="87" spans="1:15" ht="14.25" customHeight="1" x14ac:dyDescent="0.2">
      <c r="A87" s="2757"/>
      <c r="B87" s="2727"/>
      <c r="C87" s="2991"/>
      <c r="D87" s="3030" t="s">
        <v>50</v>
      </c>
      <c r="E87" s="2926" t="s">
        <v>145</v>
      </c>
      <c r="F87" s="3055"/>
      <c r="G87" s="3056">
        <v>6010308</v>
      </c>
      <c r="H87" s="2710" t="s">
        <v>57</v>
      </c>
      <c r="I87" s="3058"/>
      <c r="J87" s="601" t="s">
        <v>122</v>
      </c>
      <c r="K87" s="1644">
        <f>500/3.4528*1000</f>
        <v>144810</v>
      </c>
      <c r="L87" s="2796" t="s">
        <v>119</v>
      </c>
      <c r="M87" s="220">
        <v>36</v>
      </c>
      <c r="O87" s="14"/>
    </row>
    <row r="88" spans="1:15" ht="30" customHeight="1" x14ac:dyDescent="0.2">
      <c r="A88" s="2757"/>
      <c r="B88" s="2727"/>
      <c r="C88" s="2991"/>
      <c r="D88" s="3031"/>
      <c r="E88" s="2965"/>
      <c r="F88" s="3041"/>
      <c r="G88" s="3057"/>
      <c r="H88" s="2715"/>
      <c r="I88" s="3059"/>
      <c r="J88" s="242" t="s">
        <v>133</v>
      </c>
      <c r="K88" s="1634"/>
      <c r="L88" s="3137"/>
      <c r="M88" s="365"/>
      <c r="O88" s="14"/>
    </row>
    <row r="89" spans="1:15" ht="14.25" customHeight="1" thickBot="1" x14ac:dyDescent="0.25">
      <c r="A89" s="1835"/>
      <c r="B89" s="1829"/>
      <c r="C89" s="1882"/>
      <c r="D89" s="441"/>
      <c r="E89" s="3049"/>
      <c r="F89" s="3049"/>
      <c r="G89" s="3049"/>
      <c r="H89" s="3049"/>
      <c r="I89" s="3060" t="s">
        <v>112</v>
      </c>
      <c r="J89" s="3123"/>
      <c r="K89" s="1645">
        <f>SUM(K79:K88)</f>
        <v>5166744</v>
      </c>
      <c r="L89" s="429"/>
      <c r="M89" s="437"/>
      <c r="O89" s="14"/>
    </row>
    <row r="90" spans="1:15" ht="17.25" customHeight="1" thickBot="1" x14ac:dyDescent="0.25">
      <c r="A90" s="383" t="s">
        <v>8</v>
      </c>
      <c r="B90" s="11" t="s">
        <v>10</v>
      </c>
      <c r="C90" s="2730" t="s">
        <v>11</v>
      </c>
      <c r="D90" s="2730"/>
      <c r="E90" s="2730"/>
      <c r="F90" s="2730"/>
      <c r="G90" s="2730"/>
      <c r="H90" s="2730"/>
      <c r="I90" s="2730"/>
      <c r="J90" s="2731"/>
      <c r="K90" s="1646">
        <f t="shared" ref="K90" si="0">K89</f>
        <v>5166744</v>
      </c>
      <c r="L90" s="2725"/>
      <c r="M90" s="2726"/>
    </row>
    <row r="91" spans="1:15" ht="16.5" customHeight="1" thickBot="1" x14ac:dyDescent="0.25">
      <c r="A91" s="382" t="s">
        <v>8</v>
      </c>
      <c r="B91" s="11" t="s">
        <v>45</v>
      </c>
      <c r="C91" s="2820" t="s">
        <v>51</v>
      </c>
      <c r="D91" s="2821"/>
      <c r="E91" s="2821"/>
      <c r="F91" s="2821"/>
      <c r="G91" s="2821"/>
      <c r="H91" s="2821"/>
      <c r="I91" s="2821"/>
      <c r="J91" s="2821"/>
      <c r="K91" s="2821"/>
      <c r="L91" s="2821"/>
      <c r="M91" s="2822"/>
    </row>
    <row r="92" spans="1:15" ht="39.75" customHeight="1" x14ac:dyDescent="0.2">
      <c r="A92" s="2755" t="s">
        <v>8</v>
      </c>
      <c r="B92" s="2847" t="s">
        <v>45</v>
      </c>
      <c r="C92" s="2990" t="s">
        <v>8</v>
      </c>
      <c r="D92" s="632"/>
      <c r="E92" s="630" t="s">
        <v>317</v>
      </c>
      <c r="F92" s="1564" t="s">
        <v>141</v>
      </c>
      <c r="G92" s="621"/>
      <c r="H92" s="1172"/>
      <c r="I92" s="631"/>
      <c r="J92" s="19"/>
      <c r="K92" s="23"/>
      <c r="L92" s="545"/>
      <c r="M92" s="687"/>
      <c r="O92" s="14"/>
    </row>
    <row r="93" spans="1:15" ht="13.5" customHeight="1" x14ac:dyDescent="0.2">
      <c r="A93" s="2757"/>
      <c r="B93" s="2727"/>
      <c r="C93" s="2991"/>
      <c r="D93" s="1857" t="s">
        <v>8</v>
      </c>
      <c r="E93" s="2704" t="s">
        <v>116</v>
      </c>
      <c r="F93" s="1719"/>
      <c r="G93" s="3001" t="s">
        <v>356</v>
      </c>
      <c r="H93" s="1832" t="s">
        <v>57</v>
      </c>
      <c r="I93" s="3151" t="s">
        <v>132</v>
      </c>
      <c r="J93" s="512" t="s">
        <v>58</v>
      </c>
      <c r="K93" s="1624">
        <f>525.9/3.4528*1000</f>
        <v>152311</v>
      </c>
      <c r="L93" s="523" t="s">
        <v>152</v>
      </c>
      <c r="M93" s="525">
        <v>2</v>
      </c>
      <c r="O93" s="14"/>
    </row>
    <row r="94" spans="1:15" ht="26.25" customHeight="1" x14ac:dyDescent="0.2">
      <c r="A94" s="2757"/>
      <c r="B94" s="2727"/>
      <c r="C94" s="2991"/>
      <c r="D94" s="1857"/>
      <c r="E94" s="2704"/>
      <c r="F94" s="3154" t="s">
        <v>137</v>
      </c>
      <c r="G94" s="3014"/>
      <c r="H94" s="1833"/>
      <c r="I94" s="3152"/>
      <c r="J94" s="836" t="s">
        <v>122</v>
      </c>
      <c r="K94" s="1624">
        <f>364.8/3.4528*1000</f>
        <v>105653</v>
      </c>
      <c r="L94" s="988" t="s">
        <v>153</v>
      </c>
      <c r="M94" s="990">
        <v>1</v>
      </c>
      <c r="O94" s="14"/>
    </row>
    <row r="95" spans="1:15" ht="14.25" customHeight="1" x14ac:dyDescent="0.2">
      <c r="A95" s="2757"/>
      <c r="B95" s="2727"/>
      <c r="C95" s="2991"/>
      <c r="D95" s="1857"/>
      <c r="E95" s="2704"/>
      <c r="F95" s="2995"/>
      <c r="G95" s="3014"/>
      <c r="H95" s="1833"/>
      <c r="I95" s="3152"/>
      <c r="J95" s="1463"/>
      <c r="K95" s="1776"/>
      <c r="L95" s="1732" t="s">
        <v>59</v>
      </c>
      <c r="M95" s="1777">
        <v>67</v>
      </c>
      <c r="O95" s="14"/>
    </row>
    <row r="96" spans="1:15" ht="15" customHeight="1" x14ac:dyDescent="0.2">
      <c r="A96" s="2757"/>
      <c r="B96" s="2727"/>
      <c r="C96" s="2991"/>
      <c r="D96" s="1857"/>
      <c r="E96" s="1834"/>
      <c r="F96" s="1895"/>
      <c r="G96" s="1891"/>
      <c r="H96" s="982"/>
      <c r="I96" s="3152"/>
      <c r="J96" s="1463" t="s">
        <v>133</v>
      </c>
      <c r="K96" s="1776">
        <v>65825</v>
      </c>
      <c r="L96" s="209" t="s">
        <v>336</v>
      </c>
      <c r="M96" s="1957">
        <v>2</v>
      </c>
      <c r="O96" s="14"/>
    </row>
    <row r="97" spans="1:15" ht="15" customHeight="1" x14ac:dyDescent="0.2">
      <c r="A97" s="2757"/>
      <c r="B97" s="2727"/>
      <c r="C97" s="2991"/>
      <c r="D97" s="1870" t="s">
        <v>10</v>
      </c>
      <c r="E97" s="2703" t="s">
        <v>117</v>
      </c>
      <c r="F97" s="3042" t="s">
        <v>137</v>
      </c>
      <c r="G97" s="3019" t="s">
        <v>357</v>
      </c>
      <c r="H97" s="710" t="s">
        <v>57</v>
      </c>
      <c r="I97" s="3153"/>
      <c r="J97" s="1079" t="s">
        <v>58</v>
      </c>
      <c r="K97" s="1725">
        <v>174911</v>
      </c>
      <c r="L97" s="768" t="s">
        <v>164</v>
      </c>
      <c r="M97" s="1778">
        <v>0.5</v>
      </c>
      <c r="O97" s="14"/>
    </row>
    <row r="98" spans="1:15" ht="21.75" customHeight="1" x14ac:dyDescent="0.2">
      <c r="A98" s="2757"/>
      <c r="B98" s="2727"/>
      <c r="C98" s="2991"/>
      <c r="D98" s="1857"/>
      <c r="E98" s="2929"/>
      <c r="F98" s="3043"/>
      <c r="G98" s="3044"/>
      <c r="H98" s="982"/>
      <c r="I98" s="1867"/>
      <c r="J98" s="20"/>
      <c r="K98" s="1651"/>
      <c r="L98" s="1863"/>
      <c r="M98" s="508"/>
      <c r="O98" s="14"/>
    </row>
    <row r="99" spans="1:15" ht="23.25" customHeight="1" x14ac:dyDescent="0.2">
      <c r="A99" s="2757"/>
      <c r="B99" s="2727"/>
      <c r="C99" s="2991"/>
      <c r="D99" s="3063" t="s">
        <v>45</v>
      </c>
      <c r="E99" s="3070" t="s">
        <v>328</v>
      </c>
      <c r="F99" s="2960" t="s">
        <v>79</v>
      </c>
      <c r="G99" s="3155" t="s">
        <v>358</v>
      </c>
      <c r="H99" s="2961" t="s">
        <v>72</v>
      </c>
      <c r="I99" s="3016" t="s">
        <v>125</v>
      </c>
      <c r="J99" s="740" t="s">
        <v>58</v>
      </c>
      <c r="K99" s="1615">
        <f>30/3.4528*1000</f>
        <v>8689</v>
      </c>
      <c r="L99" s="657" t="s">
        <v>76</v>
      </c>
      <c r="M99" s="807">
        <v>1</v>
      </c>
    </row>
    <row r="100" spans="1:15" ht="21" customHeight="1" x14ac:dyDescent="0.2">
      <c r="A100" s="2757"/>
      <c r="B100" s="2727"/>
      <c r="C100" s="2991"/>
      <c r="D100" s="3065"/>
      <c r="E100" s="2764"/>
      <c r="F100" s="2765"/>
      <c r="G100" s="3156"/>
      <c r="H100" s="2767"/>
      <c r="I100" s="3113"/>
      <c r="J100" s="40" t="s">
        <v>75</v>
      </c>
      <c r="K100" s="1578"/>
      <c r="L100" s="1880" t="s">
        <v>223</v>
      </c>
      <c r="M100" s="365"/>
      <c r="O100" s="14"/>
    </row>
    <row r="101" spans="1:15" ht="42.75" customHeight="1" x14ac:dyDescent="0.2">
      <c r="A101" s="2757"/>
      <c r="B101" s="2727"/>
      <c r="C101" s="2991"/>
      <c r="D101" s="663" t="s">
        <v>50</v>
      </c>
      <c r="E101" s="1887" t="s">
        <v>296</v>
      </c>
      <c r="F101" s="813"/>
      <c r="G101" s="1720" t="s">
        <v>359</v>
      </c>
      <c r="H101" s="1838" t="s">
        <v>57</v>
      </c>
      <c r="I101" s="1111" t="s">
        <v>129</v>
      </c>
      <c r="J101" s="666" t="s">
        <v>42</v>
      </c>
      <c r="K101" s="1616">
        <f>18/3.4528*1000</f>
        <v>5213</v>
      </c>
      <c r="L101" s="669" t="s">
        <v>186</v>
      </c>
      <c r="M101" s="626">
        <v>3</v>
      </c>
    </row>
    <row r="102" spans="1:15" ht="15" customHeight="1" thickBot="1" x14ac:dyDescent="0.25">
      <c r="A102" s="2756"/>
      <c r="B102" s="2728"/>
      <c r="C102" s="2993"/>
      <c r="D102" s="441"/>
      <c r="E102" s="3049"/>
      <c r="F102" s="3049"/>
      <c r="G102" s="3049"/>
      <c r="H102" s="3049"/>
      <c r="I102" s="3060" t="s">
        <v>112</v>
      </c>
      <c r="J102" s="3061"/>
      <c r="K102" s="1647">
        <f>SUM(K92:K101)</f>
        <v>512602</v>
      </c>
      <c r="L102" s="443"/>
      <c r="M102" s="445"/>
      <c r="O102" s="14"/>
    </row>
    <row r="103" spans="1:15" ht="20.25" customHeight="1" x14ac:dyDescent="0.2">
      <c r="A103" s="2755" t="s">
        <v>8</v>
      </c>
      <c r="B103" s="2847" t="s">
        <v>45</v>
      </c>
      <c r="C103" s="2990" t="s">
        <v>10</v>
      </c>
      <c r="D103" s="1856"/>
      <c r="E103" s="2743" t="s">
        <v>60</v>
      </c>
      <c r="F103" s="1704"/>
      <c r="G103" s="3046" t="s">
        <v>360</v>
      </c>
      <c r="H103" s="1702" t="s">
        <v>57</v>
      </c>
      <c r="I103" s="3165" t="s">
        <v>166</v>
      </c>
      <c r="J103" s="841" t="s">
        <v>122</v>
      </c>
      <c r="K103" s="1577">
        <f>1110/3.4528*1000</f>
        <v>321478</v>
      </c>
      <c r="L103" s="2971" t="s">
        <v>86</v>
      </c>
      <c r="M103" s="3157">
        <v>155</v>
      </c>
      <c r="O103" s="14"/>
    </row>
    <row r="104" spans="1:15" ht="21" customHeight="1" x14ac:dyDescent="0.2">
      <c r="A104" s="2757"/>
      <c r="B104" s="2727"/>
      <c r="C104" s="2991"/>
      <c r="D104" s="1857"/>
      <c r="E104" s="3045"/>
      <c r="F104" s="3159"/>
      <c r="G104" s="3047"/>
      <c r="H104" s="1703"/>
      <c r="I104" s="3074"/>
      <c r="J104" s="842" t="s">
        <v>133</v>
      </c>
      <c r="K104" s="1578">
        <v>6482</v>
      </c>
      <c r="L104" s="2691"/>
      <c r="M104" s="3158"/>
      <c r="O104" s="14"/>
    </row>
    <row r="105" spans="1:15" ht="28.5" customHeight="1" x14ac:dyDescent="0.2">
      <c r="A105" s="2757"/>
      <c r="B105" s="2727"/>
      <c r="C105" s="2991"/>
      <c r="D105" s="1857"/>
      <c r="E105" s="3045"/>
      <c r="F105" s="3159"/>
      <c r="G105" s="3047"/>
      <c r="H105" s="1703"/>
      <c r="I105" s="3004"/>
      <c r="J105" s="840" t="s">
        <v>122</v>
      </c>
      <c r="K105" s="1579">
        <f>40/3.4528*1000</f>
        <v>11585</v>
      </c>
      <c r="L105" s="438" t="s">
        <v>183</v>
      </c>
      <c r="M105" s="554">
        <v>1</v>
      </c>
      <c r="O105" s="14"/>
    </row>
    <row r="106" spans="1:15" ht="27.75" customHeight="1" x14ac:dyDescent="0.2">
      <c r="A106" s="2757"/>
      <c r="B106" s="2727"/>
      <c r="C106" s="2991"/>
      <c r="D106" s="1857"/>
      <c r="E106" s="2935"/>
      <c r="F106" s="3160"/>
      <c r="G106" s="3047"/>
      <c r="H106" s="1703"/>
      <c r="I106" s="3161" t="s">
        <v>132</v>
      </c>
      <c r="J106" s="840" t="s">
        <v>122</v>
      </c>
      <c r="K106" s="1580">
        <f>50/3.4528*1000</f>
        <v>14481</v>
      </c>
      <c r="L106" s="539" t="s">
        <v>169</v>
      </c>
      <c r="M106" s="540">
        <v>487</v>
      </c>
      <c r="O106" s="14"/>
    </row>
    <row r="107" spans="1:15" ht="17.25" customHeight="1" x14ac:dyDescent="0.2">
      <c r="A107" s="2757"/>
      <c r="B107" s="2727"/>
      <c r="C107" s="2991"/>
      <c r="D107" s="1857"/>
      <c r="E107" s="1858"/>
      <c r="F107" s="3160"/>
      <c r="G107" s="3047"/>
      <c r="H107" s="1703"/>
      <c r="I107" s="3074"/>
      <c r="J107" s="840" t="s">
        <v>122</v>
      </c>
      <c r="K107" s="1580">
        <f>480.2/3.4528*1000</f>
        <v>139076</v>
      </c>
      <c r="L107" s="347" t="s">
        <v>301</v>
      </c>
      <c r="M107" s="554">
        <v>3</v>
      </c>
      <c r="O107" s="14"/>
    </row>
    <row r="108" spans="1:15" ht="25.5" customHeight="1" x14ac:dyDescent="0.2">
      <c r="A108" s="2757"/>
      <c r="B108" s="2727"/>
      <c r="C108" s="2991"/>
      <c r="D108" s="1872"/>
      <c r="E108" s="1873"/>
      <c r="F108" s="1705"/>
      <c r="G108" s="3048"/>
      <c r="H108" s="1572"/>
      <c r="I108" s="3004"/>
      <c r="J108" s="840" t="s">
        <v>122</v>
      </c>
      <c r="K108" s="1580">
        <f>50/3.4528*1000</f>
        <v>14481</v>
      </c>
      <c r="L108" s="347" t="s">
        <v>302</v>
      </c>
      <c r="M108" s="1602">
        <v>770</v>
      </c>
      <c r="O108" s="14"/>
    </row>
    <row r="109" spans="1:15" ht="15.75" customHeight="1" thickBot="1" x14ac:dyDescent="0.25">
      <c r="A109" s="2757"/>
      <c r="B109" s="2727"/>
      <c r="C109" s="2992"/>
      <c r="D109" s="446"/>
      <c r="E109" s="1569"/>
      <c r="F109" s="1570"/>
      <c r="G109" s="1571"/>
      <c r="H109" s="754"/>
      <c r="I109" s="3060" t="s">
        <v>112</v>
      </c>
      <c r="J109" s="3061"/>
      <c r="K109" s="1621">
        <f>SUM(K103:K108)</f>
        <v>507583</v>
      </c>
      <c r="L109" s="1566"/>
      <c r="M109" s="1603"/>
      <c r="O109" s="14"/>
    </row>
    <row r="110" spans="1:15" ht="27.75" customHeight="1" x14ac:dyDescent="0.2">
      <c r="A110" s="2755" t="s">
        <v>8</v>
      </c>
      <c r="B110" s="2847" t="s">
        <v>45</v>
      </c>
      <c r="C110" s="1875" t="s">
        <v>45</v>
      </c>
      <c r="D110" s="1850"/>
      <c r="E110" s="1864" t="s">
        <v>172</v>
      </c>
      <c r="F110" s="1706" t="s">
        <v>79</v>
      </c>
      <c r="G110" s="3162" t="s">
        <v>361</v>
      </c>
      <c r="H110" s="1852" t="s">
        <v>57</v>
      </c>
      <c r="I110" s="3164" t="s">
        <v>167</v>
      </c>
      <c r="J110" s="94" t="s">
        <v>122</v>
      </c>
      <c r="K110" s="1648">
        <f>200/3.4528*1000</f>
        <v>57924</v>
      </c>
      <c r="L110" s="1888" t="s">
        <v>175</v>
      </c>
      <c r="M110" s="1495">
        <v>1</v>
      </c>
      <c r="O110" s="14"/>
    </row>
    <row r="111" spans="1:15" ht="30" customHeight="1" x14ac:dyDescent="0.2">
      <c r="A111" s="2757"/>
      <c r="B111" s="2727"/>
      <c r="C111" s="1869"/>
      <c r="D111" s="1830"/>
      <c r="E111" s="1865"/>
      <c r="F111" s="1707"/>
      <c r="G111" s="3163"/>
      <c r="H111" s="1833"/>
      <c r="I111" s="3074"/>
      <c r="J111" s="992"/>
      <c r="K111" s="1692"/>
      <c r="L111" s="539" t="s">
        <v>177</v>
      </c>
      <c r="M111" s="589">
        <v>2</v>
      </c>
      <c r="O111" s="14"/>
    </row>
    <row r="112" spans="1:15" ht="27" customHeight="1" x14ac:dyDescent="0.2">
      <c r="A112" s="2757"/>
      <c r="B112" s="2727"/>
      <c r="C112" s="1869"/>
      <c r="D112" s="1872"/>
      <c r="E112" s="1575"/>
      <c r="F112" s="1871"/>
      <c r="G112" s="3002"/>
      <c r="H112" s="1838"/>
      <c r="I112" s="3004"/>
      <c r="J112" s="246"/>
      <c r="K112" s="1616"/>
      <c r="L112" s="539" t="s">
        <v>178</v>
      </c>
      <c r="M112" s="589">
        <v>1</v>
      </c>
      <c r="O112" s="14"/>
    </row>
    <row r="113" spans="1:15" ht="15" customHeight="1" thickBot="1" x14ac:dyDescent="0.25">
      <c r="A113" s="2756"/>
      <c r="B113" s="2728"/>
      <c r="C113" s="1876"/>
      <c r="D113" s="446"/>
      <c r="E113" s="1573"/>
      <c r="F113" s="1574"/>
      <c r="G113" s="1571"/>
      <c r="H113" s="446"/>
      <c r="I113" s="3060" t="s">
        <v>112</v>
      </c>
      <c r="J113" s="3061"/>
      <c r="K113" s="1621">
        <f>SUM(K110:K112)</f>
        <v>57924</v>
      </c>
      <c r="L113" s="1565"/>
      <c r="M113" s="437"/>
      <c r="O113" s="14"/>
    </row>
    <row r="114" spans="1:15" ht="28.5" customHeight="1" x14ac:dyDescent="0.2">
      <c r="A114" s="1835" t="s">
        <v>8</v>
      </c>
      <c r="B114" s="1829" t="s">
        <v>45</v>
      </c>
      <c r="C114" s="1869" t="s">
        <v>50</v>
      </c>
      <c r="D114" s="1878"/>
      <c r="E114" s="1724" t="s">
        <v>228</v>
      </c>
      <c r="F114" s="1861"/>
      <c r="G114" s="1868"/>
      <c r="H114" s="1833"/>
      <c r="I114" s="566"/>
      <c r="J114" s="246"/>
      <c r="K114" s="1649"/>
      <c r="L114" s="545"/>
      <c r="M114" s="687"/>
      <c r="O114" s="14"/>
    </row>
    <row r="115" spans="1:15" ht="37.5" customHeight="1" x14ac:dyDescent="0.2">
      <c r="A115" s="1828"/>
      <c r="B115" s="1829"/>
      <c r="C115" s="1869"/>
      <c r="D115" s="1878" t="s">
        <v>8</v>
      </c>
      <c r="E115" s="565" t="s">
        <v>219</v>
      </c>
      <c r="F115" s="567"/>
      <c r="G115" s="1892" t="s">
        <v>362</v>
      </c>
      <c r="H115" s="1883" t="s">
        <v>57</v>
      </c>
      <c r="I115" s="563" t="s">
        <v>167</v>
      </c>
      <c r="J115" s="840" t="s">
        <v>122</v>
      </c>
      <c r="K115" s="1580">
        <f>20/3.4528*1000</f>
        <v>5792</v>
      </c>
      <c r="L115" s="254" t="s">
        <v>236</v>
      </c>
      <c r="M115" s="1604">
        <v>1</v>
      </c>
      <c r="O115" s="14"/>
    </row>
    <row r="116" spans="1:15" ht="17.25" customHeight="1" x14ac:dyDescent="0.2">
      <c r="A116" s="1828"/>
      <c r="B116" s="1829"/>
      <c r="C116" s="1869"/>
      <c r="D116" s="2961" t="s">
        <v>10</v>
      </c>
      <c r="E116" s="3021" t="s">
        <v>387</v>
      </c>
      <c r="F116" s="3023" t="s">
        <v>214</v>
      </c>
      <c r="G116" s="3025" t="s">
        <v>363</v>
      </c>
      <c r="H116" s="3026" t="s">
        <v>57</v>
      </c>
      <c r="I116" s="3027" t="s">
        <v>132</v>
      </c>
      <c r="J116" s="1079" t="s">
        <v>122</v>
      </c>
      <c r="K116" s="1725">
        <v>85737</v>
      </c>
      <c r="L116" s="585" t="s">
        <v>76</v>
      </c>
      <c r="M116" s="1605">
        <v>1</v>
      </c>
      <c r="O116" s="14"/>
    </row>
    <row r="117" spans="1:15" ht="21" customHeight="1" x14ac:dyDescent="0.2">
      <c r="A117" s="1828"/>
      <c r="B117" s="1829"/>
      <c r="C117" s="1869"/>
      <c r="D117" s="2767"/>
      <c r="E117" s="3022"/>
      <c r="F117" s="3024"/>
      <c r="G117" s="3025"/>
      <c r="H117" s="3026"/>
      <c r="I117" s="3028"/>
      <c r="J117" s="246"/>
      <c r="K117" s="1616"/>
      <c r="L117" s="1567"/>
      <c r="M117" s="1606"/>
      <c r="O117" s="14"/>
    </row>
    <row r="118" spans="1:15" ht="15.75" customHeight="1" thickBot="1" x14ac:dyDescent="0.25">
      <c r="A118" s="1874"/>
      <c r="B118" s="1849"/>
      <c r="C118" s="446"/>
      <c r="D118" s="448"/>
      <c r="E118" s="448"/>
      <c r="F118" s="453"/>
      <c r="G118" s="453"/>
      <c r="H118" s="453"/>
      <c r="I118" s="3005" t="s">
        <v>112</v>
      </c>
      <c r="J118" s="3006"/>
      <c r="K118" s="1650">
        <f>SUM(K115:K117)</f>
        <v>91529</v>
      </c>
      <c r="L118" s="449"/>
      <c r="M118" s="1607"/>
      <c r="O118" s="14"/>
    </row>
    <row r="119" spans="1:15" ht="14.25" customHeight="1" x14ac:dyDescent="0.2">
      <c r="A119" s="2755" t="s">
        <v>8</v>
      </c>
      <c r="B119" s="2847" t="s">
        <v>45</v>
      </c>
      <c r="C119" s="2732" t="s">
        <v>52</v>
      </c>
      <c r="D119" s="2854"/>
      <c r="E119" s="2743" t="s">
        <v>81</v>
      </c>
      <c r="F119" s="3166" t="s">
        <v>135</v>
      </c>
      <c r="G119" s="3169" t="s">
        <v>364</v>
      </c>
      <c r="H119" s="2738" t="s">
        <v>98</v>
      </c>
      <c r="I119" s="3170" t="s">
        <v>113</v>
      </c>
      <c r="J119" s="94" t="s">
        <v>42</v>
      </c>
      <c r="K119" s="1617">
        <f>340/3.4528*1000</f>
        <v>98471</v>
      </c>
      <c r="L119" s="16" t="s">
        <v>121</v>
      </c>
      <c r="M119" s="1495">
        <v>18</v>
      </c>
      <c r="O119" s="14"/>
    </row>
    <row r="120" spans="1:15" ht="14.25" customHeight="1" x14ac:dyDescent="0.2">
      <c r="A120" s="2757"/>
      <c r="B120" s="2727"/>
      <c r="C120" s="2709"/>
      <c r="D120" s="2855"/>
      <c r="E120" s="2786"/>
      <c r="F120" s="3167"/>
      <c r="G120" s="3010"/>
      <c r="H120" s="2711"/>
      <c r="I120" s="3012"/>
      <c r="J120" s="1091"/>
      <c r="K120" s="1708"/>
      <c r="L120" s="2751" t="s">
        <v>171</v>
      </c>
      <c r="M120" s="1496">
        <v>5</v>
      </c>
      <c r="O120" s="14"/>
    </row>
    <row r="121" spans="1:15" ht="16.5" customHeight="1" thickBot="1" x14ac:dyDescent="0.25">
      <c r="A121" s="2756"/>
      <c r="B121" s="2728"/>
      <c r="C121" s="2729"/>
      <c r="D121" s="2856"/>
      <c r="E121" s="2787"/>
      <c r="F121" s="3168"/>
      <c r="G121" s="3011"/>
      <c r="H121" s="2739"/>
      <c r="I121" s="145"/>
      <c r="J121" s="1556" t="s">
        <v>9</v>
      </c>
      <c r="K121" s="1652">
        <f>SUM(K119:K120)</f>
        <v>98471</v>
      </c>
      <c r="L121" s="3029"/>
      <c r="M121" s="249"/>
      <c r="O121" s="14"/>
    </row>
    <row r="122" spans="1:15" ht="15" customHeight="1" x14ac:dyDescent="0.2">
      <c r="A122" s="2755" t="s">
        <v>8</v>
      </c>
      <c r="B122" s="2847" t="s">
        <v>45</v>
      </c>
      <c r="C122" s="2732" t="s">
        <v>54</v>
      </c>
      <c r="D122" s="2854"/>
      <c r="E122" s="2743" t="s">
        <v>91</v>
      </c>
      <c r="F122" s="2747" t="s">
        <v>79</v>
      </c>
      <c r="G122" s="3171" t="s">
        <v>365</v>
      </c>
      <c r="H122" s="2738" t="s">
        <v>72</v>
      </c>
      <c r="I122" s="3170" t="s">
        <v>125</v>
      </c>
      <c r="J122" s="19" t="s">
        <v>58</v>
      </c>
      <c r="K122" s="1653">
        <f>250/3.4528*1000</f>
        <v>72405</v>
      </c>
      <c r="L122" s="206" t="s">
        <v>199</v>
      </c>
      <c r="M122" s="208">
        <v>1</v>
      </c>
      <c r="O122" s="14"/>
    </row>
    <row r="123" spans="1:15" ht="22.5" customHeight="1" x14ac:dyDescent="0.2">
      <c r="A123" s="2757"/>
      <c r="B123" s="2727"/>
      <c r="C123" s="2709"/>
      <c r="D123" s="2855"/>
      <c r="E123" s="2786"/>
      <c r="F123" s="2748"/>
      <c r="G123" s="3172"/>
      <c r="H123" s="2711"/>
      <c r="I123" s="3012"/>
      <c r="J123" s="88" t="s">
        <v>122</v>
      </c>
      <c r="K123" s="1639">
        <f>50/3.4528*1000</f>
        <v>14481</v>
      </c>
      <c r="L123" s="209" t="s">
        <v>97</v>
      </c>
      <c r="M123" s="211">
        <v>3</v>
      </c>
      <c r="O123" s="14"/>
    </row>
    <row r="124" spans="1:15" ht="17.25" customHeight="1" thickBot="1" x14ac:dyDescent="0.25">
      <c r="A124" s="2756"/>
      <c r="B124" s="2728"/>
      <c r="C124" s="2729"/>
      <c r="D124" s="2856"/>
      <c r="E124" s="2787"/>
      <c r="F124" s="2749"/>
      <c r="G124" s="3173"/>
      <c r="H124" s="2739"/>
      <c r="I124" s="3174"/>
      <c r="J124" s="1556" t="s">
        <v>9</v>
      </c>
      <c r="K124" s="1621">
        <f>K122+K123</f>
        <v>86886</v>
      </c>
      <c r="L124" s="212"/>
      <c r="M124" s="214"/>
      <c r="O124" s="14"/>
    </row>
    <row r="125" spans="1:15" ht="17.25" customHeight="1" x14ac:dyDescent="0.2">
      <c r="A125" s="1846" t="s">
        <v>8</v>
      </c>
      <c r="B125" s="1848" t="s">
        <v>45</v>
      </c>
      <c r="C125" s="1875" t="s">
        <v>55</v>
      </c>
      <c r="D125" s="178"/>
      <c r="E125" s="899" t="s">
        <v>221</v>
      </c>
      <c r="F125" s="1958" t="s">
        <v>206</v>
      </c>
      <c r="G125" s="1893"/>
      <c r="H125" s="1852"/>
      <c r="I125" s="1959"/>
      <c r="J125" s="19"/>
      <c r="K125" s="1649"/>
      <c r="L125" s="1888"/>
      <c r="M125" s="1495"/>
      <c r="O125" s="14"/>
    </row>
    <row r="126" spans="1:15" ht="17.25" customHeight="1" x14ac:dyDescent="0.2">
      <c r="A126" s="1835"/>
      <c r="B126" s="1829"/>
      <c r="C126" s="1869"/>
      <c r="D126" s="3030" t="s">
        <v>8</v>
      </c>
      <c r="E126" s="3032" t="s">
        <v>329</v>
      </c>
      <c r="F126" s="1839" t="s">
        <v>79</v>
      </c>
      <c r="G126" s="3001" t="s">
        <v>366</v>
      </c>
      <c r="H126" s="2710" t="s">
        <v>72</v>
      </c>
      <c r="I126" s="3037" t="s">
        <v>131</v>
      </c>
      <c r="J126" s="512" t="s">
        <v>122</v>
      </c>
      <c r="K126" s="1615">
        <f>30/3.4528*1000</f>
        <v>8689</v>
      </c>
      <c r="L126" s="657" t="s">
        <v>199</v>
      </c>
      <c r="M126" s="659">
        <v>1</v>
      </c>
      <c r="O126" s="14"/>
    </row>
    <row r="127" spans="1:15" ht="24" customHeight="1" x14ac:dyDescent="0.2">
      <c r="A127" s="1835"/>
      <c r="B127" s="1829"/>
      <c r="C127" s="1869"/>
      <c r="D127" s="2855"/>
      <c r="E127" s="3033"/>
      <c r="F127" s="3039"/>
      <c r="G127" s="3035"/>
      <c r="H127" s="2711"/>
      <c r="I127" s="3012"/>
      <c r="J127" s="836" t="s">
        <v>58</v>
      </c>
      <c r="K127" s="1614">
        <f>250/3.4528*1000</f>
        <v>72405</v>
      </c>
      <c r="L127" s="735" t="s">
        <v>185</v>
      </c>
      <c r="M127" s="651">
        <v>20</v>
      </c>
      <c r="O127" s="14"/>
    </row>
    <row r="128" spans="1:15" ht="18.75" customHeight="1" x14ac:dyDescent="0.2">
      <c r="A128" s="1835"/>
      <c r="B128" s="1829"/>
      <c r="C128" s="1869"/>
      <c r="D128" s="3031"/>
      <c r="E128" s="3034"/>
      <c r="F128" s="3040"/>
      <c r="G128" s="3036"/>
      <c r="H128" s="2715"/>
      <c r="I128" s="3038"/>
      <c r="J128" s="246" t="s">
        <v>75</v>
      </c>
      <c r="K128" s="1620">
        <f>163.5/3.4528*1000</f>
        <v>47353</v>
      </c>
      <c r="L128" s="1282"/>
      <c r="M128" s="1601"/>
      <c r="O128" s="14"/>
    </row>
    <row r="129" spans="1:16" ht="43.5" customHeight="1" x14ac:dyDescent="0.2">
      <c r="A129" s="1828"/>
      <c r="B129" s="1829"/>
      <c r="C129" s="1869"/>
      <c r="D129" s="1870" t="s">
        <v>10</v>
      </c>
      <c r="E129" s="2850" t="s">
        <v>305</v>
      </c>
      <c r="F129" s="1267"/>
      <c r="G129" s="3001" t="s">
        <v>367</v>
      </c>
      <c r="H129" s="1832" t="s">
        <v>57</v>
      </c>
      <c r="I129" s="3003" t="s">
        <v>132</v>
      </c>
      <c r="J129" s="836" t="s">
        <v>122</v>
      </c>
      <c r="K129" s="1614">
        <f>140/3.4528*1000</f>
        <v>40547</v>
      </c>
      <c r="L129" s="1276" t="s">
        <v>381</v>
      </c>
      <c r="M129" s="1608" t="s">
        <v>188</v>
      </c>
      <c r="O129" s="14"/>
    </row>
    <row r="130" spans="1:16" ht="26.25" customHeight="1" x14ac:dyDescent="0.2">
      <c r="A130" s="1828"/>
      <c r="B130" s="1829"/>
      <c r="C130" s="1869"/>
      <c r="D130" s="1878"/>
      <c r="E130" s="2931"/>
      <c r="F130" s="1840"/>
      <c r="G130" s="3002"/>
      <c r="H130" s="961"/>
      <c r="I130" s="3004"/>
      <c r="J130" s="842" t="s">
        <v>122</v>
      </c>
      <c r="K130" s="1620">
        <f>178087-71556</f>
        <v>106531</v>
      </c>
      <c r="L130" s="438" t="s">
        <v>303</v>
      </c>
      <c r="M130" s="1609" t="s">
        <v>98</v>
      </c>
      <c r="O130" s="1730"/>
    </row>
    <row r="131" spans="1:16" ht="17.25" customHeight="1" thickBot="1" x14ac:dyDescent="0.25">
      <c r="A131" s="1874"/>
      <c r="B131" s="1849"/>
      <c r="C131" s="446"/>
      <c r="D131" s="453"/>
      <c r="E131" s="453"/>
      <c r="F131" s="453"/>
      <c r="G131" s="1960"/>
      <c r="H131" s="453"/>
      <c r="I131" s="3005" t="s">
        <v>112</v>
      </c>
      <c r="J131" s="3006"/>
      <c r="K131" s="1650">
        <f>SUM(K126:K130)</f>
        <v>275525</v>
      </c>
      <c r="L131" s="449"/>
      <c r="M131" s="1607"/>
      <c r="O131" s="14"/>
    </row>
    <row r="132" spans="1:16" ht="17.25" customHeight="1" x14ac:dyDescent="0.2">
      <c r="A132" s="1835" t="s">
        <v>8</v>
      </c>
      <c r="B132" s="1751" t="s">
        <v>45</v>
      </c>
      <c r="C132" s="2709" t="s">
        <v>218</v>
      </c>
      <c r="D132" s="3007"/>
      <c r="E132" s="2697" t="s">
        <v>102</v>
      </c>
      <c r="F132" s="2716"/>
      <c r="G132" s="3010" t="s">
        <v>368</v>
      </c>
      <c r="H132" s="2711" t="s">
        <v>57</v>
      </c>
      <c r="I132" s="3012" t="s">
        <v>130</v>
      </c>
      <c r="J132" s="246" t="s">
        <v>58</v>
      </c>
      <c r="K132" s="1820">
        <v>93571</v>
      </c>
      <c r="L132" s="1863" t="s">
        <v>306</v>
      </c>
      <c r="M132" s="1821">
        <v>5</v>
      </c>
      <c r="O132" s="14"/>
    </row>
    <row r="133" spans="1:16" ht="14.25" customHeight="1" x14ac:dyDescent="0.2">
      <c r="A133" s="1835"/>
      <c r="B133" s="1751"/>
      <c r="C133" s="2709"/>
      <c r="D133" s="3007"/>
      <c r="E133" s="2697"/>
      <c r="F133" s="2716"/>
      <c r="G133" s="3010"/>
      <c r="H133" s="2711"/>
      <c r="I133" s="3012"/>
      <c r="J133" s="552" t="s">
        <v>133</v>
      </c>
      <c r="K133" s="1766"/>
      <c r="L133" s="1863"/>
      <c r="M133" s="1591"/>
      <c r="O133" s="14"/>
    </row>
    <row r="134" spans="1:16" ht="14.25" customHeight="1" thickBot="1" x14ac:dyDescent="0.25">
      <c r="A134" s="1847"/>
      <c r="B134" s="122"/>
      <c r="C134" s="2729"/>
      <c r="D134" s="3008"/>
      <c r="E134" s="3009"/>
      <c r="F134" s="2737"/>
      <c r="G134" s="3011"/>
      <c r="H134" s="2739"/>
      <c r="I134" s="3013"/>
      <c r="J134" s="1568" t="s">
        <v>9</v>
      </c>
      <c r="K134" s="1650">
        <f>K132+K133</f>
        <v>93571</v>
      </c>
      <c r="L134" s="1576"/>
      <c r="M134" s="1610"/>
      <c r="O134" s="14"/>
    </row>
    <row r="135" spans="1:16" ht="15" customHeight="1" thickBot="1" x14ac:dyDescent="0.25">
      <c r="A135" s="383" t="s">
        <v>8</v>
      </c>
      <c r="B135" s="11" t="s">
        <v>45</v>
      </c>
      <c r="C135" s="2730" t="s">
        <v>11</v>
      </c>
      <c r="D135" s="2730"/>
      <c r="E135" s="2730"/>
      <c r="F135" s="2730"/>
      <c r="G135" s="2730"/>
      <c r="H135" s="2730"/>
      <c r="I135" s="2730"/>
      <c r="J135" s="2731"/>
      <c r="K135" s="1641">
        <f>K134+K131+K124+K121+K118+K113+K109+K102</f>
        <v>1724091</v>
      </c>
      <c r="L135" s="2753"/>
      <c r="M135" s="2726"/>
    </row>
    <row r="136" spans="1:16" ht="16.5" customHeight="1" thickBot="1" x14ac:dyDescent="0.25">
      <c r="A136" s="382" t="s">
        <v>8</v>
      </c>
      <c r="B136" s="11" t="s">
        <v>50</v>
      </c>
      <c r="C136" s="2820" t="s">
        <v>53</v>
      </c>
      <c r="D136" s="2821"/>
      <c r="E136" s="2821"/>
      <c r="F136" s="2821"/>
      <c r="G136" s="2821"/>
      <c r="H136" s="2821"/>
      <c r="I136" s="2821"/>
      <c r="J136" s="2821"/>
      <c r="K136" s="2821"/>
      <c r="L136" s="2821"/>
      <c r="M136" s="2822"/>
    </row>
    <row r="137" spans="1:16" ht="28.5" customHeight="1" x14ac:dyDescent="0.2">
      <c r="A137" s="2757" t="s">
        <v>8</v>
      </c>
      <c r="B137" s="2727" t="s">
        <v>50</v>
      </c>
      <c r="C137" s="451" t="s">
        <v>8</v>
      </c>
      <c r="D137" s="632"/>
      <c r="E137" s="1757" t="s">
        <v>182</v>
      </c>
      <c r="F137" s="620"/>
      <c r="G137" s="1727"/>
      <c r="H137" s="622"/>
      <c r="I137" s="631"/>
      <c r="J137" s="1755" t="s">
        <v>42</v>
      </c>
      <c r="K137" s="1756"/>
      <c r="L137" s="545"/>
      <c r="M137" s="546"/>
      <c r="O137" s="14"/>
    </row>
    <row r="138" spans="1:16" ht="43.5" customHeight="1" x14ac:dyDescent="0.2">
      <c r="A138" s="2757"/>
      <c r="B138" s="2727"/>
      <c r="C138" s="451"/>
      <c r="D138" s="311" t="s">
        <v>8</v>
      </c>
      <c r="E138" s="1758" t="s">
        <v>184</v>
      </c>
      <c r="F138" s="457"/>
      <c r="G138" s="1892" t="s">
        <v>369</v>
      </c>
      <c r="H138" s="1883" t="s">
        <v>72</v>
      </c>
      <c r="I138" s="1759" t="s">
        <v>125</v>
      </c>
      <c r="J138" s="1760" t="s">
        <v>58</v>
      </c>
      <c r="K138" s="1761">
        <f>10/3.4528*1000</f>
        <v>2896</v>
      </c>
      <c r="L138" s="539" t="s">
        <v>200</v>
      </c>
      <c r="M138" s="540">
        <v>100</v>
      </c>
      <c r="O138" s="14"/>
    </row>
    <row r="139" spans="1:16" ht="15" customHeight="1" x14ac:dyDescent="0.2">
      <c r="A139" s="2757"/>
      <c r="B139" s="2727"/>
      <c r="C139" s="451"/>
      <c r="D139" s="1870" t="s">
        <v>10</v>
      </c>
      <c r="E139" s="3175" t="s">
        <v>322</v>
      </c>
      <c r="F139" s="896"/>
      <c r="G139" s="3019" t="s">
        <v>326</v>
      </c>
      <c r="H139" s="1762" t="s">
        <v>57</v>
      </c>
      <c r="I139" s="3003" t="s">
        <v>318</v>
      </c>
      <c r="J139" s="590" t="s">
        <v>58</v>
      </c>
      <c r="K139" s="1695">
        <v>795451</v>
      </c>
      <c r="L139" s="3178" t="s">
        <v>120</v>
      </c>
      <c r="M139" s="195">
        <v>2.5</v>
      </c>
      <c r="N139" s="130"/>
      <c r="O139" s="14"/>
    </row>
    <row r="140" spans="1:16" ht="30.75" customHeight="1" x14ac:dyDescent="0.2">
      <c r="A140" s="2757"/>
      <c r="B140" s="2727"/>
      <c r="C140" s="451"/>
      <c r="D140" s="1872"/>
      <c r="E140" s="3176"/>
      <c r="F140" s="253"/>
      <c r="G140" s="3177"/>
      <c r="H140" s="1763"/>
      <c r="I140" s="3004"/>
      <c r="J140" s="1764"/>
      <c r="K140" s="1634"/>
      <c r="L140" s="3179"/>
      <c r="M140" s="196"/>
      <c r="N140" s="130"/>
      <c r="O140" s="14"/>
    </row>
    <row r="141" spans="1:16" ht="14.25" customHeight="1" thickBot="1" x14ac:dyDescent="0.25">
      <c r="A141" s="2756"/>
      <c r="B141" s="2728"/>
      <c r="C141" s="452"/>
      <c r="D141" s="453"/>
      <c r="E141" s="453"/>
      <c r="F141" s="453"/>
      <c r="G141" s="1726"/>
      <c r="H141" s="453"/>
      <c r="I141" s="3005" t="s">
        <v>112</v>
      </c>
      <c r="J141" s="3069"/>
      <c r="K141" s="1635">
        <f t="shared" ref="K141" si="1">SUM(K138:K139)</f>
        <v>798347</v>
      </c>
      <c r="L141" s="1765"/>
      <c r="M141" s="437"/>
      <c r="N141" s="167"/>
      <c r="O141" s="14"/>
      <c r="P141" s="130"/>
    </row>
    <row r="142" spans="1:16" ht="27" customHeight="1" x14ac:dyDescent="0.2">
      <c r="A142" s="2755" t="s">
        <v>8</v>
      </c>
      <c r="B142" s="2847" t="s">
        <v>50</v>
      </c>
      <c r="C142" s="2990" t="s">
        <v>10</v>
      </c>
      <c r="D142" s="618"/>
      <c r="E142" s="619" t="s">
        <v>90</v>
      </c>
      <c r="F142" s="620"/>
      <c r="G142" s="1727"/>
      <c r="H142" s="622"/>
      <c r="I142" s="832"/>
      <c r="J142" s="94"/>
      <c r="K142" s="1648"/>
      <c r="L142" s="545"/>
      <c r="M142" s="546"/>
      <c r="N142" s="15"/>
      <c r="O142" s="14"/>
    </row>
    <row r="143" spans="1:16" ht="14.25" customHeight="1" x14ac:dyDescent="0.2">
      <c r="A143" s="2757"/>
      <c r="B143" s="2727"/>
      <c r="C143" s="2991"/>
      <c r="D143" s="664" t="s">
        <v>8</v>
      </c>
      <c r="E143" s="2703" t="s">
        <v>89</v>
      </c>
      <c r="F143" s="2994"/>
      <c r="G143" s="3001" t="s">
        <v>327</v>
      </c>
      <c r="H143" s="1832" t="s">
        <v>54</v>
      </c>
      <c r="I143" s="3016" t="s">
        <v>132</v>
      </c>
      <c r="J143" s="258" t="s">
        <v>58</v>
      </c>
      <c r="K143" s="1627">
        <v>780613</v>
      </c>
      <c r="L143" s="1841" t="s">
        <v>65</v>
      </c>
      <c r="M143" s="624" t="s">
        <v>180</v>
      </c>
    </row>
    <row r="144" spans="1:16" ht="27" customHeight="1" x14ac:dyDescent="0.2">
      <c r="A144" s="2757"/>
      <c r="B144" s="2727"/>
      <c r="C144" s="2991"/>
      <c r="D144" s="664"/>
      <c r="E144" s="2704"/>
      <c r="F144" s="2995"/>
      <c r="G144" s="3014"/>
      <c r="H144" s="1081"/>
      <c r="I144" s="3017"/>
      <c r="J144" s="92"/>
      <c r="K144" s="1654"/>
      <c r="L144" s="627" t="s">
        <v>64</v>
      </c>
      <c r="M144" s="629" t="s">
        <v>181</v>
      </c>
    </row>
    <row r="145" spans="1:33" ht="17.25" customHeight="1" x14ac:dyDescent="0.2">
      <c r="A145" s="2757"/>
      <c r="B145" s="2727"/>
      <c r="C145" s="2991"/>
      <c r="D145" s="664"/>
      <c r="E145" s="2704"/>
      <c r="F145" s="2996"/>
      <c r="G145" s="3015"/>
      <c r="H145" s="1084"/>
      <c r="I145" s="3017"/>
      <c r="J145" s="92"/>
      <c r="K145" s="1654"/>
      <c r="L145" s="1843" t="s">
        <v>118</v>
      </c>
      <c r="M145" s="626" t="s">
        <v>179</v>
      </c>
    </row>
    <row r="146" spans="1:33" ht="17.25" customHeight="1" x14ac:dyDescent="0.2">
      <c r="A146" s="2757"/>
      <c r="B146" s="2727"/>
      <c r="C146" s="2991"/>
      <c r="D146" s="665" t="s">
        <v>10</v>
      </c>
      <c r="E146" s="2703" t="s">
        <v>88</v>
      </c>
      <c r="F146" s="2994"/>
      <c r="G146" s="3019" t="s">
        <v>370</v>
      </c>
      <c r="H146" s="1081"/>
      <c r="I146" s="3017"/>
      <c r="J146" s="258" t="s">
        <v>42</v>
      </c>
      <c r="K146" s="1627">
        <f>500/3.4528*1000</f>
        <v>144810</v>
      </c>
      <c r="L146" s="2690" t="s">
        <v>63</v>
      </c>
      <c r="M146" s="195">
        <v>0.8</v>
      </c>
    </row>
    <row r="147" spans="1:33" ht="14.25" customHeight="1" x14ac:dyDescent="0.2">
      <c r="A147" s="2757"/>
      <c r="B147" s="2727"/>
      <c r="C147" s="2992"/>
      <c r="D147" s="663"/>
      <c r="E147" s="2705"/>
      <c r="F147" s="2996"/>
      <c r="G147" s="3020"/>
      <c r="H147" s="1838"/>
      <c r="I147" s="3018"/>
      <c r="J147" s="246"/>
      <c r="K147" s="1616"/>
      <c r="L147" s="2693"/>
      <c r="M147" s="196"/>
    </row>
    <row r="148" spans="1:33" ht="16.5" customHeight="1" thickBot="1" x14ac:dyDescent="0.25">
      <c r="A148" s="2756"/>
      <c r="B148" s="2728"/>
      <c r="C148" s="2993"/>
      <c r="D148" s="448"/>
      <c r="E148" s="448"/>
      <c r="F148" s="448"/>
      <c r="G148" s="448"/>
      <c r="H148" s="453"/>
      <c r="I148" s="3005" t="s">
        <v>112</v>
      </c>
      <c r="J148" s="3006"/>
      <c r="K148" s="1650">
        <f t="shared" ref="K148" si="2">SUM(K142:K147)</f>
        <v>925423</v>
      </c>
      <c r="L148" s="449"/>
      <c r="M148" s="462"/>
      <c r="O148" s="14"/>
    </row>
    <row r="149" spans="1:33" ht="15" customHeight="1" x14ac:dyDescent="0.2">
      <c r="A149" s="2755" t="s">
        <v>8</v>
      </c>
      <c r="B149" s="2847" t="s">
        <v>50</v>
      </c>
      <c r="C149" s="2732" t="s">
        <v>45</v>
      </c>
      <c r="D149" s="2854"/>
      <c r="E149" s="2743" t="s">
        <v>281</v>
      </c>
      <c r="F149" s="2852"/>
      <c r="G149" s="3171" t="s">
        <v>371</v>
      </c>
      <c r="H149" s="2738" t="s">
        <v>57</v>
      </c>
      <c r="I149" s="3165" t="s">
        <v>132</v>
      </c>
      <c r="J149" s="676" t="s">
        <v>122</v>
      </c>
      <c r="K149" s="1628">
        <f>45/3.4528*1000</f>
        <v>13033</v>
      </c>
      <c r="L149" s="1888" t="s">
        <v>62</v>
      </c>
      <c r="M149" s="54">
        <v>0.3</v>
      </c>
      <c r="O149" s="14"/>
    </row>
    <row r="150" spans="1:33" ht="21" customHeight="1" x14ac:dyDescent="0.2">
      <c r="A150" s="2757"/>
      <c r="B150" s="2727"/>
      <c r="C150" s="2709"/>
      <c r="D150" s="2855"/>
      <c r="E150" s="2786"/>
      <c r="F150" s="2863"/>
      <c r="G150" s="3172"/>
      <c r="H150" s="2711"/>
      <c r="I150" s="3058"/>
      <c r="J150" s="246" t="s">
        <v>58</v>
      </c>
      <c r="K150" s="1651">
        <v>451220</v>
      </c>
      <c r="L150" s="1842"/>
      <c r="M150" s="906"/>
      <c r="O150" s="14"/>
    </row>
    <row r="151" spans="1:33" ht="13.5" customHeight="1" thickBot="1" x14ac:dyDescent="0.25">
      <c r="A151" s="2756"/>
      <c r="B151" s="2728"/>
      <c r="C151" s="2729"/>
      <c r="D151" s="2856"/>
      <c r="E151" s="2787"/>
      <c r="F151" s="2853"/>
      <c r="G151" s="3173"/>
      <c r="H151" s="2739"/>
      <c r="I151" s="3000"/>
      <c r="J151" s="1556" t="s">
        <v>9</v>
      </c>
      <c r="K151" s="1652">
        <f>SUM(K149:K150)</f>
        <v>464253</v>
      </c>
      <c r="L151" s="18"/>
      <c r="M151" s="249"/>
      <c r="O151" s="14"/>
    </row>
    <row r="152" spans="1:33" ht="42.75" customHeight="1" x14ac:dyDescent="0.2">
      <c r="A152" s="2755" t="s">
        <v>8</v>
      </c>
      <c r="B152" s="2847" t="s">
        <v>50</v>
      </c>
      <c r="C152" s="2732" t="s">
        <v>50</v>
      </c>
      <c r="D152" s="2854"/>
      <c r="E152" s="1180" t="s">
        <v>298</v>
      </c>
      <c r="F152" s="968"/>
      <c r="G152" s="1728" t="s">
        <v>372</v>
      </c>
      <c r="H152" s="970" t="s">
        <v>57</v>
      </c>
      <c r="I152" s="971" t="s">
        <v>132</v>
      </c>
      <c r="J152" s="908" t="s">
        <v>42</v>
      </c>
      <c r="K152" s="1655">
        <f>182/3.4528*1000</f>
        <v>52711</v>
      </c>
      <c r="L152" s="963" t="s">
        <v>288</v>
      </c>
      <c r="M152" s="1611">
        <v>20</v>
      </c>
      <c r="O152" s="14"/>
    </row>
    <row r="153" spans="1:33" ht="24.75" customHeight="1" x14ac:dyDescent="0.2">
      <c r="A153" s="2757"/>
      <c r="B153" s="2727"/>
      <c r="C153" s="2709"/>
      <c r="D153" s="2855"/>
      <c r="E153" s="2845" t="s">
        <v>299</v>
      </c>
      <c r="F153" s="1859"/>
      <c r="G153" s="2997" t="s">
        <v>373</v>
      </c>
      <c r="H153" s="1833" t="s">
        <v>72</v>
      </c>
      <c r="I153" s="2999" t="s">
        <v>125</v>
      </c>
      <c r="J153" s="20" t="s">
        <v>58</v>
      </c>
      <c r="K153" s="1578">
        <f>30/3.4528*1000</f>
        <v>8689</v>
      </c>
      <c r="L153" s="976" t="s">
        <v>199</v>
      </c>
      <c r="M153" s="993">
        <v>1</v>
      </c>
      <c r="O153" s="14"/>
    </row>
    <row r="154" spans="1:33" ht="19.5" customHeight="1" thickBot="1" x14ac:dyDescent="0.25">
      <c r="A154" s="2756"/>
      <c r="B154" s="2728"/>
      <c r="C154" s="2729"/>
      <c r="D154" s="2856"/>
      <c r="E154" s="2846"/>
      <c r="F154" s="1851"/>
      <c r="G154" s="2998"/>
      <c r="H154" s="1853"/>
      <c r="I154" s="3000"/>
      <c r="J154" s="1556" t="s">
        <v>9</v>
      </c>
      <c r="K154" s="1621">
        <f>SUM(K152:K153)</f>
        <v>61400</v>
      </c>
      <c r="L154" s="18"/>
      <c r="M154" s="249"/>
      <c r="O154" s="14"/>
    </row>
    <row r="155" spans="1:33" ht="26.25" customHeight="1" x14ac:dyDescent="0.2">
      <c r="A155" s="2755" t="s">
        <v>8</v>
      </c>
      <c r="B155" s="2847" t="s">
        <v>50</v>
      </c>
      <c r="C155" s="2732" t="s">
        <v>52</v>
      </c>
      <c r="D155" s="2854"/>
      <c r="E155" s="2743" t="s">
        <v>61</v>
      </c>
      <c r="F155" s="2852"/>
      <c r="G155" s="3171" t="s">
        <v>374</v>
      </c>
      <c r="H155" s="2738" t="s">
        <v>57</v>
      </c>
      <c r="I155" s="3185" t="s">
        <v>318</v>
      </c>
      <c r="J155" s="94" t="s">
        <v>58</v>
      </c>
      <c r="K155" s="1709">
        <f>317.7/3.4528*1000</f>
        <v>92012</v>
      </c>
      <c r="L155" s="1888" t="s">
        <v>94</v>
      </c>
      <c r="M155" s="1495">
        <v>14</v>
      </c>
      <c r="O155" s="14"/>
    </row>
    <row r="156" spans="1:33" ht="14.25" customHeight="1" thickBot="1" x14ac:dyDescent="0.25">
      <c r="A156" s="2756"/>
      <c r="B156" s="2728"/>
      <c r="C156" s="2729"/>
      <c r="D156" s="2856"/>
      <c r="E156" s="2787"/>
      <c r="F156" s="2853"/>
      <c r="G156" s="3173"/>
      <c r="H156" s="2739"/>
      <c r="I156" s="3186"/>
      <c r="J156" s="1556" t="s">
        <v>9</v>
      </c>
      <c r="K156" s="1710">
        <f>SUM(K155:K155)</f>
        <v>92012</v>
      </c>
      <c r="L156" s="18"/>
      <c r="M156" s="249"/>
      <c r="O156" s="14"/>
    </row>
    <row r="157" spans="1:33" ht="14.25" customHeight="1" thickBot="1" x14ac:dyDescent="0.25">
      <c r="A157" s="383" t="s">
        <v>8</v>
      </c>
      <c r="B157" s="11" t="s">
        <v>50</v>
      </c>
      <c r="C157" s="2730" t="s">
        <v>11</v>
      </c>
      <c r="D157" s="2730"/>
      <c r="E157" s="2730"/>
      <c r="F157" s="2730"/>
      <c r="G157" s="2730"/>
      <c r="H157" s="2730"/>
      <c r="I157" s="2730"/>
      <c r="J157" s="2731"/>
      <c r="K157" s="1646">
        <f>SUM(K156,K151,K148,K141,,K154)</f>
        <v>2341435</v>
      </c>
      <c r="L157" s="2753"/>
      <c r="M157" s="2726"/>
    </row>
    <row r="158" spans="1:33" ht="14.25" customHeight="1" thickBot="1" x14ac:dyDescent="0.25">
      <c r="A158" s="383" t="s">
        <v>8</v>
      </c>
      <c r="B158" s="2830" t="s">
        <v>12</v>
      </c>
      <c r="C158" s="2831"/>
      <c r="D158" s="2831"/>
      <c r="E158" s="2831"/>
      <c r="F158" s="2831"/>
      <c r="G158" s="2831"/>
      <c r="H158" s="2831"/>
      <c r="I158" s="2831"/>
      <c r="J158" s="2832"/>
      <c r="K158" s="1656">
        <f>K157+K135+K90+K75</f>
        <v>13417551</v>
      </c>
      <c r="L158" s="2833"/>
      <c r="M158" s="2835"/>
    </row>
    <row r="159" spans="1:33" ht="14.25" customHeight="1" thickBot="1" x14ac:dyDescent="0.25">
      <c r="A159" s="154" t="s">
        <v>54</v>
      </c>
      <c r="B159" s="2836" t="s">
        <v>101</v>
      </c>
      <c r="C159" s="2837"/>
      <c r="D159" s="2837"/>
      <c r="E159" s="2837"/>
      <c r="F159" s="2837"/>
      <c r="G159" s="2837"/>
      <c r="H159" s="2837"/>
      <c r="I159" s="2837"/>
      <c r="J159" s="2838"/>
      <c r="K159" s="1657">
        <f t="shared" ref="K159" si="3">SUM(K158)</f>
        <v>13417551</v>
      </c>
      <c r="L159" s="2839"/>
      <c r="M159" s="2841"/>
    </row>
    <row r="160" spans="1:33" s="22" customFormat="1" ht="14.25" customHeight="1" x14ac:dyDescent="0.2">
      <c r="A160" s="3180" t="s">
        <v>382</v>
      </c>
      <c r="B160" s="3180"/>
      <c r="C160" s="3180"/>
      <c r="D160" s="3180"/>
      <c r="E160" s="3180"/>
      <c r="F160" s="3180"/>
      <c r="G160" s="3180"/>
      <c r="H160" s="3180"/>
      <c r="I160" s="3180"/>
      <c r="J160" s="3180"/>
      <c r="K160" s="3180"/>
      <c r="L160" s="3180"/>
      <c r="M160" s="3180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</row>
    <row r="161" spans="1:34" s="22" customFormat="1" ht="13.5" customHeight="1" x14ac:dyDescent="0.2">
      <c r="A161" s="3181"/>
      <c r="B161" s="3181"/>
      <c r="C161" s="3181"/>
      <c r="D161" s="3181"/>
      <c r="E161" s="3181"/>
      <c r="F161" s="3181"/>
      <c r="G161" s="3181"/>
      <c r="H161" s="3181"/>
      <c r="I161" s="3181"/>
      <c r="J161" s="3181"/>
      <c r="K161" s="3181"/>
      <c r="L161" s="3181"/>
      <c r="M161" s="318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</row>
    <row r="162" spans="1:34" s="22" customFormat="1" ht="15" customHeight="1" thickBot="1" x14ac:dyDescent="0.25">
      <c r="A162" s="2754" t="s">
        <v>17</v>
      </c>
      <c r="B162" s="2754"/>
      <c r="C162" s="2754"/>
      <c r="D162" s="2754"/>
      <c r="E162" s="2754"/>
      <c r="F162" s="2754"/>
      <c r="G162" s="2754"/>
      <c r="H162" s="2754"/>
      <c r="I162" s="2754"/>
      <c r="J162" s="2754"/>
      <c r="K162" s="2754"/>
      <c r="L162" s="5"/>
      <c r="M162" s="5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</row>
    <row r="163" spans="1:34" ht="49.5" customHeight="1" thickBot="1" x14ac:dyDescent="0.25">
      <c r="A163" s="2827" t="s">
        <v>13</v>
      </c>
      <c r="B163" s="2828"/>
      <c r="C163" s="2828"/>
      <c r="D163" s="2828"/>
      <c r="E163" s="2828"/>
      <c r="F163" s="2828"/>
      <c r="G163" s="2828"/>
      <c r="H163" s="2828"/>
      <c r="I163" s="2828"/>
      <c r="J163" s="2829"/>
      <c r="K163" s="1554" t="s">
        <v>314</v>
      </c>
    </row>
    <row r="164" spans="1:34" ht="14.25" customHeight="1" x14ac:dyDescent="0.2">
      <c r="A164" s="2817" t="s">
        <v>18</v>
      </c>
      <c r="B164" s="2818"/>
      <c r="C164" s="2818"/>
      <c r="D164" s="2818"/>
      <c r="E164" s="2818"/>
      <c r="F164" s="2818"/>
      <c r="G164" s="2818"/>
      <c r="H164" s="2818"/>
      <c r="I164" s="2818"/>
      <c r="J164" s="2819"/>
      <c r="K164" s="1581">
        <f>K165+K171+K172+K173</f>
        <v>10671953</v>
      </c>
    </row>
    <row r="165" spans="1:34" ht="14.25" customHeight="1" x14ac:dyDescent="0.2">
      <c r="A165" s="2823" t="s">
        <v>217</v>
      </c>
      <c r="B165" s="2988"/>
      <c r="C165" s="2988"/>
      <c r="D165" s="2988"/>
      <c r="E165" s="2988"/>
      <c r="F165" s="2988"/>
      <c r="G165" s="2988"/>
      <c r="H165" s="2988"/>
      <c r="I165" s="2988"/>
      <c r="J165" s="2989"/>
      <c r="K165" s="1961">
        <f>SUM(K166:K170)</f>
        <v>10289871</v>
      </c>
    </row>
    <row r="166" spans="1:34" ht="14.25" customHeight="1" x14ac:dyDescent="0.2">
      <c r="A166" s="2814" t="s">
        <v>33</v>
      </c>
      <c r="B166" s="2815"/>
      <c r="C166" s="2815"/>
      <c r="D166" s="2815"/>
      <c r="E166" s="2815"/>
      <c r="F166" s="2815"/>
      <c r="G166" s="2815"/>
      <c r="H166" s="2815"/>
      <c r="I166" s="2815"/>
      <c r="J166" s="2816"/>
      <c r="K166" s="1582">
        <f>SUMIF(J16:J159,"SB",K16:K159)</f>
        <v>5325214</v>
      </c>
      <c r="L166" s="118"/>
    </row>
    <row r="167" spans="1:34" ht="14.25" customHeight="1" x14ac:dyDescent="0.2">
      <c r="A167" s="2811" t="s">
        <v>34</v>
      </c>
      <c r="B167" s="2812"/>
      <c r="C167" s="2812"/>
      <c r="D167" s="2812"/>
      <c r="E167" s="2812"/>
      <c r="F167" s="2812"/>
      <c r="G167" s="2812"/>
      <c r="H167" s="2812"/>
      <c r="I167" s="2812"/>
      <c r="J167" s="2813"/>
      <c r="K167" s="1582">
        <f>SUMIF(J16:J159,"SB(P)",K16:K159)</f>
        <v>120829</v>
      </c>
      <c r="L167" s="118"/>
    </row>
    <row r="168" spans="1:34" ht="14.25" customHeight="1" x14ac:dyDescent="0.2">
      <c r="A168" s="2811" t="s">
        <v>123</v>
      </c>
      <c r="B168" s="2812"/>
      <c r="C168" s="2812"/>
      <c r="D168" s="2812"/>
      <c r="E168" s="2812"/>
      <c r="F168" s="2812"/>
      <c r="G168" s="2812"/>
      <c r="H168" s="2812"/>
      <c r="I168" s="2812"/>
      <c r="J168" s="2813"/>
      <c r="K168" s="1582">
        <f>SUMIF(J16:J159,"SB(VR)",K16:K159)</f>
        <v>1084298</v>
      </c>
      <c r="L168" s="118"/>
    </row>
    <row r="169" spans="1:34" ht="14.25" customHeight="1" x14ac:dyDescent="0.2">
      <c r="A169" s="2811" t="s">
        <v>146</v>
      </c>
      <c r="B169" s="2812"/>
      <c r="C169" s="2812"/>
      <c r="D169" s="2812"/>
      <c r="E169" s="2812"/>
      <c r="F169" s="2812"/>
      <c r="G169" s="2812"/>
      <c r="H169" s="2812"/>
      <c r="I169" s="2812"/>
      <c r="J169" s="2813"/>
      <c r="K169" s="1582">
        <f>SUMIF(J14:J157,"SB(L)",K14:K157)</f>
        <v>8974</v>
      </c>
    </row>
    <row r="170" spans="1:34" ht="14.25" customHeight="1" x14ac:dyDescent="0.2">
      <c r="A170" s="2800" t="s">
        <v>36</v>
      </c>
      <c r="B170" s="2801"/>
      <c r="C170" s="2801"/>
      <c r="D170" s="2801"/>
      <c r="E170" s="2801"/>
      <c r="F170" s="2801"/>
      <c r="G170" s="2801"/>
      <c r="H170" s="2801"/>
      <c r="I170" s="2801"/>
      <c r="J170" s="2802"/>
      <c r="K170" s="1583">
        <f>SUMIF(J14:J157,"KPP",K14:K157)</f>
        <v>3750556</v>
      </c>
      <c r="L170" s="118"/>
    </row>
    <row r="171" spans="1:34" ht="14.25" customHeight="1" x14ac:dyDescent="0.2">
      <c r="A171" s="3187" t="s">
        <v>333</v>
      </c>
      <c r="B171" s="3190"/>
      <c r="C171" s="3190"/>
      <c r="D171" s="3190"/>
      <c r="E171" s="3190"/>
      <c r="F171" s="3190"/>
      <c r="G171" s="3190"/>
      <c r="H171" s="3190"/>
      <c r="I171" s="3190"/>
      <c r="J171" s="3191"/>
      <c r="K171" s="1782">
        <f>SUMIF(J16:J159,"SB(VRL)",K16:K159)</f>
        <v>72307</v>
      </c>
      <c r="L171" s="118"/>
    </row>
    <row r="172" spans="1:34" ht="14.25" customHeight="1" x14ac:dyDescent="0.2">
      <c r="A172" s="2720" t="s">
        <v>331</v>
      </c>
      <c r="B172" s="3190"/>
      <c r="C172" s="3190"/>
      <c r="D172" s="3190"/>
      <c r="E172" s="3190"/>
      <c r="F172" s="3190"/>
      <c r="G172" s="3190"/>
      <c r="H172" s="3190"/>
      <c r="I172" s="3190"/>
      <c r="J172" s="3191"/>
      <c r="K172" s="1782">
        <f>SUMIF(J17:J160,"SB(ŽPL)",K17:K160)</f>
        <v>309775</v>
      </c>
      <c r="L172" s="118"/>
    </row>
    <row r="173" spans="1:34" ht="14.25" customHeight="1" x14ac:dyDescent="0.2">
      <c r="A173" s="3187" t="s">
        <v>334</v>
      </c>
      <c r="B173" s="3188"/>
      <c r="C173" s="3188"/>
      <c r="D173" s="3188"/>
      <c r="E173" s="3188"/>
      <c r="F173" s="3188"/>
      <c r="G173" s="3188"/>
      <c r="H173" s="3188"/>
      <c r="I173" s="3188"/>
      <c r="J173" s="3189"/>
      <c r="K173" s="1782">
        <f>SUMIF(J16:J159,"PF",K16:K159)</f>
        <v>0</v>
      </c>
    </row>
    <row r="174" spans="1:34" ht="14.25" customHeight="1" x14ac:dyDescent="0.2">
      <c r="A174" s="2803" t="s">
        <v>19</v>
      </c>
      <c r="B174" s="2804"/>
      <c r="C174" s="2804"/>
      <c r="D174" s="2804"/>
      <c r="E174" s="2804"/>
      <c r="F174" s="2804"/>
      <c r="G174" s="2804"/>
      <c r="H174" s="2804"/>
      <c r="I174" s="2804"/>
      <c r="J174" s="2805"/>
      <c r="K174" s="1584">
        <f>SUM(K175:K178)</f>
        <v>2745598</v>
      </c>
    </row>
    <row r="175" spans="1:34" ht="14.25" customHeight="1" x14ac:dyDescent="0.2">
      <c r="A175" s="2806" t="s">
        <v>35</v>
      </c>
      <c r="B175" s="2807"/>
      <c r="C175" s="2807"/>
      <c r="D175" s="2807"/>
      <c r="E175" s="2807"/>
      <c r="F175" s="2807"/>
      <c r="G175" s="2807"/>
      <c r="H175" s="2807"/>
      <c r="I175" s="2807"/>
      <c r="J175" s="2808"/>
      <c r="K175" s="1583">
        <f>SUMIF(J16:J159,"ES",K16:K159)</f>
        <v>1981696</v>
      </c>
      <c r="L175" s="118"/>
    </row>
    <row r="176" spans="1:34" ht="14.25" customHeight="1" x14ac:dyDescent="0.2">
      <c r="A176" s="2800" t="s">
        <v>37</v>
      </c>
      <c r="B176" s="2801"/>
      <c r="C176" s="2801"/>
      <c r="D176" s="2801"/>
      <c r="E176" s="2801"/>
      <c r="F176" s="2801"/>
      <c r="G176" s="2801"/>
      <c r="H176" s="2801"/>
      <c r="I176" s="2801"/>
      <c r="J176" s="2802"/>
      <c r="K176" s="1583">
        <f>SUMIF(J16:J159,"KVJUD",K16:K159)</f>
        <v>516074</v>
      </c>
      <c r="L176" s="130"/>
      <c r="M176" s="6"/>
    </row>
    <row r="177" spans="1:13" ht="14.25" customHeight="1" x14ac:dyDescent="0.2">
      <c r="A177" s="2797" t="s">
        <v>38</v>
      </c>
      <c r="B177" s="2798"/>
      <c r="C177" s="2798"/>
      <c r="D177" s="2798"/>
      <c r="E177" s="2798"/>
      <c r="F177" s="2798"/>
      <c r="G177" s="2798"/>
      <c r="H177" s="2798"/>
      <c r="I177" s="2798"/>
      <c r="J177" s="2799"/>
      <c r="K177" s="1583">
        <f>SUMIF(J16:J159,"LRVB",K16:K159)</f>
        <v>0</v>
      </c>
      <c r="L177" s="130"/>
      <c r="M177" s="6"/>
    </row>
    <row r="178" spans="1:13" x14ac:dyDescent="0.2">
      <c r="A178" s="2797" t="s">
        <v>39</v>
      </c>
      <c r="B178" s="2798"/>
      <c r="C178" s="2798"/>
      <c r="D178" s="2798"/>
      <c r="E178" s="2798"/>
      <c r="F178" s="2798"/>
      <c r="G178" s="2798"/>
      <c r="H178" s="2798"/>
      <c r="I178" s="2798"/>
      <c r="J178" s="2799"/>
      <c r="K178" s="1583">
        <f>SUMIF(J16:J159,"Kt",K16:K159)</f>
        <v>247828</v>
      </c>
      <c r="L178" s="130"/>
      <c r="M178" s="6"/>
    </row>
    <row r="179" spans="1:13" ht="13.5" thickBot="1" x14ac:dyDescent="0.25">
      <c r="A179" s="3182" t="s">
        <v>20</v>
      </c>
      <c r="B179" s="3183"/>
      <c r="C179" s="3183"/>
      <c r="D179" s="3183"/>
      <c r="E179" s="3183"/>
      <c r="F179" s="3183"/>
      <c r="G179" s="3183"/>
      <c r="H179" s="3183"/>
      <c r="I179" s="3183"/>
      <c r="J179" s="3184"/>
      <c r="K179" s="1585">
        <f>K174+K164</f>
        <v>13417551</v>
      </c>
      <c r="L179" s="6"/>
      <c r="M179" s="6"/>
    </row>
    <row r="180" spans="1:13" x14ac:dyDescent="0.2">
      <c r="K180" s="1866"/>
    </row>
    <row r="183" spans="1:13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1:13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1731">
        <f>K179+8000</f>
        <v>13425551</v>
      </c>
      <c r="M184" s="6"/>
    </row>
  </sheetData>
  <mergeCells count="366">
    <mergeCell ref="A160:M160"/>
    <mergeCell ref="A161:M161"/>
    <mergeCell ref="A162:K162"/>
    <mergeCell ref="A178:J178"/>
    <mergeCell ref="A179:J179"/>
    <mergeCell ref="E155:E156"/>
    <mergeCell ref="F155:F156"/>
    <mergeCell ref="G155:G156"/>
    <mergeCell ref="H155:H156"/>
    <mergeCell ref="I155:I156"/>
    <mergeCell ref="C157:J157"/>
    <mergeCell ref="B158:J158"/>
    <mergeCell ref="L158:M158"/>
    <mergeCell ref="B159:J159"/>
    <mergeCell ref="L159:M159"/>
    <mergeCell ref="L157:M157"/>
    <mergeCell ref="A176:J176"/>
    <mergeCell ref="A177:J177"/>
    <mergeCell ref="A175:J175"/>
    <mergeCell ref="A173:J173"/>
    <mergeCell ref="A174:J174"/>
    <mergeCell ref="A171:J171"/>
    <mergeCell ref="A172:J172"/>
    <mergeCell ref="C155:C156"/>
    <mergeCell ref="L146:L147"/>
    <mergeCell ref="I148:J148"/>
    <mergeCell ref="A149:A151"/>
    <mergeCell ref="B149:B151"/>
    <mergeCell ref="C149:C151"/>
    <mergeCell ref="D149:D151"/>
    <mergeCell ref="E149:E151"/>
    <mergeCell ref="F149:F151"/>
    <mergeCell ref="G149:G151"/>
    <mergeCell ref="H149:H151"/>
    <mergeCell ref="I149:I151"/>
    <mergeCell ref="L135:M135"/>
    <mergeCell ref="C136:M136"/>
    <mergeCell ref="A137:A141"/>
    <mergeCell ref="B137:B141"/>
    <mergeCell ref="E139:E140"/>
    <mergeCell ref="G139:G140"/>
    <mergeCell ref="I139:I140"/>
    <mergeCell ref="L139:L140"/>
    <mergeCell ref="I141:J141"/>
    <mergeCell ref="C135:J135"/>
    <mergeCell ref="A122:A124"/>
    <mergeCell ref="B122:B124"/>
    <mergeCell ref="C122:C124"/>
    <mergeCell ref="D122:D124"/>
    <mergeCell ref="E122:E124"/>
    <mergeCell ref="F122:F124"/>
    <mergeCell ref="G122:G124"/>
    <mergeCell ref="H122:H124"/>
    <mergeCell ref="I122:I124"/>
    <mergeCell ref="A119:A121"/>
    <mergeCell ref="B119:B121"/>
    <mergeCell ref="C119:C121"/>
    <mergeCell ref="D119:D121"/>
    <mergeCell ref="E119:E121"/>
    <mergeCell ref="F119:F121"/>
    <mergeCell ref="G119:G121"/>
    <mergeCell ref="H119:H121"/>
    <mergeCell ref="I119:I120"/>
    <mergeCell ref="M103:M104"/>
    <mergeCell ref="F104:F107"/>
    <mergeCell ref="I106:I108"/>
    <mergeCell ref="I109:J109"/>
    <mergeCell ref="A110:A113"/>
    <mergeCell ref="B110:B113"/>
    <mergeCell ref="G110:G112"/>
    <mergeCell ref="I110:I112"/>
    <mergeCell ref="I113:J113"/>
    <mergeCell ref="I103:I105"/>
    <mergeCell ref="L103:L104"/>
    <mergeCell ref="I89:J89"/>
    <mergeCell ref="C90:J90"/>
    <mergeCell ref="L90:M90"/>
    <mergeCell ref="C91:M91"/>
    <mergeCell ref="A92:A102"/>
    <mergeCell ref="B92:B102"/>
    <mergeCell ref="C92:C102"/>
    <mergeCell ref="E93:E95"/>
    <mergeCell ref="G93:G95"/>
    <mergeCell ref="I93:I97"/>
    <mergeCell ref="F94:F95"/>
    <mergeCell ref="D99:D100"/>
    <mergeCell ref="E99:E100"/>
    <mergeCell ref="F99:F100"/>
    <mergeCell ref="G99:G100"/>
    <mergeCell ref="H99:H100"/>
    <mergeCell ref="I99:I100"/>
    <mergeCell ref="E102:H102"/>
    <mergeCell ref="I102:J102"/>
    <mergeCell ref="C76:M76"/>
    <mergeCell ref="G78:G82"/>
    <mergeCell ref="I78:I81"/>
    <mergeCell ref="E79:E80"/>
    <mergeCell ref="L79:L80"/>
    <mergeCell ref="M83:M84"/>
    <mergeCell ref="A87:A88"/>
    <mergeCell ref="B87:B88"/>
    <mergeCell ref="C87:C88"/>
    <mergeCell ref="D87:D88"/>
    <mergeCell ref="E87:E88"/>
    <mergeCell ref="F87:F88"/>
    <mergeCell ref="G87:G88"/>
    <mergeCell ref="H87:H88"/>
    <mergeCell ref="I87:I88"/>
    <mergeCell ref="L87:L88"/>
    <mergeCell ref="I83:I84"/>
    <mergeCell ref="G85:G86"/>
    <mergeCell ref="H85:H86"/>
    <mergeCell ref="I85:I86"/>
    <mergeCell ref="L85:L86"/>
    <mergeCell ref="A85:A86"/>
    <mergeCell ref="B85:B86"/>
    <mergeCell ref="C85:C86"/>
    <mergeCell ref="C72:C74"/>
    <mergeCell ref="D72:D74"/>
    <mergeCell ref="E72:E74"/>
    <mergeCell ref="F72:F74"/>
    <mergeCell ref="G72:G74"/>
    <mergeCell ref="H72:H74"/>
    <mergeCell ref="I72:I74"/>
    <mergeCell ref="L72:L73"/>
    <mergeCell ref="C75:J75"/>
    <mergeCell ref="L48:L49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L52:L53"/>
    <mergeCell ref="D37:D38"/>
    <mergeCell ref="E37:E38"/>
    <mergeCell ref="G37:G38"/>
    <mergeCell ref="H37:H38"/>
    <mergeCell ref="I37:I39"/>
    <mergeCell ref="L37:L38"/>
    <mergeCell ref="E40:H40"/>
    <mergeCell ref="I40:J40"/>
    <mergeCell ref="A43:A45"/>
    <mergeCell ref="B43:B45"/>
    <mergeCell ref="C43:C45"/>
    <mergeCell ref="D43:D45"/>
    <mergeCell ref="E43:E45"/>
    <mergeCell ref="F43:F45"/>
    <mergeCell ref="G43:G45"/>
    <mergeCell ref="H43:H45"/>
    <mergeCell ref="I43:I45"/>
    <mergeCell ref="L43:L45"/>
    <mergeCell ref="A37:A38"/>
    <mergeCell ref="B37:B38"/>
    <mergeCell ref="C37:C38"/>
    <mergeCell ref="H31:H33"/>
    <mergeCell ref="I31:I33"/>
    <mergeCell ref="A34:A35"/>
    <mergeCell ref="B34:B35"/>
    <mergeCell ref="C34:C35"/>
    <mergeCell ref="D34:D35"/>
    <mergeCell ref="E34:E35"/>
    <mergeCell ref="G34:G36"/>
    <mergeCell ref="H34:H35"/>
    <mergeCell ref="I34:I36"/>
    <mergeCell ref="A31:A33"/>
    <mergeCell ref="B31:B33"/>
    <mergeCell ref="C31:C33"/>
    <mergeCell ref="D31:D33"/>
    <mergeCell ref="E31:E33"/>
    <mergeCell ref="F31:F33"/>
    <mergeCell ref="G31:G33"/>
    <mergeCell ref="E27:H27"/>
    <mergeCell ref="I27:J27"/>
    <mergeCell ref="A29:A30"/>
    <mergeCell ref="B29:B30"/>
    <mergeCell ref="C29:C30"/>
    <mergeCell ref="D29:D30"/>
    <mergeCell ref="E29:E30"/>
    <mergeCell ref="G29:G30"/>
    <mergeCell ref="H29:H30"/>
    <mergeCell ref="I29:I30"/>
    <mergeCell ref="A17:A18"/>
    <mergeCell ref="B17:B18"/>
    <mergeCell ref="C17:C18"/>
    <mergeCell ref="D17:D18"/>
    <mergeCell ref="F17:F18"/>
    <mergeCell ref="G17:G18"/>
    <mergeCell ref="H17:H18"/>
    <mergeCell ref="I19:I20"/>
    <mergeCell ref="A21:A23"/>
    <mergeCell ref="B21:B23"/>
    <mergeCell ref="C21:C23"/>
    <mergeCell ref="E21:E22"/>
    <mergeCell ref="F21:F23"/>
    <mergeCell ref="G21:G23"/>
    <mergeCell ref="I21:I24"/>
    <mergeCell ref="I17:I18"/>
    <mergeCell ref="C15:M15"/>
    <mergeCell ref="A5:M5"/>
    <mergeCell ref="A6:M6"/>
    <mergeCell ref="A7:M7"/>
    <mergeCell ref="L8:M8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M9"/>
    <mergeCell ref="L10:L11"/>
    <mergeCell ref="A12:M12"/>
    <mergeCell ref="A13:M13"/>
    <mergeCell ref="B14:M14"/>
    <mergeCell ref="L22:L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L25:L26"/>
    <mergeCell ref="E46:H46"/>
    <mergeCell ref="I46:J46"/>
    <mergeCell ref="G48:G49"/>
    <mergeCell ref="H48:H49"/>
    <mergeCell ref="I48:I49"/>
    <mergeCell ref="A50:A51"/>
    <mergeCell ref="B50:B51"/>
    <mergeCell ref="C50:C51"/>
    <mergeCell ref="D50:D51"/>
    <mergeCell ref="E50:E51"/>
    <mergeCell ref="F50:F51"/>
    <mergeCell ref="G50:G51"/>
    <mergeCell ref="D48:D49"/>
    <mergeCell ref="E48:E49"/>
    <mergeCell ref="F48:F49"/>
    <mergeCell ref="H50:H51"/>
    <mergeCell ref="I50:I51"/>
    <mergeCell ref="E54:H54"/>
    <mergeCell ref="I54:J54"/>
    <mergeCell ref="E56:E58"/>
    <mergeCell ref="G56:G58"/>
    <mergeCell ref="I56:I58"/>
    <mergeCell ref="L56:L58"/>
    <mergeCell ref="F57:F58"/>
    <mergeCell ref="E59:E60"/>
    <mergeCell ref="G59:G62"/>
    <mergeCell ref="L59:L60"/>
    <mergeCell ref="I61:I62"/>
    <mergeCell ref="I59:I60"/>
    <mergeCell ref="A59:A61"/>
    <mergeCell ref="B59:B61"/>
    <mergeCell ref="C59:C61"/>
    <mergeCell ref="E64:H64"/>
    <mergeCell ref="I64:J64"/>
    <mergeCell ref="A66:A68"/>
    <mergeCell ref="B66:B68"/>
    <mergeCell ref="C66:C68"/>
    <mergeCell ref="D66:D68"/>
    <mergeCell ref="E66:E68"/>
    <mergeCell ref="G66:G68"/>
    <mergeCell ref="H66:H68"/>
    <mergeCell ref="I66:I68"/>
    <mergeCell ref="L66:L68"/>
    <mergeCell ref="M66:M68"/>
    <mergeCell ref="A69:A70"/>
    <mergeCell ref="B69:B70"/>
    <mergeCell ref="C69:C70"/>
    <mergeCell ref="E69:E70"/>
    <mergeCell ref="F69:F70"/>
    <mergeCell ref="G69:G70"/>
    <mergeCell ref="A83:A84"/>
    <mergeCell ref="B83:B84"/>
    <mergeCell ref="C83:C84"/>
    <mergeCell ref="D83:D84"/>
    <mergeCell ref="E83:E84"/>
    <mergeCell ref="F83:F84"/>
    <mergeCell ref="G83:G84"/>
    <mergeCell ref="H83:H84"/>
    <mergeCell ref="L83:L84"/>
    <mergeCell ref="H69:H70"/>
    <mergeCell ref="I69:I70"/>
    <mergeCell ref="L69:L70"/>
    <mergeCell ref="E71:H71"/>
    <mergeCell ref="I71:J71"/>
    <mergeCell ref="A72:A74"/>
    <mergeCell ref="B72:B74"/>
    <mergeCell ref="D85:D86"/>
    <mergeCell ref="E85:E86"/>
    <mergeCell ref="F85:F86"/>
    <mergeCell ref="E97:E98"/>
    <mergeCell ref="F97:F98"/>
    <mergeCell ref="G97:G98"/>
    <mergeCell ref="A103:A109"/>
    <mergeCell ref="B103:B109"/>
    <mergeCell ref="C103:C109"/>
    <mergeCell ref="E103:E106"/>
    <mergeCell ref="G103:G108"/>
    <mergeCell ref="E89:H89"/>
    <mergeCell ref="D116:D117"/>
    <mergeCell ref="E116:E117"/>
    <mergeCell ref="F116:F117"/>
    <mergeCell ref="G116:G117"/>
    <mergeCell ref="H116:H117"/>
    <mergeCell ref="I116:I117"/>
    <mergeCell ref="I118:J118"/>
    <mergeCell ref="L120:L121"/>
    <mergeCell ref="D126:D128"/>
    <mergeCell ref="E126:E128"/>
    <mergeCell ref="G126:G128"/>
    <mergeCell ref="H126:H128"/>
    <mergeCell ref="I126:I128"/>
    <mergeCell ref="F127:F128"/>
    <mergeCell ref="D155:D156"/>
    <mergeCell ref="E129:E130"/>
    <mergeCell ref="G129:G130"/>
    <mergeCell ref="I129:I130"/>
    <mergeCell ref="I131:J131"/>
    <mergeCell ref="C132:C134"/>
    <mergeCell ref="D132:D134"/>
    <mergeCell ref="E132:E134"/>
    <mergeCell ref="F132:F134"/>
    <mergeCell ref="G132:G134"/>
    <mergeCell ref="H132:H134"/>
    <mergeCell ref="I132:I134"/>
    <mergeCell ref="G143:G145"/>
    <mergeCell ref="I143:I147"/>
    <mergeCell ref="E146:E147"/>
    <mergeCell ref="F146:F147"/>
    <mergeCell ref="G146:G147"/>
    <mergeCell ref="A170:J170"/>
    <mergeCell ref="K1:M2"/>
    <mergeCell ref="K3:M3"/>
    <mergeCell ref="A167:J167"/>
    <mergeCell ref="A168:J168"/>
    <mergeCell ref="A169:J169"/>
    <mergeCell ref="A165:J165"/>
    <mergeCell ref="A166:J166"/>
    <mergeCell ref="A163:J163"/>
    <mergeCell ref="A164:J164"/>
    <mergeCell ref="A142:A148"/>
    <mergeCell ref="B142:B148"/>
    <mergeCell ref="C142:C148"/>
    <mergeCell ref="E143:E145"/>
    <mergeCell ref="F143:F145"/>
    <mergeCell ref="G153:G154"/>
    <mergeCell ref="I153:I154"/>
    <mergeCell ref="E153:E154"/>
    <mergeCell ref="A152:A154"/>
    <mergeCell ref="B152:B154"/>
    <mergeCell ref="C152:C154"/>
    <mergeCell ref="D152:D154"/>
    <mergeCell ref="A155:A156"/>
    <mergeCell ref="B155:B156"/>
  </mergeCells>
  <printOptions horizontalCentered="1"/>
  <pageMargins left="0.78740157480314965" right="0" top="0.19685039370078741" bottom="0.19685039370078741" header="0" footer="0"/>
  <pageSetup paperSize="9" scale="75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215"/>
  <sheetViews>
    <sheetView view="pageBreakPreview" topLeftCell="A63" zoomScaleNormal="100" zoomScaleSheetLayoutView="100" workbookViewId="0">
      <selection activeCell="O75" sqref="O75"/>
    </sheetView>
  </sheetViews>
  <sheetFormatPr defaultRowHeight="12.75" x14ac:dyDescent="0.2"/>
  <cols>
    <col min="1" max="4" width="2.7109375" style="9" customWidth="1"/>
    <col min="5" max="5" width="34.85546875" style="9" customWidth="1"/>
    <col min="6" max="6" width="2.7109375" style="68" customWidth="1"/>
    <col min="7" max="7" width="2.7109375" style="9" customWidth="1"/>
    <col min="8" max="8" width="2.7109375" style="114" customWidth="1"/>
    <col min="9" max="9" width="14.42578125" style="114" customWidth="1"/>
    <col min="10" max="10" width="7.7109375" style="10" customWidth="1"/>
    <col min="11" max="12" width="7.7109375" style="9" customWidth="1"/>
    <col min="13" max="13" width="6.85546875" style="9" customWidth="1"/>
    <col min="14" max="16" width="7.7109375" style="9" customWidth="1"/>
    <col min="17" max="17" width="6.7109375" style="9" customWidth="1"/>
    <col min="18" max="18" width="7.5703125" style="9" customWidth="1"/>
    <col min="19" max="19" width="8.42578125" style="9" hidden="1" customWidth="1"/>
    <col min="20" max="20" width="7.140625" style="9" hidden="1" customWidth="1"/>
    <col min="21" max="21" width="6" style="9" hidden="1" customWidth="1"/>
    <col min="22" max="22" width="7.7109375" style="9" hidden="1" customWidth="1"/>
    <col min="23" max="23" width="9.42578125" style="9" customWidth="1"/>
    <col min="24" max="24" width="10.140625" style="9" customWidth="1"/>
    <col min="25" max="25" width="27.85546875" style="9" customWidth="1"/>
    <col min="26" max="28" width="3.7109375" style="9" customWidth="1"/>
    <col min="29" max="16384" width="9.140625" style="6"/>
  </cols>
  <sheetData>
    <row r="1" spans="1:30" ht="18" customHeight="1" x14ac:dyDescent="0.2">
      <c r="A1" s="2872" t="s">
        <v>162</v>
      </c>
      <c r="B1" s="2872"/>
      <c r="C1" s="2872"/>
      <c r="D1" s="2872"/>
      <c r="E1" s="2872"/>
      <c r="F1" s="2872"/>
      <c r="G1" s="2872"/>
      <c r="H1" s="2872"/>
      <c r="I1" s="2872"/>
      <c r="J1" s="2872"/>
      <c r="K1" s="2872"/>
      <c r="L1" s="2872"/>
      <c r="M1" s="2872"/>
      <c r="N1" s="2872"/>
      <c r="O1" s="2872"/>
      <c r="P1" s="2872"/>
      <c r="Q1" s="2872"/>
      <c r="R1" s="2872"/>
      <c r="S1" s="2872"/>
      <c r="T1" s="2872"/>
      <c r="U1" s="2872"/>
      <c r="V1" s="2872"/>
      <c r="W1" s="2872"/>
      <c r="X1" s="2872"/>
      <c r="Y1" s="2872"/>
      <c r="Z1" s="2872"/>
      <c r="AA1" s="2872"/>
      <c r="AB1" s="2872"/>
    </row>
    <row r="2" spans="1:30" ht="18" customHeight="1" x14ac:dyDescent="0.2">
      <c r="A2" s="2873" t="s">
        <v>46</v>
      </c>
      <c r="B2" s="2873"/>
      <c r="C2" s="2873"/>
      <c r="D2" s="2873"/>
      <c r="E2" s="2873"/>
      <c r="F2" s="2873"/>
      <c r="G2" s="2873"/>
      <c r="H2" s="2873"/>
      <c r="I2" s="2873"/>
      <c r="J2" s="2873"/>
      <c r="K2" s="2873"/>
      <c r="L2" s="2873"/>
      <c r="M2" s="2873"/>
      <c r="N2" s="2873"/>
      <c r="O2" s="2873"/>
      <c r="P2" s="2873"/>
      <c r="Q2" s="2873"/>
      <c r="R2" s="2873"/>
      <c r="S2" s="2873"/>
      <c r="T2" s="2873"/>
      <c r="U2" s="2873"/>
      <c r="V2" s="2873"/>
      <c r="W2" s="2873"/>
      <c r="X2" s="2873"/>
      <c r="Y2" s="2873"/>
      <c r="Z2" s="2873"/>
      <c r="AA2" s="2873"/>
      <c r="AB2" s="2873"/>
    </row>
    <row r="3" spans="1:30" ht="18" customHeight="1" x14ac:dyDescent="0.2">
      <c r="A3" s="2874" t="s">
        <v>30</v>
      </c>
      <c r="B3" s="2874"/>
      <c r="C3" s="2874"/>
      <c r="D3" s="2874"/>
      <c r="E3" s="2874"/>
      <c r="F3" s="2874"/>
      <c r="G3" s="2874"/>
      <c r="H3" s="2874"/>
      <c r="I3" s="2874"/>
      <c r="J3" s="2874"/>
      <c r="K3" s="2874"/>
      <c r="L3" s="2874"/>
      <c r="M3" s="2874"/>
      <c r="N3" s="2874"/>
      <c r="O3" s="2874"/>
      <c r="P3" s="2874"/>
      <c r="Q3" s="2874"/>
      <c r="R3" s="2874"/>
      <c r="S3" s="2874"/>
      <c r="T3" s="2874"/>
      <c r="U3" s="2874"/>
      <c r="V3" s="2874"/>
      <c r="W3" s="2874"/>
      <c r="X3" s="2874"/>
      <c r="Y3" s="2874"/>
      <c r="Z3" s="2874"/>
      <c r="AA3" s="2874"/>
      <c r="AB3" s="2874"/>
      <c r="AC3" s="4"/>
      <c r="AD3" s="4"/>
    </row>
    <row r="4" spans="1:30" ht="15" customHeight="1" thickBot="1" x14ac:dyDescent="0.25">
      <c r="A4" s="329"/>
      <c r="B4" s="329"/>
      <c r="C4" s="329"/>
      <c r="D4" s="329"/>
      <c r="E4" s="329"/>
      <c r="F4" s="330"/>
      <c r="G4" s="329"/>
      <c r="H4" s="331"/>
      <c r="I4" s="331"/>
      <c r="J4" s="273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16" t="s">
        <v>0</v>
      </c>
      <c r="AA4" s="3216"/>
      <c r="AB4" s="3216"/>
    </row>
    <row r="5" spans="1:30" ht="30" customHeight="1" x14ac:dyDescent="0.2">
      <c r="A5" s="2876" t="s">
        <v>31</v>
      </c>
      <c r="B5" s="2879" t="s">
        <v>1</v>
      </c>
      <c r="C5" s="2879" t="s">
        <v>2</v>
      </c>
      <c r="D5" s="2879" t="s">
        <v>44</v>
      </c>
      <c r="E5" s="2882" t="s">
        <v>15</v>
      </c>
      <c r="F5" s="2885" t="s">
        <v>3</v>
      </c>
      <c r="G5" s="2879" t="s">
        <v>40</v>
      </c>
      <c r="H5" s="2903" t="s">
        <v>4</v>
      </c>
      <c r="I5" s="3221" t="s">
        <v>110</v>
      </c>
      <c r="J5" s="2906" t="s">
        <v>5</v>
      </c>
      <c r="K5" s="3208" t="s">
        <v>157</v>
      </c>
      <c r="L5" s="3209"/>
      <c r="M5" s="3209"/>
      <c r="N5" s="3210"/>
      <c r="O5" s="3208" t="s">
        <v>158</v>
      </c>
      <c r="P5" s="3209"/>
      <c r="Q5" s="3209"/>
      <c r="R5" s="3210"/>
      <c r="S5" s="3208" t="s">
        <v>159</v>
      </c>
      <c r="T5" s="3209"/>
      <c r="U5" s="3209"/>
      <c r="V5" s="3210"/>
      <c r="W5" s="2897" t="s">
        <v>111</v>
      </c>
      <c r="X5" s="2897" t="s">
        <v>160</v>
      </c>
      <c r="Y5" s="2900" t="s">
        <v>14</v>
      </c>
      <c r="Z5" s="2901"/>
      <c r="AA5" s="2901"/>
      <c r="AB5" s="2902"/>
    </row>
    <row r="6" spans="1:30" ht="14.25" customHeight="1" x14ac:dyDescent="0.2">
      <c r="A6" s="2877"/>
      <c r="B6" s="2880"/>
      <c r="C6" s="2880"/>
      <c r="D6" s="2880"/>
      <c r="E6" s="2883"/>
      <c r="F6" s="2886"/>
      <c r="G6" s="2880"/>
      <c r="H6" s="2904"/>
      <c r="I6" s="3222"/>
      <c r="J6" s="2907"/>
      <c r="K6" s="3217" t="s">
        <v>6</v>
      </c>
      <c r="L6" s="3219" t="s">
        <v>7</v>
      </c>
      <c r="M6" s="3220"/>
      <c r="N6" s="3211" t="s">
        <v>22</v>
      </c>
      <c r="O6" s="3217" t="s">
        <v>6</v>
      </c>
      <c r="P6" s="3219" t="s">
        <v>7</v>
      </c>
      <c r="Q6" s="3220"/>
      <c r="R6" s="3211" t="s">
        <v>22</v>
      </c>
      <c r="S6" s="3217" t="s">
        <v>6</v>
      </c>
      <c r="T6" s="3219" t="s">
        <v>7</v>
      </c>
      <c r="U6" s="3220"/>
      <c r="V6" s="3211" t="s">
        <v>22</v>
      </c>
      <c r="W6" s="2898"/>
      <c r="X6" s="2898"/>
      <c r="Y6" s="2888" t="s">
        <v>15</v>
      </c>
      <c r="Z6" s="2890" t="s">
        <v>264</v>
      </c>
      <c r="AA6" s="2891"/>
      <c r="AB6" s="2892"/>
    </row>
    <row r="7" spans="1:30" ht="84.75" customHeight="1" thickBot="1" x14ac:dyDescent="0.25">
      <c r="A7" s="2878"/>
      <c r="B7" s="2881"/>
      <c r="C7" s="2881"/>
      <c r="D7" s="2881"/>
      <c r="E7" s="2884"/>
      <c r="F7" s="2887"/>
      <c r="G7" s="2881"/>
      <c r="H7" s="2905"/>
      <c r="I7" s="3223"/>
      <c r="J7" s="2908"/>
      <c r="K7" s="3218"/>
      <c r="L7" s="8" t="s">
        <v>6</v>
      </c>
      <c r="M7" s="7" t="s">
        <v>16</v>
      </c>
      <c r="N7" s="3212"/>
      <c r="O7" s="3218"/>
      <c r="P7" s="8" t="s">
        <v>6</v>
      </c>
      <c r="Q7" s="7" t="s">
        <v>16</v>
      </c>
      <c r="R7" s="3212"/>
      <c r="S7" s="3218"/>
      <c r="T7" s="8" t="s">
        <v>6</v>
      </c>
      <c r="U7" s="7" t="s">
        <v>16</v>
      </c>
      <c r="V7" s="3212"/>
      <c r="W7" s="2899"/>
      <c r="X7" s="2899"/>
      <c r="Y7" s="2889"/>
      <c r="Z7" s="670" t="s">
        <v>41</v>
      </c>
      <c r="AA7" s="670" t="s">
        <v>115</v>
      </c>
      <c r="AB7" s="671" t="s">
        <v>161</v>
      </c>
    </row>
    <row r="8" spans="1:30" s="108" customFormat="1" ht="14.25" customHeight="1" x14ac:dyDescent="0.2">
      <c r="A8" s="2894" t="s">
        <v>109</v>
      </c>
      <c r="B8" s="2895"/>
      <c r="C8" s="2895"/>
      <c r="D8" s="2895"/>
      <c r="E8" s="2895"/>
      <c r="F8" s="2895"/>
      <c r="G8" s="2895"/>
      <c r="H8" s="2895"/>
      <c r="I8" s="2895"/>
      <c r="J8" s="2895"/>
      <c r="K8" s="2895"/>
      <c r="L8" s="2895"/>
      <c r="M8" s="2895"/>
      <c r="N8" s="2895"/>
      <c r="O8" s="2895"/>
      <c r="P8" s="2895"/>
      <c r="Q8" s="2895"/>
      <c r="R8" s="2895"/>
      <c r="S8" s="2895"/>
      <c r="T8" s="2895"/>
      <c r="U8" s="2895"/>
      <c r="V8" s="2895"/>
      <c r="W8" s="2895"/>
      <c r="X8" s="2895"/>
      <c r="Y8" s="2895"/>
      <c r="Z8" s="2895"/>
      <c r="AA8" s="2895"/>
      <c r="AB8" s="2896"/>
    </row>
    <row r="9" spans="1:30" s="108" customFormat="1" ht="14.25" customHeight="1" x14ac:dyDescent="0.2">
      <c r="A9" s="2909" t="s">
        <v>43</v>
      </c>
      <c r="B9" s="2910"/>
      <c r="C9" s="2910"/>
      <c r="D9" s="2910"/>
      <c r="E9" s="2910"/>
      <c r="F9" s="2910"/>
      <c r="G9" s="2910"/>
      <c r="H9" s="2910"/>
      <c r="I9" s="2910"/>
      <c r="J9" s="2910"/>
      <c r="K9" s="2910"/>
      <c r="L9" s="2910"/>
      <c r="M9" s="2910"/>
      <c r="N9" s="2910"/>
      <c r="O9" s="2910"/>
      <c r="P9" s="2910"/>
      <c r="Q9" s="2910"/>
      <c r="R9" s="2910"/>
      <c r="S9" s="2910"/>
      <c r="T9" s="2910"/>
      <c r="U9" s="2910"/>
      <c r="V9" s="2910"/>
      <c r="W9" s="2910"/>
      <c r="X9" s="2910"/>
      <c r="Y9" s="2910"/>
      <c r="Z9" s="2910"/>
      <c r="AA9" s="2910"/>
      <c r="AB9" s="2911"/>
    </row>
    <row r="10" spans="1:30" ht="16.5" customHeight="1" x14ac:dyDescent="0.2">
      <c r="A10" s="376" t="s">
        <v>8</v>
      </c>
      <c r="B10" s="2912" t="s">
        <v>47</v>
      </c>
      <c r="C10" s="2913"/>
      <c r="D10" s="2913"/>
      <c r="E10" s="2913"/>
      <c r="F10" s="2913"/>
      <c r="G10" s="2913"/>
      <c r="H10" s="2913"/>
      <c r="I10" s="2913"/>
      <c r="J10" s="2913"/>
      <c r="K10" s="2913"/>
      <c r="L10" s="2913"/>
      <c r="M10" s="2913"/>
      <c r="N10" s="2913"/>
      <c r="O10" s="2913"/>
      <c r="P10" s="2913"/>
      <c r="Q10" s="2913"/>
      <c r="R10" s="2913"/>
      <c r="S10" s="2913"/>
      <c r="T10" s="2913"/>
      <c r="U10" s="2913"/>
      <c r="V10" s="2913"/>
      <c r="W10" s="2913"/>
      <c r="X10" s="2913"/>
      <c r="Y10" s="2913"/>
      <c r="Z10" s="2913"/>
      <c r="AA10" s="2913"/>
      <c r="AB10" s="2914"/>
    </row>
    <row r="11" spans="1:30" ht="15" customHeight="1" x14ac:dyDescent="0.2">
      <c r="A11" s="377" t="s">
        <v>8</v>
      </c>
      <c r="B11" s="177" t="s">
        <v>8</v>
      </c>
      <c r="C11" s="2920" t="s">
        <v>48</v>
      </c>
      <c r="D11" s="2921"/>
      <c r="E11" s="2921"/>
      <c r="F11" s="2921"/>
      <c r="G11" s="2921"/>
      <c r="H11" s="2921"/>
      <c r="I11" s="2921"/>
      <c r="J11" s="2921"/>
      <c r="K11" s="2921"/>
      <c r="L11" s="2921"/>
      <c r="M11" s="2921"/>
      <c r="N11" s="2921"/>
      <c r="O11" s="2921"/>
      <c r="P11" s="2921"/>
      <c r="Q11" s="2921"/>
      <c r="R11" s="2921"/>
      <c r="S11" s="2921"/>
      <c r="T11" s="2921"/>
      <c r="U11" s="2921"/>
      <c r="V11" s="2921"/>
      <c r="W11" s="2921"/>
      <c r="X11" s="2921"/>
      <c r="Y11" s="2921"/>
      <c r="Z11" s="2921"/>
      <c r="AA11" s="2921"/>
      <c r="AB11" s="2922"/>
    </row>
    <row r="12" spans="1:30" ht="35.25" customHeight="1" x14ac:dyDescent="0.2">
      <c r="A12" s="378" t="s">
        <v>8</v>
      </c>
      <c r="B12" s="264" t="s">
        <v>8</v>
      </c>
      <c r="C12" s="395" t="s">
        <v>8</v>
      </c>
      <c r="D12" s="146"/>
      <c r="E12" s="1100" t="s">
        <v>82</v>
      </c>
      <c r="F12" s="835" t="s">
        <v>202</v>
      </c>
      <c r="G12" s="267" t="s">
        <v>50</v>
      </c>
      <c r="H12" s="268" t="s">
        <v>72</v>
      </c>
      <c r="I12" s="304"/>
      <c r="J12" s="12"/>
      <c r="K12" s="371"/>
      <c r="L12" s="339"/>
      <c r="M12" s="339"/>
      <c r="N12" s="405"/>
      <c r="O12" s="250"/>
      <c r="P12" s="245"/>
      <c r="Q12" s="245"/>
      <c r="R12" s="198"/>
      <c r="S12" s="279"/>
      <c r="T12" s="280"/>
      <c r="U12" s="280"/>
      <c r="V12" s="281"/>
      <c r="W12" s="243"/>
      <c r="X12" s="215"/>
      <c r="Y12" s="60"/>
      <c r="Z12" s="100"/>
      <c r="AA12" s="134"/>
      <c r="AB12" s="135"/>
    </row>
    <row r="13" spans="1:30" ht="39.75" customHeight="1" x14ac:dyDescent="0.2">
      <c r="A13" s="2757"/>
      <c r="B13" s="2727"/>
      <c r="C13" s="2991"/>
      <c r="D13" s="3063" t="s">
        <v>8</v>
      </c>
      <c r="E13" s="1151" t="s">
        <v>232</v>
      </c>
      <c r="F13" s="2869" t="s">
        <v>79</v>
      </c>
      <c r="G13" s="3202" t="s">
        <v>50</v>
      </c>
      <c r="H13" s="2710" t="s">
        <v>72</v>
      </c>
      <c r="I13" s="3213" t="s">
        <v>126</v>
      </c>
      <c r="J13" s="743" t="s">
        <v>108</v>
      </c>
      <c r="K13" s="741"/>
      <c r="L13" s="514"/>
      <c r="M13" s="514"/>
      <c r="N13" s="515"/>
      <c r="O13" s="513">
        <f>R13</f>
        <v>457.2</v>
      </c>
      <c r="P13" s="517"/>
      <c r="Q13" s="517"/>
      <c r="R13" s="518">
        <v>457.2</v>
      </c>
      <c r="S13" s="519"/>
      <c r="T13" s="520"/>
      <c r="U13" s="520"/>
      <c r="V13" s="521"/>
      <c r="W13" s="522"/>
      <c r="X13" s="608"/>
      <c r="Y13" s="1022"/>
      <c r="Z13" s="110"/>
      <c r="AA13" s="726"/>
      <c r="AB13" s="138"/>
    </row>
    <row r="14" spans="1:30" ht="16.5" customHeight="1" x14ac:dyDescent="0.2">
      <c r="A14" s="2757"/>
      <c r="B14" s="2727"/>
      <c r="C14" s="2991"/>
      <c r="D14" s="3064"/>
      <c r="E14" s="1156" t="s">
        <v>233</v>
      </c>
      <c r="F14" s="2870"/>
      <c r="G14" s="3199"/>
      <c r="H14" s="2711"/>
      <c r="I14" s="3214"/>
      <c r="J14" s="1031" t="s">
        <v>42</v>
      </c>
      <c r="K14" s="778"/>
      <c r="L14" s="784"/>
      <c r="M14" s="784"/>
      <c r="N14" s="983"/>
      <c r="O14" s="779"/>
      <c r="P14" s="984"/>
      <c r="Q14" s="984"/>
      <c r="R14" s="985"/>
      <c r="S14" s="780">
        <f>T14+V14</f>
        <v>0</v>
      </c>
      <c r="T14" s="781"/>
      <c r="U14" s="781"/>
      <c r="V14" s="852"/>
      <c r="W14" s="782">
        <v>500</v>
      </c>
      <c r="X14" s="886">
        <v>566.70000000000005</v>
      </c>
      <c r="Y14" s="1035" t="s">
        <v>216</v>
      </c>
      <c r="Z14" s="1036"/>
      <c r="AA14" s="1037"/>
      <c r="AB14" s="1038">
        <v>1</v>
      </c>
    </row>
    <row r="15" spans="1:30" ht="16.5" customHeight="1" x14ac:dyDescent="0.2">
      <c r="A15" s="2757"/>
      <c r="B15" s="2727"/>
      <c r="C15" s="2991"/>
      <c r="D15" s="3065"/>
      <c r="E15" s="1152" t="s">
        <v>237</v>
      </c>
      <c r="F15" s="2893"/>
      <c r="G15" s="3203"/>
      <c r="H15" s="2715"/>
      <c r="I15" s="3215"/>
      <c r="J15" s="1033"/>
      <c r="K15" s="375"/>
      <c r="L15" s="391"/>
      <c r="M15" s="391"/>
      <c r="N15" s="609"/>
      <c r="O15" s="386"/>
      <c r="P15" s="245"/>
      <c r="Q15" s="245"/>
      <c r="R15" s="557"/>
      <c r="S15" s="285"/>
      <c r="T15" s="292"/>
      <c r="U15" s="292"/>
      <c r="V15" s="573"/>
      <c r="W15" s="247"/>
      <c r="X15" s="216"/>
      <c r="Y15" s="1023"/>
      <c r="Z15" s="136"/>
      <c r="AA15" s="1034"/>
      <c r="AB15" s="137"/>
    </row>
    <row r="16" spans="1:30" ht="51.75" customHeight="1" x14ac:dyDescent="0.2">
      <c r="A16" s="937"/>
      <c r="B16" s="938"/>
      <c r="C16" s="939"/>
      <c r="D16" s="942" t="s">
        <v>10</v>
      </c>
      <c r="E16" s="879" t="s">
        <v>238</v>
      </c>
      <c r="F16" s="943"/>
      <c r="G16" s="940" t="s">
        <v>50</v>
      </c>
      <c r="H16" s="941" t="s">
        <v>72</v>
      </c>
      <c r="I16" s="948"/>
      <c r="J16" s="17" t="s">
        <v>108</v>
      </c>
      <c r="K16" s="371"/>
      <c r="L16" s="339"/>
      <c r="M16" s="339"/>
      <c r="N16" s="405"/>
      <c r="O16" s="374">
        <f>R16</f>
        <v>20</v>
      </c>
      <c r="P16" s="339"/>
      <c r="Q16" s="339"/>
      <c r="R16" s="387">
        <v>20</v>
      </c>
      <c r="S16" s="371"/>
      <c r="T16" s="339"/>
      <c r="U16" s="339"/>
      <c r="V16" s="405"/>
      <c r="W16" s="1198">
        <v>50</v>
      </c>
      <c r="X16" s="1199"/>
      <c r="Y16" s="974" t="s">
        <v>248</v>
      </c>
      <c r="Z16" s="210"/>
      <c r="AA16" s="210">
        <v>1</v>
      </c>
      <c r="AB16" s="211"/>
    </row>
    <row r="17" spans="1:28" ht="15.75" customHeight="1" x14ac:dyDescent="0.2">
      <c r="A17" s="2757"/>
      <c r="B17" s="2727"/>
      <c r="C17" s="2991"/>
      <c r="D17" s="3063" t="s">
        <v>45</v>
      </c>
      <c r="E17" s="2760" t="s">
        <v>193</v>
      </c>
      <c r="F17" s="2694"/>
      <c r="G17" s="3193" t="s">
        <v>50</v>
      </c>
      <c r="H17" s="2710" t="s">
        <v>72</v>
      </c>
      <c r="I17" s="3227" t="s">
        <v>125</v>
      </c>
      <c r="J17" s="740" t="s">
        <v>108</v>
      </c>
      <c r="K17" s="741"/>
      <c r="L17" s="514"/>
      <c r="M17" s="514"/>
      <c r="N17" s="515"/>
      <c r="O17" s="513">
        <f>R17</f>
        <v>50</v>
      </c>
      <c r="P17" s="514"/>
      <c r="Q17" s="514"/>
      <c r="R17" s="759">
        <v>50</v>
      </c>
      <c r="S17" s="741"/>
      <c r="T17" s="514"/>
      <c r="U17" s="514"/>
      <c r="V17" s="515"/>
      <c r="W17" s="1060"/>
      <c r="X17" s="608"/>
      <c r="Y17" s="763" t="s">
        <v>231</v>
      </c>
      <c r="Z17" s="1030">
        <v>1</v>
      </c>
      <c r="AA17" s="1028"/>
      <c r="AB17" s="1029"/>
    </row>
    <row r="18" spans="1:28" ht="27" customHeight="1" x14ac:dyDescent="0.2">
      <c r="A18" s="2757"/>
      <c r="B18" s="2727"/>
      <c r="C18" s="2991"/>
      <c r="D18" s="3064"/>
      <c r="E18" s="2702"/>
      <c r="F18" s="2696"/>
      <c r="G18" s="3007"/>
      <c r="H18" s="2711"/>
      <c r="I18" s="3228"/>
      <c r="J18" s="40" t="s">
        <v>42</v>
      </c>
      <c r="K18" s="375"/>
      <c r="L18" s="391"/>
      <c r="M18" s="391"/>
      <c r="N18" s="609"/>
      <c r="O18" s="250"/>
      <c r="P18" s="245"/>
      <c r="Q18" s="245"/>
      <c r="R18" s="557"/>
      <c r="S18" s="285"/>
      <c r="T18" s="292"/>
      <c r="U18" s="292"/>
      <c r="V18" s="573"/>
      <c r="W18" s="247">
        <v>300</v>
      </c>
      <c r="X18" s="216"/>
      <c r="Y18" s="1045" t="s">
        <v>194</v>
      </c>
      <c r="Z18" s="924"/>
      <c r="AA18" s="45">
        <v>1</v>
      </c>
      <c r="AB18" s="46"/>
    </row>
    <row r="19" spans="1:28" ht="25.5" customHeight="1" x14ac:dyDescent="0.2">
      <c r="A19" s="2757"/>
      <c r="B19" s="2727"/>
      <c r="C19" s="2991"/>
      <c r="D19" s="1043" t="s">
        <v>50</v>
      </c>
      <c r="E19" s="2760" t="s">
        <v>239</v>
      </c>
      <c r="F19" s="3114" t="s">
        <v>79</v>
      </c>
      <c r="G19" s="912" t="s">
        <v>50</v>
      </c>
      <c r="H19" s="1078" t="s">
        <v>72</v>
      </c>
      <c r="I19" s="3120" t="s">
        <v>125</v>
      </c>
      <c r="J19" s="1079" t="s">
        <v>108</v>
      </c>
      <c r="K19" s="410"/>
      <c r="L19" s="411"/>
      <c r="M19" s="411"/>
      <c r="N19" s="412"/>
      <c r="O19" s="372">
        <f>R19</f>
        <v>50</v>
      </c>
      <c r="P19" s="373"/>
      <c r="Q19" s="373"/>
      <c r="R19" s="260">
        <v>50</v>
      </c>
      <c r="S19" s="410">
        <f>T19+V19</f>
        <v>0</v>
      </c>
      <c r="T19" s="411"/>
      <c r="U19" s="411"/>
      <c r="V19" s="412">
        <v>0</v>
      </c>
      <c r="W19" s="1062"/>
      <c r="X19" s="343"/>
      <c r="Y19" s="1026" t="s">
        <v>230</v>
      </c>
      <c r="Z19" s="1027">
        <v>100</v>
      </c>
      <c r="AA19" s="1028"/>
      <c r="AB19" s="1029"/>
    </row>
    <row r="20" spans="1:28" ht="15" customHeight="1" x14ac:dyDescent="0.2">
      <c r="A20" s="2757"/>
      <c r="B20" s="2727"/>
      <c r="C20" s="2991"/>
      <c r="D20" s="1046"/>
      <c r="E20" s="2702"/>
      <c r="F20" s="3115"/>
      <c r="G20" s="1080"/>
      <c r="H20" s="1081"/>
      <c r="I20" s="3121"/>
      <c r="J20" s="721" t="s">
        <v>58</v>
      </c>
      <c r="K20" s="722"/>
      <c r="L20" s="677"/>
      <c r="M20" s="677"/>
      <c r="N20" s="724"/>
      <c r="O20" s="639"/>
      <c r="P20" s="640"/>
      <c r="Q20" s="640"/>
      <c r="R20" s="725"/>
      <c r="S20" s="722"/>
      <c r="T20" s="677"/>
      <c r="U20" s="677"/>
      <c r="V20" s="724"/>
      <c r="W20" s="1082">
        <v>50</v>
      </c>
      <c r="X20" s="649">
        <v>527</v>
      </c>
      <c r="Y20" s="3089" t="s">
        <v>259</v>
      </c>
      <c r="Z20" s="1071"/>
      <c r="AA20" s="1072">
        <v>1</v>
      </c>
      <c r="AB20" s="1073"/>
    </row>
    <row r="21" spans="1:28" ht="24.75" customHeight="1" x14ac:dyDescent="0.2">
      <c r="A21" s="2757"/>
      <c r="B21" s="2727"/>
      <c r="C21" s="2991"/>
      <c r="D21" s="1044"/>
      <c r="E21" s="1157"/>
      <c r="F21" s="3116"/>
      <c r="G21" s="1083"/>
      <c r="H21" s="1084"/>
      <c r="I21" s="3093"/>
      <c r="J21" s="1085" t="s">
        <v>42</v>
      </c>
      <c r="K21" s="406"/>
      <c r="L21" s="413"/>
      <c r="M21" s="413"/>
      <c r="N21" s="414"/>
      <c r="O21" s="386"/>
      <c r="P21" s="391"/>
      <c r="Q21" s="391"/>
      <c r="R21" s="392"/>
      <c r="S21" s="406"/>
      <c r="T21" s="413"/>
      <c r="U21" s="413"/>
      <c r="V21" s="414"/>
      <c r="W21" s="1086"/>
      <c r="X21" s="216">
        <v>30</v>
      </c>
      <c r="Y21" s="3090"/>
      <c r="Z21" s="63"/>
      <c r="AA21" s="764"/>
      <c r="AB21" s="765">
        <v>100</v>
      </c>
    </row>
    <row r="22" spans="1:28" ht="38.25" customHeight="1" x14ac:dyDescent="0.2">
      <c r="A22" s="1051"/>
      <c r="B22" s="1052"/>
      <c r="C22" s="451"/>
      <c r="D22" s="1053" t="s">
        <v>52</v>
      </c>
      <c r="E22" s="1087" t="s">
        <v>240</v>
      </c>
      <c r="F22" s="1088"/>
      <c r="G22" s="1089"/>
      <c r="H22" s="1081"/>
      <c r="I22" s="3094"/>
      <c r="J22" s="721" t="s">
        <v>58</v>
      </c>
      <c r="K22" s="639"/>
      <c r="L22" s="640"/>
      <c r="M22" s="640"/>
      <c r="N22" s="641"/>
      <c r="O22" s="639">
        <f>R22</f>
        <v>210.9</v>
      </c>
      <c r="P22" s="640"/>
      <c r="Q22" s="640"/>
      <c r="R22" s="725">
        <v>210.9</v>
      </c>
      <c r="S22" s="730"/>
      <c r="T22" s="640"/>
      <c r="U22" s="640"/>
      <c r="V22" s="641"/>
      <c r="W22" s="1082"/>
      <c r="X22" s="649"/>
      <c r="Y22" s="1069" t="s">
        <v>226</v>
      </c>
      <c r="Z22" s="1070" t="s">
        <v>224</v>
      </c>
      <c r="AA22" s="1077"/>
      <c r="AB22" s="527"/>
    </row>
    <row r="23" spans="1:28" ht="18.75" customHeight="1" x14ac:dyDescent="0.2">
      <c r="A23" s="2757"/>
      <c r="B23" s="2727"/>
      <c r="C23" s="2991"/>
      <c r="D23" s="3063" t="s">
        <v>54</v>
      </c>
      <c r="E23" s="2760" t="s">
        <v>289</v>
      </c>
      <c r="F23" s="2869" t="s">
        <v>79</v>
      </c>
      <c r="G23" s="3193" t="s">
        <v>50</v>
      </c>
      <c r="H23" s="2710" t="s">
        <v>72</v>
      </c>
      <c r="I23" s="3224" t="s">
        <v>125</v>
      </c>
      <c r="J23" s="740" t="s">
        <v>58</v>
      </c>
      <c r="K23" s="741"/>
      <c r="L23" s="514"/>
      <c r="M23" s="514"/>
      <c r="N23" s="515"/>
      <c r="O23" s="516"/>
      <c r="P23" s="742"/>
      <c r="Q23" s="742"/>
      <c r="R23" s="656"/>
      <c r="S23" s="519"/>
      <c r="T23" s="520"/>
      <c r="U23" s="520"/>
      <c r="V23" s="521"/>
      <c r="W23" s="522">
        <v>76</v>
      </c>
      <c r="X23" s="608"/>
      <c r="Y23" s="2690" t="s">
        <v>284</v>
      </c>
      <c r="Z23" s="340"/>
      <c r="AA23" s="77">
        <v>1</v>
      </c>
      <c r="AB23" s="78"/>
    </row>
    <row r="24" spans="1:28" ht="23.25" customHeight="1" x14ac:dyDescent="0.2">
      <c r="A24" s="2757"/>
      <c r="B24" s="2727"/>
      <c r="C24" s="2991"/>
      <c r="D24" s="3065"/>
      <c r="E24" s="2761"/>
      <c r="F24" s="2871"/>
      <c r="G24" s="3194"/>
      <c r="H24" s="2715"/>
      <c r="I24" s="3225"/>
      <c r="J24" s="40" t="s">
        <v>42</v>
      </c>
      <c r="K24" s="375"/>
      <c r="L24" s="391"/>
      <c r="M24" s="391"/>
      <c r="N24" s="609"/>
      <c r="O24" s="250"/>
      <c r="P24" s="245"/>
      <c r="Q24" s="245"/>
      <c r="R24" s="557"/>
      <c r="S24" s="285"/>
      <c r="T24" s="292"/>
      <c r="U24" s="292"/>
      <c r="V24" s="573"/>
      <c r="W24" s="247"/>
      <c r="X24" s="216"/>
      <c r="Y24" s="3090"/>
      <c r="Z24" s="744"/>
      <c r="AA24" s="63"/>
      <c r="AB24" s="64"/>
    </row>
    <row r="25" spans="1:28" ht="14.25" customHeight="1" x14ac:dyDescent="0.2">
      <c r="A25" s="2757"/>
      <c r="B25" s="2727"/>
      <c r="C25" s="2991"/>
      <c r="D25" s="2855" t="s">
        <v>55</v>
      </c>
      <c r="E25" s="2704" t="s">
        <v>143</v>
      </c>
      <c r="F25" s="2695" t="s">
        <v>79</v>
      </c>
      <c r="G25" s="3007" t="s">
        <v>50</v>
      </c>
      <c r="H25" s="2711" t="s">
        <v>72</v>
      </c>
      <c r="I25" s="3226"/>
      <c r="J25" s="17" t="s">
        <v>74</v>
      </c>
      <c r="K25" s="374">
        <f t="shared" ref="K25:K27" si="0">N25</f>
        <v>2472.5</v>
      </c>
      <c r="L25" s="339"/>
      <c r="M25" s="339"/>
      <c r="N25" s="387">
        <v>2472.5</v>
      </c>
      <c r="O25" s="372"/>
      <c r="P25" s="34"/>
      <c r="Q25" s="34"/>
      <c r="R25" s="107"/>
      <c r="S25" s="323"/>
      <c r="T25" s="287"/>
      <c r="U25" s="287"/>
      <c r="V25" s="288"/>
      <c r="W25" s="847"/>
      <c r="X25" s="105"/>
      <c r="Y25" s="2690" t="s">
        <v>260</v>
      </c>
      <c r="Z25" s="823"/>
      <c r="AA25" s="823"/>
      <c r="AB25" s="824"/>
    </row>
    <row r="26" spans="1:28" ht="14.25" customHeight="1" x14ac:dyDescent="0.2">
      <c r="A26" s="2757"/>
      <c r="B26" s="2727"/>
      <c r="C26" s="2991"/>
      <c r="D26" s="2855"/>
      <c r="E26" s="2844"/>
      <c r="F26" s="2695"/>
      <c r="G26" s="3007"/>
      <c r="H26" s="2711"/>
      <c r="I26" s="3226"/>
      <c r="J26" s="723" t="s">
        <v>42</v>
      </c>
      <c r="K26" s="639">
        <f t="shared" si="0"/>
        <v>2000</v>
      </c>
      <c r="L26" s="640"/>
      <c r="M26" s="640"/>
      <c r="N26" s="725">
        <v>2000</v>
      </c>
      <c r="O26" s="639">
        <f>R26</f>
        <v>66.3</v>
      </c>
      <c r="P26" s="672"/>
      <c r="Q26" s="672"/>
      <c r="R26" s="673">
        <v>66.3</v>
      </c>
      <c r="S26" s="674"/>
      <c r="T26" s="646"/>
      <c r="U26" s="646"/>
      <c r="V26" s="647"/>
      <c r="W26" s="848"/>
      <c r="X26" s="675"/>
      <c r="Y26" s="2692"/>
      <c r="Z26" s="336">
        <v>100</v>
      </c>
      <c r="AA26" s="336"/>
      <c r="AB26" s="278"/>
    </row>
    <row r="27" spans="1:28" ht="15.75" customHeight="1" x14ac:dyDescent="0.2">
      <c r="A27" s="2757"/>
      <c r="B27" s="2727"/>
      <c r="C27" s="2991"/>
      <c r="D27" s="2855"/>
      <c r="E27" s="2700"/>
      <c r="F27" s="2696"/>
      <c r="G27" s="3194"/>
      <c r="H27" s="2715"/>
      <c r="I27" s="3113"/>
      <c r="J27" s="40" t="s">
        <v>58</v>
      </c>
      <c r="K27" s="386">
        <f t="shared" si="0"/>
        <v>2522</v>
      </c>
      <c r="L27" s="391"/>
      <c r="M27" s="391"/>
      <c r="N27" s="392">
        <v>2522</v>
      </c>
      <c r="O27" s="593">
        <f>R27</f>
        <v>358</v>
      </c>
      <c r="P27" s="825"/>
      <c r="Q27" s="825"/>
      <c r="R27" s="826">
        <v>358</v>
      </c>
      <c r="S27" s="598"/>
      <c r="T27" s="599"/>
      <c r="U27" s="599"/>
      <c r="V27" s="607"/>
      <c r="W27" s="849"/>
      <c r="X27" s="827"/>
      <c r="Y27" s="2691"/>
      <c r="Z27" s="828"/>
      <c r="AA27" s="828"/>
      <c r="AB27" s="829"/>
    </row>
    <row r="28" spans="1:28" ht="17.25" customHeight="1" x14ac:dyDescent="0.2">
      <c r="A28" s="2757"/>
      <c r="B28" s="2727"/>
      <c r="C28" s="2991"/>
      <c r="D28" s="3064"/>
      <c r="E28" s="2703" t="s">
        <v>95</v>
      </c>
      <c r="F28" s="2694"/>
      <c r="G28" s="3193" t="s">
        <v>50</v>
      </c>
      <c r="H28" s="2710" t="s">
        <v>72</v>
      </c>
      <c r="I28" s="3224" t="s">
        <v>125</v>
      </c>
      <c r="J28" s="740" t="s">
        <v>75</v>
      </c>
      <c r="K28" s="741">
        <f>L28+N28</f>
        <v>127.5</v>
      </c>
      <c r="L28" s="514"/>
      <c r="M28" s="514"/>
      <c r="N28" s="515">
        <v>127.5</v>
      </c>
      <c r="O28" s="516"/>
      <c r="P28" s="742"/>
      <c r="Q28" s="742"/>
      <c r="R28" s="656"/>
      <c r="S28" s="519"/>
      <c r="T28" s="520"/>
      <c r="U28" s="520"/>
      <c r="V28" s="521"/>
      <c r="W28" s="522"/>
      <c r="X28" s="608"/>
      <c r="Y28" s="349"/>
      <c r="Z28" s="340"/>
      <c r="AA28" s="77"/>
      <c r="AB28" s="78"/>
    </row>
    <row r="29" spans="1:28" ht="18" customHeight="1" x14ac:dyDescent="0.2">
      <c r="A29" s="2757"/>
      <c r="B29" s="2727"/>
      <c r="C29" s="2991"/>
      <c r="D29" s="3064"/>
      <c r="E29" s="2704"/>
      <c r="F29" s="2695"/>
      <c r="G29" s="3007"/>
      <c r="H29" s="2711"/>
      <c r="I29" s="3225"/>
      <c r="J29" s="40" t="s">
        <v>58</v>
      </c>
      <c r="K29" s="375">
        <f>L29+N29</f>
        <v>0</v>
      </c>
      <c r="L29" s="391"/>
      <c r="M29" s="391"/>
      <c r="N29" s="609"/>
      <c r="O29" s="250"/>
      <c r="P29" s="245"/>
      <c r="Q29" s="245"/>
      <c r="R29" s="557"/>
      <c r="S29" s="285"/>
      <c r="T29" s="292"/>
      <c r="U29" s="292"/>
      <c r="V29" s="573"/>
      <c r="W29" s="247"/>
      <c r="X29" s="216"/>
      <c r="Y29" s="341"/>
      <c r="Z29" s="342"/>
      <c r="AA29" s="45"/>
      <c r="AB29" s="46"/>
    </row>
    <row r="30" spans="1:28" ht="15" customHeight="1" x14ac:dyDescent="0.2">
      <c r="A30" s="2757"/>
      <c r="B30" s="2727"/>
      <c r="C30" s="2991"/>
      <c r="D30" s="3064"/>
      <c r="E30" s="2703" t="s">
        <v>156</v>
      </c>
      <c r="F30" s="2694" t="s">
        <v>79</v>
      </c>
      <c r="G30" s="3205" t="s">
        <v>50</v>
      </c>
      <c r="H30" s="2710" t="s">
        <v>72</v>
      </c>
      <c r="I30" s="3226"/>
      <c r="J30" s="13" t="s">
        <v>42</v>
      </c>
      <c r="K30" s="410">
        <f t="shared" ref="K30:K32" si="1">N30</f>
        <v>50.3</v>
      </c>
      <c r="L30" s="411"/>
      <c r="M30" s="411"/>
      <c r="N30" s="412">
        <v>50.3</v>
      </c>
      <c r="O30" s="372"/>
      <c r="P30" s="34"/>
      <c r="Q30" s="34"/>
      <c r="R30" s="35"/>
      <c r="S30" s="353"/>
      <c r="T30" s="354"/>
      <c r="U30" s="354"/>
      <c r="V30" s="355"/>
      <c r="W30" s="36"/>
      <c r="X30" s="217"/>
      <c r="Y30" s="2690"/>
      <c r="Z30" s="126"/>
      <c r="AA30" s="126"/>
      <c r="AB30" s="127"/>
    </row>
    <row r="31" spans="1:28" ht="15" customHeight="1" x14ac:dyDescent="0.2">
      <c r="A31" s="2757"/>
      <c r="B31" s="2727"/>
      <c r="C31" s="2991"/>
      <c r="D31" s="3064"/>
      <c r="E31" s="2704"/>
      <c r="F31" s="2695"/>
      <c r="G31" s="3206"/>
      <c r="H31" s="2711"/>
      <c r="I31" s="3226"/>
      <c r="J31" s="723" t="s">
        <v>58</v>
      </c>
      <c r="K31" s="722">
        <f t="shared" si="1"/>
        <v>826.2</v>
      </c>
      <c r="L31" s="677"/>
      <c r="M31" s="677"/>
      <c r="N31" s="724">
        <v>826.2</v>
      </c>
      <c r="O31" s="639"/>
      <c r="P31" s="672"/>
      <c r="Q31" s="672"/>
      <c r="R31" s="751"/>
      <c r="S31" s="720"/>
      <c r="T31" s="679"/>
      <c r="U31" s="679"/>
      <c r="V31" s="680"/>
      <c r="W31" s="748"/>
      <c r="X31" s="675"/>
      <c r="Y31" s="2692"/>
      <c r="Z31" s="171"/>
      <c r="AA31" s="171"/>
      <c r="AB31" s="172"/>
    </row>
    <row r="32" spans="1:28" ht="15" customHeight="1" x14ac:dyDescent="0.2">
      <c r="A32" s="2757"/>
      <c r="B32" s="2727"/>
      <c r="C32" s="2991"/>
      <c r="D32" s="3064"/>
      <c r="E32" s="2705"/>
      <c r="F32" s="2696"/>
      <c r="G32" s="3207"/>
      <c r="H32" s="2715"/>
      <c r="I32" s="3226"/>
      <c r="J32" s="40" t="s">
        <v>75</v>
      </c>
      <c r="K32" s="406">
        <f t="shared" si="1"/>
        <v>180.2</v>
      </c>
      <c r="L32" s="413"/>
      <c r="M32" s="413"/>
      <c r="N32" s="414">
        <v>180.2</v>
      </c>
      <c r="O32" s="386"/>
      <c r="P32" s="149"/>
      <c r="Q32" s="149"/>
      <c r="R32" s="750"/>
      <c r="S32" s="350"/>
      <c r="T32" s="356"/>
      <c r="U32" s="356"/>
      <c r="V32" s="348"/>
      <c r="W32" s="611"/>
      <c r="X32" s="731"/>
      <c r="Y32" s="2691"/>
      <c r="Z32" s="821"/>
      <c r="AA32" s="821"/>
      <c r="AB32" s="822"/>
    </row>
    <row r="33" spans="1:28" ht="15.75" customHeight="1" x14ac:dyDescent="0.2">
      <c r="A33" s="688"/>
      <c r="B33" s="689"/>
      <c r="C33" s="699"/>
      <c r="D33" s="3064"/>
      <c r="E33" s="2704" t="s">
        <v>147</v>
      </c>
      <c r="F33" s="2695" t="s">
        <v>79</v>
      </c>
      <c r="G33" s="176" t="s">
        <v>50</v>
      </c>
      <c r="H33" s="690" t="s">
        <v>72</v>
      </c>
      <c r="I33" s="3228" t="s">
        <v>126</v>
      </c>
      <c r="J33" s="12" t="s">
        <v>77</v>
      </c>
      <c r="K33" s="409">
        <f>L33+N33</f>
        <v>3.2</v>
      </c>
      <c r="L33" s="407"/>
      <c r="M33" s="407"/>
      <c r="N33" s="408">
        <v>3.2</v>
      </c>
      <c r="O33" s="591"/>
      <c r="P33" s="244"/>
      <c r="Q33" s="244"/>
      <c r="R33" s="203"/>
      <c r="S33" s="739"/>
      <c r="T33" s="351"/>
      <c r="U33" s="351"/>
      <c r="V33" s="352"/>
      <c r="W33" s="243"/>
      <c r="X33" s="215"/>
      <c r="Y33" s="3230"/>
      <c r="Z33" s="134"/>
      <c r="AA33" s="134"/>
      <c r="AB33" s="135"/>
    </row>
    <row r="34" spans="1:28" ht="15.75" customHeight="1" x14ac:dyDescent="0.2">
      <c r="A34" s="688"/>
      <c r="B34" s="689"/>
      <c r="C34" s="699"/>
      <c r="D34" s="3064"/>
      <c r="E34" s="2704"/>
      <c r="F34" s="2695"/>
      <c r="G34" s="176"/>
      <c r="H34" s="690"/>
      <c r="I34" s="3228"/>
      <c r="J34" s="746" t="s">
        <v>42</v>
      </c>
      <c r="K34" s="722">
        <f>N34</f>
        <v>168.6</v>
      </c>
      <c r="L34" s="677"/>
      <c r="M34" s="677"/>
      <c r="N34" s="724">
        <v>168.6</v>
      </c>
      <c r="O34" s="747"/>
      <c r="P34" s="736"/>
      <c r="Q34" s="736"/>
      <c r="R34" s="644"/>
      <c r="S34" s="720"/>
      <c r="T34" s="679"/>
      <c r="U34" s="679"/>
      <c r="V34" s="680"/>
      <c r="W34" s="648"/>
      <c r="X34" s="649"/>
      <c r="Y34" s="3230"/>
      <c r="Z34" s="134"/>
      <c r="AA34" s="134"/>
      <c r="AB34" s="135"/>
    </row>
    <row r="35" spans="1:28" ht="15" customHeight="1" x14ac:dyDescent="0.2">
      <c r="A35" s="688"/>
      <c r="B35" s="689"/>
      <c r="C35" s="699"/>
      <c r="D35" s="3064"/>
      <c r="E35" s="2704"/>
      <c r="F35" s="2695"/>
      <c r="G35" s="176"/>
      <c r="H35" s="690"/>
      <c r="I35" s="3228"/>
      <c r="J35" s="723" t="s">
        <v>74</v>
      </c>
      <c r="K35" s="722">
        <f>L35+N35</f>
        <v>191.9</v>
      </c>
      <c r="L35" s="677"/>
      <c r="M35" s="677"/>
      <c r="N35" s="724">
        <v>191.9</v>
      </c>
      <c r="O35" s="747"/>
      <c r="P35" s="672"/>
      <c r="Q35" s="672"/>
      <c r="R35" s="644"/>
      <c r="S35" s="720"/>
      <c r="T35" s="679"/>
      <c r="U35" s="679"/>
      <c r="V35" s="680"/>
      <c r="W35" s="748"/>
      <c r="X35" s="749"/>
      <c r="Y35" s="3231"/>
      <c r="Z35" s="134"/>
      <c r="AA35" s="134"/>
      <c r="AB35" s="135"/>
    </row>
    <row r="36" spans="1:28" ht="14.25" customHeight="1" x14ac:dyDescent="0.2">
      <c r="A36" s="688"/>
      <c r="B36" s="689"/>
      <c r="C36" s="699"/>
      <c r="D36" s="146"/>
      <c r="E36" s="2704"/>
      <c r="F36" s="2695"/>
      <c r="G36" s="176"/>
      <c r="H36" s="690"/>
      <c r="I36" s="3228"/>
      <c r="J36" s="17" t="s">
        <v>78</v>
      </c>
      <c r="K36" s="375">
        <f>L36+N36</f>
        <v>23.7</v>
      </c>
      <c r="L36" s="339"/>
      <c r="M36" s="339"/>
      <c r="N36" s="405">
        <v>23.7</v>
      </c>
      <c r="O36" s="250"/>
      <c r="P36" s="49"/>
      <c r="Q36" s="49"/>
      <c r="R36" s="203"/>
      <c r="S36" s="285"/>
      <c r="T36" s="280"/>
      <c r="U36" s="280"/>
      <c r="V36" s="281"/>
      <c r="W36" s="51"/>
      <c r="X36" s="745"/>
      <c r="Y36" s="707"/>
      <c r="Z36" s="134"/>
      <c r="AA36" s="134"/>
      <c r="AB36" s="135"/>
    </row>
    <row r="37" spans="1:28" ht="15" customHeight="1" thickBot="1" x14ac:dyDescent="0.25">
      <c r="A37" s="378"/>
      <c r="B37" s="264"/>
      <c r="C37" s="396"/>
      <c r="D37" s="399"/>
      <c r="E37" s="3049"/>
      <c r="F37" s="3049"/>
      <c r="G37" s="3049"/>
      <c r="H37" s="3049"/>
      <c r="I37" s="3060" t="s">
        <v>112</v>
      </c>
      <c r="J37" s="3123"/>
      <c r="K37" s="400">
        <f t="shared" ref="K37:X37" si="2">SUM(K13:K36)</f>
        <v>8566.1</v>
      </c>
      <c r="L37" s="400">
        <f t="shared" si="2"/>
        <v>0</v>
      </c>
      <c r="M37" s="400">
        <f t="shared" si="2"/>
        <v>0</v>
      </c>
      <c r="N37" s="400">
        <f t="shared" si="2"/>
        <v>8566.1</v>
      </c>
      <c r="O37" s="400">
        <f t="shared" si="2"/>
        <v>1212.4000000000001</v>
      </c>
      <c r="P37" s="400">
        <f t="shared" si="2"/>
        <v>0</v>
      </c>
      <c r="Q37" s="400">
        <f t="shared" si="2"/>
        <v>0</v>
      </c>
      <c r="R37" s="400">
        <f t="shared" si="2"/>
        <v>1212.4000000000001</v>
      </c>
      <c r="S37" s="400">
        <f t="shared" si="2"/>
        <v>0</v>
      </c>
      <c r="T37" s="400">
        <f t="shared" si="2"/>
        <v>0</v>
      </c>
      <c r="U37" s="400">
        <f t="shared" si="2"/>
        <v>0</v>
      </c>
      <c r="V37" s="401">
        <f t="shared" si="2"/>
        <v>0</v>
      </c>
      <c r="W37" s="400">
        <f t="shared" si="2"/>
        <v>976</v>
      </c>
      <c r="X37" s="400">
        <f t="shared" si="2"/>
        <v>1123.7</v>
      </c>
      <c r="Y37" s="402"/>
      <c r="Z37" s="403"/>
      <c r="AA37" s="403"/>
      <c r="AB37" s="404"/>
    </row>
    <row r="38" spans="1:28" ht="32.25" customHeight="1" x14ac:dyDescent="0.2">
      <c r="A38" s="379" t="s">
        <v>8</v>
      </c>
      <c r="B38" s="274" t="s">
        <v>8</v>
      </c>
      <c r="C38" s="397" t="s">
        <v>10</v>
      </c>
      <c r="D38" s="148"/>
      <c r="E38" s="133" t="s">
        <v>83</v>
      </c>
      <c r="F38" s="834" t="s">
        <v>205</v>
      </c>
      <c r="G38" s="277"/>
      <c r="H38" s="276"/>
      <c r="I38" s="144"/>
      <c r="J38" s="74"/>
      <c r="K38" s="415"/>
      <c r="L38" s="416"/>
      <c r="M38" s="416"/>
      <c r="N38" s="417"/>
      <c r="O38" s="418"/>
      <c r="P38" s="66"/>
      <c r="Q38" s="66"/>
      <c r="R38" s="80"/>
      <c r="S38" s="289"/>
      <c r="T38" s="290"/>
      <c r="U38" s="290"/>
      <c r="V38" s="715"/>
      <c r="W38" s="76"/>
      <c r="X38" s="102"/>
      <c r="Y38" s="545"/>
      <c r="Z38" s="686"/>
      <c r="AA38" s="727"/>
      <c r="AB38" s="728"/>
    </row>
    <row r="39" spans="1:28" ht="17.25" customHeight="1" x14ac:dyDescent="0.2">
      <c r="A39" s="2759"/>
      <c r="B39" s="2727"/>
      <c r="C39" s="2991"/>
      <c r="D39" s="3063" t="s">
        <v>8</v>
      </c>
      <c r="E39" s="2703" t="s">
        <v>105</v>
      </c>
      <c r="F39" s="129" t="s">
        <v>79</v>
      </c>
      <c r="G39" s="3193" t="s">
        <v>50</v>
      </c>
      <c r="H39" s="2710" t="s">
        <v>72</v>
      </c>
      <c r="I39" s="3037" t="s">
        <v>125</v>
      </c>
      <c r="J39" s="740" t="s">
        <v>42</v>
      </c>
      <c r="K39" s="513"/>
      <c r="L39" s="514"/>
      <c r="M39" s="514"/>
      <c r="N39" s="759"/>
      <c r="O39" s="741"/>
      <c r="P39" s="517"/>
      <c r="Q39" s="517"/>
      <c r="R39" s="602"/>
      <c r="S39" s="603">
        <f t="shared" ref="S39:S50" si="3">T39+V39</f>
        <v>0</v>
      </c>
      <c r="T39" s="520"/>
      <c r="U39" s="520"/>
      <c r="V39" s="521"/>
      <c r="W39" s="522">
        <v>500</v>
      </c>
      <c r="X39" s="608">
        <v>1000</v>
      </c>
      <c r="Y39" s="693" t="s">
        <v>76</v>
      </c>
      <c r="Z39" s="77">
        <v>1</v>
      </c>
      <c r="AA39" s="77"/>
      <c r="AB39" s="78"/>
    </row>
    <row r="40" spans="1:28" ht="25.5" customHeight="1" x14ac:dyDescent="0.2">
      <c r="A40" s="2759"/>
      <c r="B40" s="2727"/>
      <c r="C40" s="2991"/>
      <c r="D40" s="3065"/>
      <c r="E40" s="2705"/>
      <c r="F40" s="703"/>
      <c r="G40" s="3194"/>
      <c r="H40" s="2715"/>
      <c r="I40" s="3067"/>
      <c r="J40" s="40" t="s">
        <v>58</v>
      </c>
      <c r="K40" s="386">
        <f t="shared" ref="K40:K50" si="4">L40+N40</f>
        <v>247</v>
      </c>
      <c r="L40" s="391"/>
      <c r="M40" s="391"/>
      <c r="N40" s="392">
        <v>247</v>
      </c>
      <c r="O40" s="375">
        <f>P40+R40</f>
        <v>83.7</v>
      </c>
      <c r="P40" s="391"/>
      <c r="Q40" s="391"/>
      <c r="R40" s="609">
        <v>83.7</v>
      </c>
      <c r="S40" s="291">
        <f t="shared" si="3"/>
        <v>0</v>
      </c>
      <c r="T40" s="292"/>
      <c r="U40" s="292"/>
      <c r="V40" s="573">
        <v>0</v>
      </c>
      <c r="W40" s="247">
        <v>1500</v>
      </c>
      <c r="X40" s="199">
        <v>3000</v>
      </c>
      <c r="Y40" s="766" t="s">
        <v>285</v>
      </c>
      <c r="Z40" s="63"/>
      <c r="AA40" s="63">
        <v>25</v>
      </c>
      <c r="AB40" s="64">
        <v>75</v>
      </c>
    </row>
    <row r="41" spans="1:28" ht="27" customHeight="1" x14ac:dyDescent="0.2">
      <c r="A41" s="2759"/>
      <c r="B41" s="2727"/>
      <c r="C41" s="2991"/>
      <c r="D41" s="3063" t="s">
        <v>10</v>
      </c>
      <c r="E41" s="2703" t="s">
        <v>241</v>
      </c>
      <c r="F41" s="2694" t="s">
        <v>79</v>
      </c>
      <c r="G41" s="3193" t="s">
        <v>50</v>
      </c>
      <c r="H41" s="2710" t="s">
        <v>72</v>
      </c>
      <c r="I41" s="3003" t="s">
        <v>125</v>
      </c>
      <c r="J41" s="13" t="s">
        <v>58</v>
      </c>
      <c r="K41" s="372">
        <f t="shared" si="4"/>
        <v>240</v>
      </c>
      <c r="L41" s="373"/>
      <c r="M41" s="373"/>
      <c r="N41" s="260">
        <v>240</v>
      </c>
      <c r="O41" s="390">
        <f>P41+R41</f>
        <v>535.9</v>
      </c>
      <c r="P41" s="34"/>
      <c r="Q41" s="34"/>
      <c r="R41" s="107">
        <v>535.9</v>
      </c>
      <c r="S41" s="323">
        <f t="shared" si="3"/>
        <v>0</v>
      </c>
      <c r="T41" s="287"/>
      <c r="U41" s="287"/>
      <c r="V41" s="288">
        <v>0</v>
      </c>
      <c r="W41" s="36">
        <v>1137.5999999999999</v>
      </c>
      <c r="X41" s="767"/>
      <c r="Y41" s="768" t="s">
        <v>189</v>
      </c>
      <c r="Z41" s="769"/>
      <c r="AA41" s="770"/>
      <c r="AB41" s="771"/>
    </row>
    <row r="42" spans="1:28" ht="16.5" customHeight="1" x14ac:dyDescent="0.2">
      <c r="A42" s="2759"/>
      <c r="B42" s="2727"/>
      <c r="C42" s="2991"/>
      <c r="D42" s="3064"/>
      <c r="E42" s="2704"/>
      <c r="F42" s="2695"/>
      <c r="G42" s="3007"/>
      <c r="H42" s="2711"/>
      <c r="I42" s="3058"/>
      <c r="J42" s="723" t="s">
        <v>108</v>
      </c>
      <c r="K42" s="639">
        <f t="shared" si="4"/>
        <v>0</v>
      </c>
      <c r="L42" s="640"/>
      <c r="M42" s="640"/>
      <c r="N42" s="725">
        <v>0</v>
      </c>
      <c r="O42" s="730">
        <f>P42+R42</f>
        <v>142.9</v>
      </c>
      <c r="P42" s="736"/>
      <c r="Q42" s="736"/>
      <c r="R42" s="673">
        <v>142.9</v>
      </c>
      <c r="S42" s="674">
        <f t="shared" si="3"/>
        <v>0</v>
      </c>
      <c r="T42" s="646"/>
      <c r="U42" s="646"/>
      <c r="V42" s="647">
        <v>0</v>
      </c>
      <c r="W42" s="648"/>
      <c r="X42" s="649"/>
      <c r="Y42" s="711" t="s">
        <v>104</v>
      </c>
      <c r="Z42" s="712">
        <v>100</v>
      </c>
      <c r="AA42" s="713"/>
      <c r="AB42" s="714"/>
    </row>
    <row r="43" spans="1:28" ht="40.5" customHeight="1" x14ac:dyDescent="0.2">
      <c r="A43" s="2759"/>
      <c r="B43" s="2727"/>
      <c r="C43" s="2991"/>
      <c r="D43" s="3065"/>
      <c r="E43" s="2705"/>
      <c r="F43" s="2696"/>
      <c r="G43" s="3194"/>
      <c r="H43" s="2715"/>
      <c r="I43" s="3059"/>
      <c r="J43" s="40" t="s">
        <v>42</v>
      </c>
      <c r="K43" s="386">
        <f t="shared" si="4"/>
        <v>30</v>
      </c>
      <c r="L43" s="391"/>
      <c r="M43" s="391"/>
      <c r="N43" s="392">
        <v>30</v>
      </c>
      <c r="O43" s="375"/>
      <c r="P43" s="33"/>
      <c r="Q43" s="33"/>
      <c r="R43" s="731"/>
      <c r="S43" s="291">
        <f t="shared" si="3"/>
        <v>0</v>
      </c>
      <c r="T43" s="292"/>
      <c r="U43" s="292"/>
      <c r="V43" s="573">
        <v>0</v>
      </c>
      <c r="W43" s="648">
        <v>143.30000000000001</v>
      </c>
      <c r="X43" s="216"/>
      <c r="Y43" s="772" t="s">
        <v>190</v>
      </c>
      <c r="Z43" s="757"/>
      <c r="AA43" s="789">
        <v>100</v>
      </c>
      <c r="AB43" s="758"/>
    </row>
    <row r="44" spans="1:28" ht="18" customHeight="1" x14ac:dyDescent="0.2">
      <c r="A44" s="2759"/>
      <c r="B44" s="2727"/>
      <c r="C44" s="2991"/>
      <c r="D44" s="3063" t="s">
        <v>45</v>
      </c>
      <c r="E44" s="2760" t="s">
        <v>196</v>
      </c>
      <c r="F44" s="129" t="s">
        <v>79</v>
      </c>
      <c r="G44" s="3193" t="s">
        <v>50</v>
      </c>
      <c r="H44" s="2710" t="s">
        <v>72</v>
      </c>
      <c r="I44" s="3003" t="s">
        <v>125</v>
      </c>
      <c r="J44" s="740" t="s">
        <v>58</v>
      </c>
      <c r="K44" s="513">
        <f t="shared" ref="K44" si="5">L44+N44</f>
        <v>0</v>
      </c>
      <c r="L44" s="514"/>
      <c r="M44" s="514"/>
      <c r="N44" s="759"/>
      <c r="O44" s="760">
        <f>P44+R44</f>
        <v>320</v>
      </c>
      <c r="P44" s="742"/>
      <c r="Q44" s="742"/>
      <c r="R44" s="761">
        <v>320</v>
      </c>
      <c r="S44" s="603">
        <f t="shared" ref="S44" si="6">T44+V44</f>
        <v>0</v>
      </c>
      <c r="T44" s="520"/>
      <c r="U44" s="520"/>
      <c r="V44" s="521"/>
      <c r="W44" s="850">
        <v>550</v>
      </c>
      <c r="X44" s="762">
        <v>600</v>
      </c>
      <c r="Y44" s="1057" t="s">
        <v>96</v>
      </c>
      <c r="Z44" s="77">
        <v>1</v>
      </c>
      <c r="AA44" s="77"/>
      <c r="AB44" s="78"/>
    </row>
    <row r="45" spans="1:28" ht="39" customHeight="1" x14ac:dyDescent="0.2">
      <c r="A45" s="2759"/>
      <c r="B45" s="2727"/>
      <c r="C45" s="2991"/>
      <c r="D45" s="3125"/>
      <c r="E45" s="3126"/>
      <c r="F45" s="1094"/>
      <c r="G45" s="3195"/>
      <c r="H45" s="2924"/>
      <c r="I45" s="3058"/>
      <c r="J45" s="783" t="s">
        <v>42</v>
      </c>
      <c r="K45" s="779"/>
      <c r="L45" s="784"/>
      <c r="M45" s="784"/>
      <c r="N45" s="785"/>
      <c r="O45" s="1101"/>
      <c r="P45" s="984"/>
      <c r="Q45" s="984"/>
      <c r="R45" s="1102"/>
      <c r="S45" s="1103"/>
      <c r="T45" s="781"/>
      <c r="U45" s="781"/>
      <c r="V45" s="852"/>
      <c r="W45" s="782">
        <v>50</v>
      </c>
      <c r="X45" s="886">
        <v>50</v>
      </c>
      <c r="Y45" s="1095" t="s">
        <v>195</v>
      </c>
      <c r="Z45" s="1096"/>
      <c r="AA45" s="1097">
        <v>40</v>
      </c>
      <c r="AB45" s="1098">
        <v>100</v>
      </c>
    </row>
    <row r="46" spans="1:28" ht="28.5" customHeight="1" x14ac:dyDescent="0.2">
      <c r="A46" s="1051"/>
      <c r="B46" s="1052"/>
      <c r="C46" s="451"/>
      <c r="D46" s="1050" t="s">
        <v>50</v>
      </c>
      <c r="E46" s="1093" t="s">
        <v>242</v>
      </c>
      <c r="F46" s="253"/>
      <c r="G46" s="1056" t="s">
        <v>50</v>
      </c>
      <c r="H46" s="1054" t="s">
        <v>72</v>
      </c>
      <c r="I46" s="3004"/>
      <c r="J46" s="246" t="s">
        <v>58</v>
      </c>
      <c r="K46" s="386"/>
      <c r="L46" s="391"/>
      <c r="M46" s="391"/>
      <c r="N46" s="609"/>
      <c r="O46" s="386">
        <f>R46</f>
        <v>131.19999999999999</v>
      </c>
      <c r="P46" s="391"/>
      <c r="Q46" s="391"/>
      <c r="R46" s="392">
        <v>131.19999999999999</v>
      </c>
      <c r="S46" s="285"/>
      <c r="T46" s="292"/>
      <c r="U46" s="292"/>
      <c r="V46" s="573"/>
      <c r="W46" s="247"/>
      <c r="X46" s="199"/>
      <c r="Y46" s="1200" t="s">
        <v>250</v>
      </c>
      <c r="Z46" s="1074" t="s">
        <v>224</v>
      </c>
      <c r="AA46" s="967"/>
      <c r="AB46" s="365"/>
    </row>
    <row r="47" spans="1:28" ht="27" customHeight="1" x14ac:dyDescent="0.2">
      <c r="A47" s="2759"/>
      <c r="B47" s="2727"/>
      <c r="C47" s="2991"/>
      <c r="D47" s="3063" t="s">
        <v>52</v>
      </c>
      <c r="E47" s="2760" t="s">
        <v>210</v>
      </c>
      <c r="F47" s="1099" t="s">
        <v>79</v>
      </c>
      <c r="G47" s="3193" t="s">
        <v>50</v>
      </c>
      <c r="H47" s="2710" t="s">
        <v>72</v>
      </c>
      <c r="I47" s="3112" t="s">
        <v>125</v>
      </c>
      <c r="J47" s="740" t="s">
        <v>58</v>
      </c>
      <c r="K47" s="513"/>
      <c r="L47" s="514"/>
      <c r="M47" s="514"/>
      <c r="N47" s="759"/>
      <c r="O47" s="760">
        <f>R47</f>
        <v>550</v>
      </c>
      <c r="P47" s="742"/>
      <c r="Q47" s="742"/>
      <c r="R47" s="761">
        <v>550</v>
      </c>
      <c r="S47" s="603"/>
      <c r="T47" s="520"/>
      <c r="U47" s="520"/>
      <c r="V47" s="521"/>
      <c r="W47" s="850"/>
      <c r="X47" s="762"/>
      <c r="Y47" s="2690" t="s">
        <v>211</v>
      </c>
      <c r="Z47" s="77">
        <v>1</v>
      </c>
      <c r="AA47" s="77"/>
      <c r="AB47" s="78"/>
    </row>
    <row r="48" spans="1:28" ht="25.5" customHeight="1" x14ac:dyDescent="0.2">
      <c r="A48" s="2759"/>
      <c r="B48" s="2727"/>
      <c r="C48" s="2991"/>
      <c r="D48" s="3065"/>
      <c r="E48" s="2761"/>
      <c r="F48" s="813"/>
      <c r="G48" s="3194"/>
      <c r="H48" s="2715"/>
      <c r="I48" s="3124"/>
      <c r="J48" s="40" t="s">
        <v>108</v>
      </c>
      <c r="K48" s="386"/>
      <c r="L48" s="391"/>
      <c r="M48" s="391"/>
      <c r="N48" s="392"/>
      <c r="O48" s="33">
        <f>R48</f>
        <v>85</v>
      </c>
      <c r="P48" s="245"/>
      <c r="Q48" s="245"/>
      <c r="R48" s="89">
        <v>85</v>
      </c>
      <c r="S48" s="291"/>
      <c r="T48" s="292"/>
      <c r="U48" s="292"/>
      <c r="V48" s="573"/>
      <c r="W48" s="247"/>
      <c r="X48" s="199"/>
      <c r="Y48" s="3133"/>
      <c r="Z48" s="63">
        <v>100</v>
      </c>
      <c r="AA48" s="764"/>
      <c r="AB48" s="765"/>
    </row>
    <row r="49" spans="1:28" ht="27" customHeight="1" x14ac:dyDescent="0.2">
      <c r="A49" s="1051"/>
      <c r="B49" s="1052"/>
      <c r="C49" s="451"/>
      <c r="D49" s="311" t="s">
        <v>54</v>
      </c>
      <c r="E49" s="1063" t="s">
        <v>243</v>
      </c>
      <c r="F49" s="457"/>
      <c r="G49" s="458" t="s">
        <v>50</v>
      </c>
      <c r="H49" s="1059" t="s">
        <v>72</v>
      </c>
      <c r="I49" s="3113"/>
      <c r="J49" s="39" t="s">
        <v>58</v>
      </c>
      <c r="K49" s="223"/>
      <c r="L49" s="224"/>
      <c r="M49" s="224"/>
      <c r="N49" s="233"/>
      <c r="O49" s="223">
        <f>R49</f>
        <v>34.700000000000003</v>
      </c>
      <c r="P49" s="224"/>
      <c r="Q49" s="224"/>
      <c r="R49" s="225">
        <v>34.700000000000003</v>
      </c>
      <c r="S49" s="282"/>
      <c r="T49" s="283"/>
      <c r="U49" s="283"/>
      <c r="V49" s="284"/>
      <c r="W49" s="165"/>
      <c r="X49" s="83"/>
      <c r="Y49" s="1066" t="s">
        <v>225</v>
      </c>
      <c r="Z49" s="1067" t="s">
        <v>224</v>
      </c>
      <c r="AA49" s="1068"/>
      <c r="AB49" s="540"/>
    </row>
    <row r="50" spans="1:28" ht="54" customHeight="1" x14ac:dyDescent="0.2">
      <c r="A50" s="688"/>
      <c r="B50" s="689"/>
      <c r="C50" s="694"/>
      <c r="D50" s="698" t="s">
        <v>55</v>
      </c>
      <c r="E50" s="1155" t="s">
        <v>271</v>
      </c>
      <c r="F50" s="701" t="s">
        <v>79</v>
      </c>
      <c r="G50" s="695" t="s">
        <v>50</v>
      </c>
      <c r="H50" s="690" t="s">
        <v>72</v>
      </c>
      <c r="I50" s="166" t="s">
        <v>125</v>
      </c>
      <c r="J50" s="17" t="s">
        <v>58</v>
      </c>
      <c r="K50" s="386">
        <f t="shared" si="4"/>
        <v>0</v>
      </c>
      <c r="L50" s="391"/>
      <c r="M50" s="391"/>
      <c r="N50" s="392"/>
      <c r="O50" s="375"/>
      <c r="P50" s="49"/>
      <c r="Q50" s="49"/>
      <c r="R50" s="201"/>
      <c r="S50" s="291">
        <f t="shared" si="3"/>
        <v>0</v>
      </c>
      <c r="T50" s="292"/>
      <c r="U50" s="292"/>
      <c r="V50" s="573"/>
      <c r="W50" s="104">
        <v>30</v>
      </c>
      <c r="X50" s="175">
        <v>120</v>
      </c>
      <c r="Y50" s="1047" t="s">
        <v>76</v>
      </c>
      <c r="Z50" s="136"/>
      <c r="AA50" s="136"/>
      <c r="AB50" s="137">
        <v>1</v>
      </c>
    </row>
    <row r="51" spans="1:28" ht="14.25" customHeight="1" thickBot="1" x14ac:dyDescent="0.25">
      <c r="A51" s="380"/>
      <c r="B51" s="272"/>
      <c r="C51" s="398"/>
      <c r="D51" s="399"/>
      <c r="E51" s="3049"/>
      <c r="F51" s="3049"/>
      <c r="G51" s="3049"/>
      <c r="H51" s="3134"/>
      <c r="I51" s="3060" t="s">
        <v>112</v>
      </c>
      <c r="J51" s="3061"/>
      <c r="K51" s="400">
        <f t="shared" ref="K51:X51" si="7">SUM(K39:K50)</f>
        <v>517</v>
      </c>
      <c r="L51" s="400">
        <f t="shared" si="7"/>
        <v>0</v>
      </c>
      <c r="M51" s="400">
        <f t="shared" si="7"/>
        <v>0</v>
      </c>
      <c r="N51" s="400">
        <f t="shared" si="7"/>
        <v>517</v>
      </c>
      <c r="O51" s="400">
        <f t="shared" si="7"/>
        <v>1883.4</v>
      </c>
      <c r="P51" s="400">
        <f t="shared" si="7"/>
        <v>0</v>
      </c>
      <c r="Q51" s="400">
        <f t="shared" si="7"/>
        <v>0</v>
      </c>
      <c r="R51" s="400">
        <f>SUM(R39:R50)</f>
        <v>1883.4</v>
      </c>
      <c r="S51" s="400">
        <f t="shared" si="7"/>
        <v>0</v>
      </c>
      <c r="T51" s="400">
        <f t="shared" si="7"/>
        <v>0</v>
      </c>
      <c r="U51" s="400">
        <f t="shared" si="7"/>
        <v>0</v>
      </c>
      <c r="V51" s="401">
        <f t="shared" si="7"/>
        <v>0</v>
      </c>
      <c r="W51" s="400">
        <f t="shared" si="7"/>
        <v>3910.9</v>
      </c>
      <c r="X51" s="400">
        <f t="shared" si="7"/>
        <v>4770</v>
      </c>
      <c r="Y51" s="429"/>
      <c r="Z51" s="430"/>
      <c r="AA51" s="430"/>
      <c r="AB51" s="431"/>
    </row>
    <row r="52" spans="1:28" ht="33.75" customHeight="1" x14ac:dyDescent="0.2">
      <c r="A52" s="379" t="s">
        <v>8</v>
      </c>
      <c r="B52" s="188" t="s">
        <v>8</v>
      </c>
      <c r="C52" s="397" t="s">
        <v>45</v>
      </c>
      <c r="D52" s="148"/>
      <c r="E52" s="142" t="s">
        <v>290</v>
      </c>
      <c r="F52" s="833" t="s">
        <v>209</v>
      </c>
      <c r="G52" s="79"/>
      <c r="H52" s="236"/>
      <c r="I52" s="239"/>
      <c r="J52" s="237"/>
      <c r="K52" s="75"/>
      <c r="L52" s="66"/>
      <c r="M52" s="66"/>
      <c r="N52" s="80"/>
      <c r="O52" s="65"/>
      <c r="P52" s="66"/>
      <c r="Q52" s="66"/>
      <c r="R52" s="67"/>
      <c r="S52" s="294"/>
      <c r="T52" s="295"/>
      <c r="U52" s="295"/>
      <c r="V52" s="715"/>
      <c r="W52" s="186"/>
      <c r="X52" s="716"/>
      <c r="Y52" s="545"/>
      <c r="Z52" s="717"/>
      <c r="AA52" s="717"/>
      <c r="AB52" s="718"/>
    </row>
    <row r="53" spans="1:28" ht="52.5" customHeight="1" x14ac:dyDescent="0.2">
      <c r="A53" s="688"/>
      <c r="B53" s="689"/>
      <c r="C53" s="694"/>
      <c r="D53" s="697" t="s">
        <v>8</v>
      </c>
      <c r="E53" s="1061" t="s">
        <v>100</v>
      </c>
      <c r="F53" s="704" t="s">
        <v>79</v>
      </c>
      <c r="G53" s="705" t="s">
        <v>50</v>
      </c>
      <c r="H53" s="710" t="s">
        <v>72</v>
      </c>
      <c r="I53" s="709" t="s">
        <v>125</v>
      </c>
      <c r="J53" s="238" t="s">
        <v>58</v>
      </c>
      <c r="K53" s="28">
        <f>L53+N53</f>
        <v>741.5</v>
      </c>
      <c r="L53" s="52"/>
      <c r="M53" s="52"/>
      <c r="N53" s="62">
        <v>741.5</v>
      </c>
      <c r="O53" s="28">
        <f>P53+R53</f>
        <v>165.1</v>
      </c>
      <c r="P53" s="52"/>
      <c r="Q53" s="52"/>
      <c r="R53" s="30">
        <v>165.1</v>
      </c>
      <c r="S53" s="282">
        <f>T53+V53</f>
        <v>0</v>
      </c>
      <c r="T53" s="283"/>
      <c r="U53" s="283"/>
      <c r="V53" s="573"/>
      <c r="W53" s="247"/>
      <c r="X53" s="199"/>
      <c r="Y53" s="692" t="s">
        <v>266</v>
      </c>
      <c r="Z53" s="753">
        <v>100</v>
      </c>
      <c r="AA53" s="202"/>
      <c r="AB53" s="113"/>
    </row>
    <row r="54" spans="1:28" ht="17.25" customHeight="1" x14ac:dyDescent="0.2">
      <c r="A54" s="2757"/>
      <c r="B54" s="2727"/>
      <c r="C54" s="2991"/>
      <c r="D54" s="3063" t="s">
        <v>10</v>
      </c>
      <c r="E54" s="3070" t="s">
        <v>291</v>
      </c>
      <c r="F54" s="2960" t="s">
        <v>79</v>
      </c>
      <c r="G54" s="3196" t="s">
        <v>50</v>
      </c>
      <c r="H54" s="2961" t="s">
        <v>72</v>
      </c>
      <c r="I54" s="3037" t="s">
        <v>125</v>
      </c>
      <c r="J54" s="235" t="s">
        <v>58</v>
      </c>
      <c r="K54" s="390">
        <f>L54+N54</f>
        <v>100</v>
      </c>
      <c r="L54" s="373"/>
      <c r="M54" s="373"/>
      <c r="N54" s="389">
        <v>100</v>
      </c>
      <c r="O54" s="256">
        <f>P54+R54</f>
        <v>119.9</v>
      </c>
      <c r="P54" s="373"/>
      <c r="Q54" s="34"/>
      <c r="R54" s="147">
        <v>119.9</v>
      </c>
      <c r="S54" s="286">
        <f>T54+V54</f>
        <v>0</v>
      </c>
      <c r="T54" s="287"/>
      <c r="U54" s="287"/>
      <c r="V54" s="288"/>
      <c r="W54" s="90"/>
      <c r="X54" s="262"/>
      <c r="Y54" s="2796" t="s">
        <v>155</v>
      </c>
      <c r="Z54" s="110">
        <v>1</v>
      </c>
      <c r="AA54" s="110"/>
      <c r="AB54" s="138"/>
    </row>
    <row r="55" spans="1:28" ht="18" customHeight="1" x14ac:dyDescent="0.2">
      <c r="A55" s="2757"/>
      <c r="B55" s="2727"/>
      <c r="C55" s="2991"/>
      <c r="D55" s="3064"/>
      <c r="E55" s="2734"/>
      <c r="F55" s="2698"/>
      <c r="G55" s="3197"/>
      <c r="H55" s="2766"/>
      <c r="I55" s="3012"/>
      <c r="J55" s="746" t="s">
        <v>77</v>
      </c>
      <c r="K55" s="730"/>
      <c r="L55" s="640"/>
      <c r="M55" s="640"/>
      <c r="N55" s="641"/>
      <c r="O55" s="747"/>
      <c r="P55" s="736"/>
      <c r="Q55" s="736"/>
      <c r="R55" s="737"/>
      <c r="S55" s="645"/>
      <c r="T55" s="646"/>
      <c r="U55" s="646"/>
      <c r="V55" s="647"/>
      <c r="W55" s="648">
        <v>464</v>
      </c>
      <c r="X55" s="649">
        <v>349</v>
      </c>
      <c r="Y55" s="2717"/>
      <c r="Z55" s="134"/>
      <c r="AA55" s="134"/>
      <c r="AB55" s="135"/>
    </row>
    <row r="56" spans="1:28" ht="16.5" customHeight="1" x14ac:dyDescent="0.2">
      <c r="A56" s="2757"/>
      <c r="B56" s="2963"/>
      <c r="C56" s="3192"/>
      <c r="D56" s="3065"/>
      <c r="E56" s="2764"/>
      <c r="F56" s="2765"/>
      <c r="G56" s="3198"/>
      <c r="H56" s="2767"/>
      <c r="I56" s="3067"/>
      <c r="J56" s="794" t="s">
        <v>74</v>
      </c>
      <c r="K56" s="375"/>
      <c r="L56" s="391"/>
      <c r="M56" s="391"/>
      <c r="N56" s="609"/>
      <c r="O56" s="250"/>
      <c r="P56" s="245"/>
      <c r="Q56" s="245"/>
      <c r="R56" s="557"/>
      <c r="S56" s="285"/>
      <c r="T56" s="292"/>
      <c r="U56" s="292"/>
      <c r="V56" s="573"/>
      <c r="W56" s="247">
        <v>2629.6</v>
      </c>
      <c r="X56" s="199">
        <v>1977.5</v>
      </c>
      <c r="Y56" s="3137"/>
      <c r="Z56" s="136"/>
      <c r="AA56" s="136">
        <v>60</v>
      </c>
      <c r="AB56" s="137">
        <v>100</v>
      </c>
    </row>
    <row r="57" spans="1:28" ht="16.5" customHeight="1" x14ac:dyDescent="0.2">
      <c r="A57" s="1051"/>
      <c r="B57" s="1052"/>
      <c r="C57" s="1049"/>
      <c r="D57" s="1242" t="s">
        <v>45</v>
      </c>
      <c r="E57" s="2704" t="s">
        <v>106</v>
      </c>
      <c r="F57" s="1241" t="s">
        <v>79</v>
      </c>
      <c r="G57" s="1243" t="s">
        <v>50</v>
      </c>
      <c r="H57" s="1240" t="s">
        <v>72</v>
      </c>
      <c r="I57" s="3291"/>
      <c r="J57" s="783" t="s">
        <v>58</v>
      </c>
      <c r="K57" s="778"/>
      <c r="L57" s="784"/>
      <c r="M57" s="784"/>
      <c r="N57" s="983"/>
      <c r="O57" s="779"/>
      <c r="P57" s="786"/>
      <c r="Q57" s="786"/>
      <c r="R57" s="1128"/>
      <c r="S57" s="780"/>
      <c r="T57" s="781"/>
      <c r="U57" s="781"/>
      <c r="V57" s="852"/>
      <c r="W57" s="1129"/>
      <c r="X57" s="1130">
        <v>200</v>
      </c>
      <c r="Y57" s="1244" t="s">
        <v>76</v>
      </c>
      <c r="Z57" s="1245"/>
      <c r="AA57" s="1246"/>
      <c r="AB57" s="1247">
        <v>1</v>
      </c>
    </row>
    <row r="58" spans="1:28" ht="17.25" customHeight="1" x14ac:dyDescent="0.2">
      <c r="A58" s="1121"/>
      <c r="B58" s="1122"/>
      <c r="C58" s="1123"/>
      <c r="D58" s="1124"/>
      <c r="E58" s="2929"/>
      <c r="F58" s="1126"/>
      <c r="G58" s="1125"/>
      <c r="H58" s="1124"/>
      <c r="I58" s="3291"/>
      <c r="J58" s="783" t="s">
        <v>75</v>
      </c>
      <c r="K58" s="778"/>
      <c r="L58" s="784"/>
      <c r="M58" s="784"/>
      <c r="N58" s="983"/>
      <c r="O58" s="779"/>
      <c r="P58" s="786"/>
      <c r="Q58" s="786"/>
      <c r="R58" s="1128"/>
      <c r="S58" s="780"/>
      <c r="T58" s="781"/>
      <c r="U58" s="781"/>
      <c r="V58" s="852"/>
      <c r="W58" s="1129"/>
      <c r="X58" s="1130">
        <v>110</v>
      </c>
      <c r="Y58" s="1127"/>
      <c r="Z58" s="202"/>
      <c r="AA58" s="134"/>
      <c r="AB58" s="135"/>
    </row>
    <row r="59" spans="1:28" ht="19.5" customHeight="1" x14ac:dyDescent="0.2">
      <c r="A59" s="2757"/>
      <c r="B59" s="2727"/>
      <c r="C59" s="2991"/>
      <c r="D59" s="2961" t="s">
        <v>50</v>
      </c>
      <c r="E59" s="2703" t="s">
        <v>272</v>
      </c>
      <c r="F59" s="143" t="s">
        <v>79</v>
      </c>
      <c r="G59" s="141" t="s">
        <v>50</v>
      </c>
      <c r="H59" s="702" t="s">
        <v>72</v>
      </c>
      <c r="I59" s="3291"/>
      <c r="J59" s="743" t="s">
        <v>42</v>
      </c>
      <c r="K59" s="741"/>
      <c r="L59" s="514"/>
      <c r="M59" s="514"/>
      <c r="N59" s="515"/>
      <c r="O59" s="516"/>
      <c r="P59" s="517"/>
      <c r="Q59" s="517"/>
      <c r="R59" s="518"/>
      <c r="S59" s="519"/>
      <c r="T59" s="520"/>
      <c r="U59" s="520"/>
      <c r="V59" s="521"/>
      <c r="W59" s="522"/>
      <c r="X59" s="608"/>
      <c r="Y59" s="2796" t="s">
        <v>76</v>
      </c>
      <c r="Z59" s="110"/>
      <c r="AA59" s="110"/>
      <c r="AB59" s="138">
        <v>1</v>
      </c>
    </row>
    <row r="60" spans="1:28" ht="20.25" customHeight="1" x14ac:dyDescent="0.2">
      <c r="A60" s="2757"/>
      <c r="B60" s="2727"/>
      <c r="C60" s="2991"/>
      <c r="D60" s="2767"/>
      <c r="E60" s="2705"/>
      <c r="F60" s="791"/>
      <c r="G60" s="792"/>
      <c r="H60" s="793"/>
      <c r="I60" s="3292"/>
      <c r="J60" s="40" t="s">
        <v>58</v>
      </c>
      <c r="K60" s="375"/>
      <c r="L60" s="391"/>
      <c r="M60" s="391"/>
      <c r="N60" s="609"/>
      <c r="O60" s="250"/>
      <c r="P60" s="149"/>
      <c r="Q60" s="149"/>
      <c r="R60" s="750"/>
      <c r="S60" s="285"/>
      <c r="T60" s="292"/>
      <c r="U60" s="292"/>
      <c r="V60" s="573"/>
      <c r="W60" s="611"/>
      <c r="X60" s="796">
        <v>400</v>
      </c>
      <c r="Y60" s="3137"/>
      <c r="Z60" s="364"/>
      <c r="AA60" s="364"/>
      <c r="AB60" s="365"/>
    </row>
    <row r="61" spans="1:28" ht="36" customHeight="1" x14ac:dyDescent="0.2">
      <c r="A61" s="688"/>
      <c r="B61" s="689"/>
      <c r="C61" s="699"/>
      <c r="D61" s="654"/>
      <c r="E61" s="797" t="s">
        <v>142</v>
      </c>
      <c r="F61" s="567" t="s">
        <v>79</v>
      </c>
      <c r="G61" s="798" t="s">
        <v>50</v>
      </c>
      <c r="H61" s="691" t="s">
        <v>72</v>
      </c>
      <c r="I61" s="799" t="s">
        <v>125</v>
      </c>
      <c r="J61" s="238" t="s">
        <v>80</v>
      </c>
      <c r="K61" s="226">
        <f>L61+N61</f>
        <v>640</v>
      </c>
      <c r="L61" s="224"/>
      <c r="M61" s="224"/>
      <c r="N61" s="233">
        <v>640</v>
      </c>
      <c r="O61" s="28"/>
      <c r="P61" s="52"/>
      <c r="Q61" s="52"/>
      <c r="R61" s="30"/>
      <c r="S61" s="282"/>
      <c r="T61" s="283"/>
      <c r="U61" s="283"/>
      <c r="V61" s="284"/>
      <c r="W61" s="165"/>
      <c r="X61" s="83"/>
      <c r="Y61" s="539"/>
      <c r="Z61" s="800"/>
      <c r="AA61" s="800"/>
      <c r="AB61" s="801"/>
    </row>
    <row r="62" spans="1:28" ht="16.5" customHeight="1" thickBot="1" x14ac:dyDescent="0.25">
      <c r="A62" s="381"/>
      <c r="B62" s="275"/>
      <c r="C62" s="398"/>
      <c r="D62" s="432"/>
      <c r="E62" s="3062"/>
      <c r="F62" s="3062"/>
      <c r="G62" s="3062"/>
      <c r="H62" s="3068"/>
      <c r="I62" s="3005" t="s">
        <v>112</v>
      </c>
      <c r="J62" s="3006"/>
      <c r="K62" s="752">
        <f t="shared" ref="K62:X62" si="8">SUM(K53:K61)</f>
        <v>1481.5</v>
      </c>
      <c r="L62" s="752">
        <f t="shared" si="8"/>
        <v>0</v>
      </c>
      <c r="M62" s="752">
        <f t="shared" si="8"/>
        <v>0</v>
      </c>
      <c r="N62" s="752">
        <f t="shared" si="8"/>
        <v>1481.5</v>
      </c>
      <c r="O62" s="752">
        <f t="shared" si="8"/>
        <v>285</v>
      </c>
      <c r="P62" s="752">
        <f t="shared" si="8"/>
        <v>0</v>
      </c>
      <c r="Q62" s="752">
        <f t="shared" si="8"/>
        <v>0</v>
      </c>
      <c r="R62" s="752">
        <f t="shared" si="8"/>
        <v>285</v>
      </c>
      <c r="S62" s="752">
        <f t="shared" si="8"/>
        <v>0</v>
      </c>
      <c r="T62" s="752">
        <f t="shared" si="8"/>
        <v>0</v>
      </c>
      <c r="U62" s="752">
        <f t="shared" si="8"/>
        <v>0</v>
      </c>
      <c r="V62" s="846">
        <f t="shared" si="8"/>
        <v>0</v>
      </c>
      <c r="W62" s="851">
        <f t="shared" si="8"/>
        <v>3093.6</v>
      </c>
      <c r="X62" s="752">
        <f t="shared" si="8"/>
        <v>3036.5</v>
      </c>
      <c r="Y62" s="429"/>
      <c r="Z62" s="436"/>
      <c r="AA62" s="436"/>
      <c r="AB62" s="437"/>
    </row>
    <row r="63" spans="1:28" ht="33" customHeight="1" x14ac:dyDescent="0.2">
      <c r="A63" s="1136" t="s">
        <v>8</v>
      </c>
      <c r="B63" s="1138" t="s">
        <v>8</v>
      </c>
      <c r="C63" s="1143" t="s">
        <v>50</v>
      </c>
      <c r="D63" s="178"/>
      <c r="E63" s="179" t="s">
        <v>85</v>
      </c>
      <c r="F63" s="820" t="s">
        <v>204</v>
      </c>
      <c r="G63" s="180"/>
      <c r="H63" s="181"/>
      <c r="I63" s="729"/>
      <c r="J63" s="231"/>
      <c r="K63" s="182"/>
      <c r="L63" s="183"/>
      <c r="M63" s="183"/>
      <c r="N63" s="184"/>
      <c r="O63" s="185"/>
      <c r="P63" s="183"/>
      <c r="Q63" s="183"/>
      <c r="R63" s="230"/>
      <c r="S63" s="289"/>
      <c r="T63" s="290"/>
      <c r="U63" s="290"/>
      <c r="V63" s="715"/>
      <c r="W63" s="186"/>
      <c r="X63" s="234"/>
      <c r="Y63" s="685"/>
      <c r="Z63" s="686"/>
      <c r="AA63" s="686"/>
      <c r="AB63" s="687"/>
    </row>
    <row r="64" spans="1:28" ht="16.5" customHeight="1" x14ac:dyDescent="0.2">
      <c r="A64" s="1134"/>
      <c r="B64" s="1135"/>
      <c r="C64" s="1140"/>
      <c r="D64" s="3088" t="s">
        <v>8</v>
      </c>
      <c r="E64" s="2704" t="s">
        <v>107</v>
      </c>
      <c r="F64" s="2716" t="s">
        <v>79</v>
      </c>
      <c r="G64" s="3204" t="s">
        <v>50</v>
      </c>
      <c r="H64" s="2708" t="s">
        <v>72</v>
      </c>
      <c r="I64" s="3085" t="s">
        <v>125</v>
      </c>
      <c r="J64" s="802" t="s">
        <v>58</v>
      </c>
      <c r="K64" s="513">
        <f>L64+N64</f>
        <v>50</v>
      </c>
      <c r="L64" s="514"/>
      <c r="M64" s="514"/>
      <c r="N64" s="759">
        <v>50</v>
      </c>
      <c r="O64" s="741">
        <f>P64+R64</f>
        <v>340</v>
      </c>
      <c r="P64" s="742"/>
      <c r="Q64" s="742"/>
      <c r="R64" s="761">
        <v>340</v>
      </c>
      <c r="S64" s="603">
        <f>T64+V64</f>
        <v>0</v>
      </c>
      <c r="T64" s="520"/>
      <c r="U64" s="520"/>
      <c r="V64" s="521">
        <v>0</v>
      </c>
      <c r="W64" s="795">
        <v>1000</v>
      </c>
      <c r="X64" s="795">
        <v>2000</v>
      </c>
      <c r="Y64" s="2717" t="s">
        <v>201</v>
      </c>
      <c r="Z64" s="1145">
        <v>1</v>
      </c>
      <c r="AA64" s="1145"/>
      <c r="AB64" s="1147"/>
    </row>
    <row r="65" spans="1:28" ht="24.75" customHeight="1" x14ac:dyDescent="0.2">
      <c r="A65" s="1134"/>
      <c r="B65" s="1135"/>
      <c r="C65" s="1140"/>
      <c r="D65" s="3088"/>
      <c r="E65" s="2704"/>
      <c r="F65" s="2716"/>
      <c r="G65" s="3204"/>
      <c r="H65" s="2708"/>
      <c r="I65" s="3085"/>
      <c r="J65" s="232" t="s">
        <v>42</v>
      </c>
      <c r="K65" s="386"/>
      <c r="L65" s="391"/>
      <c r="M65" s="391"/>
      <c r="N65" s="392"/>
      <c r="O65" s="375"/>
      <c r="P65" s="653"/>
      <c r="Q65" s="653"/>
      <c r="R65" s="609"/>
      <c r="S65" s="291"/>
      <c r="T65" s="292"/>
      <c r="U65" s="292"/>
      <c r="V65" s="573"/>
      <c r="W65" s="104">
        <v>500</v>
      </c>
      <c r="X65" s="104">
        <v>500</v>
      </c>
      <c r="Y65" s="2717"/>
      <c r="Z65" s="1145"/>
      <c r="AA65" s="1145">
        <v>10</v>
      </c>
      <c r="AB65" s="1147">
        <v>25</v>
      </c>
    </row>
    <row r="66" spans="1:28" ht="18" customHeight="1" x14ac:dyDescent="0.2">
      <c r="A66" s="2757"/>
      <c r="B66" s="2727"/>
      <c r="C66" s="2991"/>
      <c r="D66" s="3063" t="s">
        <v>10</v>
      </c>
      <c r="E66" s="2703" t="s">
        <v>292</v>
      </c>
      <c r="F66" s="2694" t="s">
        <v>79</v>
      </c>
      <c r="G66" s="3202" t="s">
        <v>50</v>
      </c>
      <c r="H66" s="2710" t="s">
        <v>72</v>
      </c>
      <c r="I66" s="3003" t="s">
        <v>125</v>
      </c>
      <c r="J66" s="740" t="s">
        <v>58</v>
      </c>
      <c r="K66" s="513">
        <f>L66+N66</f>
        <v>30</v>
      </c>
      <c r="L66" s="514"/>
      <c r="M66" s="514"/>
      <c r="N66" s="759">
        <v>30</v>
      </c>
      <c r="O66" s="760">
        <f>P66+R66</f>
        <v>100</v>
      </c>
      <c r="P66" s="742"/>
      <c r="Q66" s="742"/>
      <c r="R66" s="790">
        <v>100</v>
      </c>
      <c r="S66" s="603">
        <f>T66+V66</f>
        <v>0</v>
      </c>
      <c r="T66" s="520"/>
      <c r="U66" s="520"/>
      <c r="V66" s="521"/>
      <c r="W66" s="850">
        <v>487</v>
      </c>
      <c r="X66" s="762">
        <v>1000</v>
      </c>
      <c r="Y66" s="763" t="s">
        <v>198</v>
      </c>
      <c r="Z66" s="806"/>
      <c r="AA66" s="806">
        <v>1</v>
      </c>
      <c r="AB66" s="807"/>
    </row>
    <row r="67" spans="1:28" ht="30" customHeight="1" x14ac:dyDescent="0.2">
      <c r="A67" s="2757"/>
      <c r="B67" s="2727"/>
      <c r="C67" s="2991"/>
      <c r="D67" s="3064"/>
      <c r="E67" s="2704"/>
      <c r="F67" s="2695"/>
      <c r="G67" s="3199"/>
      <c r="H67" s="2711"/>
      <c r="I67" s="3058"/>
      <c r="J67" s="17" t="s">
        <v>42</v>
      </c>
      <c r="K67" s="386"/>
      <c r="L67" s="391"/>
      <c r="M67" s="391"/>
      <c r="N67" s="392"/>
      <c r="O67" s="33"/>
      <c r="P67" s="49"/>
      <c r="Q67" s="49"/>
      <c r="R67" s="201"/>
      <c r="S67" s="291"/>
      <c r="T67" s="292"/>
      <c r="U67" s="292"/>
      <c r="V67" s="573"/>
      <c r="W67" s="51"/>
      <c r="X67" s="584">
        <v>100</v>
      </c>
      <c r="Y67" s="1153" t="s">
        <v>197</v>
      </c>
      <c r="Z67" s="134"/>
      <c r="AA67" s="134"/>
      <c r="AB67" s="776">
        <v>10</v>
      </c>
    </row>
    <row r="68" spans="1:28" ht="21" customHeight="1" x14ac:dyDescent="0.2">
      <c r="A68" s="2757"/>
      <c r="B68" s="2727"/>
      <c r="C68" s="2991"/>
      <c r="D68" s="3063" t="s">
        <v>45</v>
      </c>
      <c r="E68" s="2760" t="s">
        <v>212</v>
      </c>
      <c r="F68" s="2694" t="s">
        <v>79</v>
      </c>
      <c r="G68" s="3202" t="s">
        <v>50</v>
      </c>
      <c r="H68" s="2710" t="s">
        <v>72</v>
      </c>
      <c r="I68" s="3003" t="s">
        <v>125</v>
      </c>
      <c r="J68" s="740" t="s">
        <v>58</v>
      </c>
      <c r="K68" s="513">
        <f>L68+N68</f>
        <v>0</v>
      </c>
      <c r="L68" s="514"/>
      <c r="M68" s="514"/>
      <c r="N68" s="759"/>
      <c r="O68" s="760">
        <f>P68+R68</f>
        <v>88</v>
      </c>
      <c r="P68" s="742"/>
      <c r="Q68" s="742"/>
      <c r="R68" s="790">
        <v>88</v>
      </c>
      <c r="S68" s="603">
        <f>T68+V68</f>
        <v>0</v>
      </c>
      <c r="T68" s="520"/>
      <c r="U68" s="520"/>
      <c r="V68" s="521"/>
      <c r="W68" s="850"/>
      <c r="X68" s="762"/>
      <c r="Y68" s="2690" t="s">
        <v>213</v>
      </c>
      <c r="Z68" s="110">
        <v>1</v>
      </c>
      <c r="AA68" s="110"/>
      <c r="AB68" s="138"/>
    </row>
    <row r="69" spans="1:28" ht="20.25" customHeight="1" x14ac:dyDescent="0.2">
      <c r="A69" s="2757"/>
      <c r="B69" s="2727"/>
      <c r="C69" s="2991"/>
      <c r="D69" s="3065"/>
      <c r="E69" s="2761"/>
      <c r="F69" s="2696"/>
      <c r="G69" s="3203"/>
      <c r="H69" s="2715"/>
      <c r="I69" s="3059"/>
      <c r="J69" s="40" t="s">
        <v>75</v>
      </c>
      <c r="K69" s="386"/>
      <c r="L69" s="391"/>
      <c r="M69" s="391"/>
      <c r="N69" s="392"/>
      <c r="O69" s="33"/>
      <c r="P69" s="149"/>
      <c r="Q69" s="149"/>
      <c r="R69" s="805"/>
      <c r="S69" s="291"/>
      <c r="T69" s="292"/>
      <c r="U69" s="292"/>
      <c r="V69" s="573"/>
      <c r="W69" s="611">
        <v>650</v>
      </c>
      <c r="X69" s="788">
        <v>1313</v>
      </c>
      <c r="Y69" s="3090"/>
      <c r="Z69" s="136"/>
      <c r="AA69" s="803">
        <v>35</v>
      </c>
      <c r="AB69" s="804">
        <v>100</v>
      </c>
    </row>
    <row r="70" spans="1:28" ht="17.25" customHeight="1" thickBot="1" x14ac:dyDescent="0.25">
      <c r="A70" s="1137"/>
      <c r="B70" s="1139"/>
      <c r="C70" s="433"/>
      <c r="D70" s="432"/>
      <c r="E70" s="3062"/>
      <c r="F70" s="3062"/>
      <c r="G70" s="3062"/>
      <c r="H70" s="3068"/>
      <c r="I70" s="3005" t="s">
        <v>112</v>
      </c>
      <c r="J70" s="3069"/>
      <c r="K70" s="434">
        <f>SUM(K64:K69)</f>
        <v>80</v>
      </c>
      <c r="L70" s="434">
        <f t="shared" ref="L70:N70" si="9">SUM(L64:L69)</f>
        <v>0</v>
      </c>
      <c r="M70" s="434">
        <f t="shared" si="9"/>
        <v>0</v>
      </c>
      <c r="N70" s="434">
        <f t="shared" si="9"/>
        <v>80</v>
      </c>
      <c r="O70" s="434">
        <f>SUM(O64:O69)</f>
        <v>528</v>
      </c>
      <c r="P70" s="434">
        <f t="shared" ref="P70:V70" si="10">SUM(P64:P69)</f>
        <v>0</v>
      </c>
      <c r="Q70" s="434">
        <f t="shared" si="10"/>
        <v>0</v>
      </c>
      <c r="R70" s="434">
        <f t="shared" si="10"/>
        <v>528</v>
      </c>
      <c r="S70" s="434">
        <f t="shared" si="10"/>
        <v>0</v>
      </c>
      <c r="T70" s="434">
        <f t="shared" si="10"/>
        <v>0</v>
      </c>
      <c r="U70" s="434">
        <f t="shared" si="10"/>
        <v>0</v>
      </c>
      <c r="V70" s="734">
        <f t="shared" si="10"/>
        <v>0</v>
      </c>
      <c r="W70" s="434">
        <f>SUM(W64:W69)</f>
        <v>2637</v>
      </c>
      <c r="X70" s="434">
        <f t="shared" ref="X70" si="11">SUM(X64:X69)</f>
        <v>4913</v>
      </c>
      <c r="Y70" s="429"/>
      <c r="Z70" s="436"/>
      <c r="AA70" s="436"/>
      <c r="AB70" s="437"/>
    </row>
    <row r="71" spans="1:28" ht="35.25" customHeight="1" x14ac:dyDescent="0.2">
      <c r="A71" s="815" t="s">
        <v>8</v>
      </c>
      <c r="B71" s="816" t="s">
        <v>8</v>
      </c>
      <c r="C71" s="817" t="s">
        <v>52</v>
      </c>
      <c r="D71" s="700"/>
      <c r="E71" s="1183" t="s">
        <v>274</v>
      </c>
      <c r="F71" s="820" t="s">
        <v>192</v>
      </c>
      <c r="G71" s="682"/>
      <c r="H71" s="622"/>
      <c r="I71" s="1186"/>
      <c r="J71" s="684"/>
      <c r="K71" s="65"/>
      <c r="L71" s="66"/>
      <c r="M71" s="66"/>
      <c r="N71" s="67"/>
      <c r="O71" s="65"/>
      <c r="P71" s="66"/>
      <c r="Q71" s="66"/>
      <c r="R71" s="67"/>
      <c r="S71" s="315"/>
      <c r="T71" s="316"/>
      <c r="U71" s="316"/>
      <c r="V71" s="681"/>
      <c r="W71" s="76"/>
      <c r="X71" s="76"/>
      <c r="Y71" s="16"/>
      <c r="Z71" s="81"/>
      <c r="AA71" s="81"/>
      <c r="AB71" s="82"/>
    </row>
    <row r="72" spans="1:28" ht="13.5" customHeight="1" x14ac:dyDescent="0.2">
      <c r="A72" s="808"/>
      <c r="B72" s="809"/>
      <c r="C72" s="810"/>
      <c r="D72" s="811" t="s">
        <v>8</v>
      </c>
      <c r="E72" s="3070" t="s">
        <v>275</v>
      </c>
      <c r="F72" s="128" t="s">
        <v>79</v>
      </c>
      <c r="G72" s="1166" t="s">
        <v>50</v>
      </c>
      <c r="H72" s="1162" t="s">
        <v>72</v>
      </c>
      <c r="I72" s="3037" t="s">
        <v>126</v>
      </c>
      <c r="J72" s="305" t="s">
        <v>58</v>
      </c>
      <c r="K72" s="1187"/>
      <c r="L72" s="411"/>
      <c r="M72" s="411"/>
      <c r="N72" s="1188"/>
      <c r="O72" s="719">
        <f>R72</f>
        <v>50</v>
      </c>
      <c r="P72" s="193"/>
      <c r="Q72" s="193"/>
      <c r="R72" s="147">
        <v>50</v>
      </c>
      <c r="S72" s="353">
        <f>T72+V72</f>
        <v>0</v>
      </c>
      <c r="T72" s="354"/>
      <c r="U72" s="354"/>
      <c r="V72" s="355">
        <v>0</v>
      </c>
      <c r="W72" s="90">
        <v>194</v>
      </c>
      <c r="X72" s="90"/>
      <c r="Y72" s="2796" t="s">
        <v>207</v>
      </c>
      <c r="Z72" s="111"/>
      <c r="AA72" s="77">
        <v>1</v>
      </c>
      <c r="AB72" s="78"/>
    </row>
    <row r="73" spans="1:28" ht="15" customHeight="1" x14ac:dyDescent="0.2">
      <c r="A73" s="808"/>
      <c r="B73" s="809"/>
      <c r="C73" s="810"/>
      <c r="D73" s="814"/>
      <c r="E73" s="2734"/>
      <c r="F73" s="3075"/>
      <c r="G73" s="1163"/>
      <c r="H73" s="1160"/>
      <c r="I73" s="3074"/>
      <c r="J73" s="721" t="s">
        <v>74</v>
      </c>
      <c r="K73" s="1189"/>
      <c r="L73" s="677"/>
      <c r="M73" s="677"/>
      <c r="N73" s="678"/>
      <c r="O73" s="639"/>
      <c r="P73" s="640"/>
      <c r="Q73" s="640"/>
      <c r="R73" s="725"/>
      <c r="S73" s="720"/>
      <c r="T73" s="679"/>
      <c r="U73" s="679"/>
      <c r="V73" s="680"/>
      <c r="W73" s="648"/>
      <c r="X73" s="648">
        <v>2467.5</v>
      </c>
      <c r="Y73" s="2717"/>
      <c r="Z73" s="202"/>
      <c r="AA73" s="45"/>
      <c r="AB73" s="46"/>
    </row>
    <row r="74" spans="1:28" ht="15" customHeight="1" x14ac:dyDescent="0.2">
      <c r="A74" s="808"/>
      <c r="B74" s="809"/>
      <c r="C74" s="810"/>
      <c r="D74" s="812"/>
      <c r="E74" s="3071"/>
      <c r="F74" s="3076"/>
      <c r="G74" s="1164"/>
      <c r="H74" s="1161"/>
      <c r="I74" s="3004"/>
      <c r="J74" s="40" t="s">
        <v>77</v>
      </c>
      <c r="K74" s="755"/>
      <c r="L74" s="413"/>
      <c r="M74" s="413"/>
      <c r="N74" s="1190"/>
      <c r="O74" s="222"/>
      <c r="P74" s="652"/>
      <c r="Q74" s="652"/>
      <c r="R74" s="198"/>
      <c r="S74" s="350"/>
      <c r="T74" s="356"/>
      <c r="U74" s="356"/>
      <c r="V74" s="348"/>
      <c r="W74" s="247"/>
      <c r="X74" s="247">
        <v>435.4</v>
      </c>
      <c r="Y74" s="2938"/>
      <c r="Z74" s="63"/>
      <c r="AA74" s="63"/>
      <c r="AB74" s="64">
        <v>65</v>
      </c>
    </row>
    <row r="75" spans="1:28" ht="18.75" customHeight="1" x14ac:dyDescent="0.2">
      <c r="A75" s="2757"/>
      <c r="B75" s="2727"/>
      <c r="C75" s="2991"/>
      <c r="D75" s="1159" t="s">
        <v>10</v>
      </c>
      <c r="E75" s="2866" t="s">
        <v>293</v>
      </c>
      <c r="F75" s="1168" t="s">
        <v>79</v>
      </c>
      <c r="G75" s="1165" t="s">
        <v>50</v>
      </c>
      <c r="H75" s="1162" t="s">
        <v>72</v>
      </c>
      <c r="I75" s="3082" t="s">
        <v>126</v>
      </c>
      <c r="J75" s="258" t="s">
        <v>75</v>
      </c>
      <c r="K75" s="372">
        <f>L75+N75</f>
        <v>20.9</v>
      </c>
      <c r="L75" s="373"/>
      <c r="M75" s="373"/>
      <c r="N75" s="260">
        <v>20.9</v>
      </c>
      <c r="O75" s="256">
        <f>P75+R75</f>
        <v>32.200000000000003</v>
      </c>
      <c r="P75" s="257"/>
      <c r="Q75" s="257"/>
      <c r="R75" s="259">
        <v>32.200000000000003</v>
      </c>
      <c r="S75" s="286">
        <f>T75+V75</f>
        <v>0</v>
      </c>
      <c r="T75" s="287"/>
      <c r="U75" s="287"/>
      <c r="V75" s="288">
        <v>0</v>
      </c>
      <c r="W75" s="90"/>
      <c r="X75" s="90"/>
      <c r="Y75" s="2690" t="s">
        <v>286</v>
      </c>
      <c r="Z75" s="219">
        <v>1</v>
      </c>
      <c r="AA75" s="219"/>
      <c r="AB75" s="220"/>
    </row>
    <row r="76" spans="1:28" ht="21.75" customHeight="1" x14ac:dyDescent="0.2">
      <c r="A76" s="2757"/>
      <c r="B76" s="2727"/>
      <c r="C76" s="2991"/>
      <c r="D76" s="1158"/>
      <c r="E76" s="3077"/>
      <c r="F76" s="1169"/>
      <c r="G76" s="1167"/>
      <c r="H76" s="1160"/>
      <c r="I76" s="3083"/>
      <c r="J76" s="20" t="s">
        <v>74</v>
      </c>
      <c r="K76" s="1452">
        <f>N76</f>
        <v>5590.2</v>
      </c>
      <c r="L76" s="407"/>
      <c r="M76" s="407"/>
      <c r="N76" s="1453">
        <v>5590.2</v>
      </c>
      <c r="O76" s="1454"/>
      <c r="P76" s="1455"/>
      <c r="Q76" s="1455"/>
      <c r="R76" s="1456"/>
      <c r="S76" s="739"/>
      <c r="T76" s="351"/>
      <c r="U76" s="351"/>
      <c r="V76" s="352"/>
      <c r="W76" s="243"/>
      <c r="X76" s="243"/>
      <c r="Y76" s="2763"/>
      <c r="Z76" s="1447"/>
      <c r="AA76" s="1447"/>
      <c r="AB76" s="1446"/>
    </row>
    <row r="77" spans="1:28" ht="51.75" customHeight="1" x14ac:dyDescent="0.2">
      <c r="A77" s="2757"/>
      <c r="B77" s="2727"/>
      <c r="C77" s="2991"/>
      <c r="D77" s="1434"/>
      <c r="E77" s="1032" t="s">
        <v>277</v>
      </c>
      <c r="F77" s="1431"/>
      <c r="G77" s="1437"/>
      <c r="H77" s="1429"/>
      <c r="I77" s="3081" t="s">
        <v>203</v>
      </c>
      <c r="J77" s="676" t="s">
        <v>58</v>
      </c>
      <c r="K77" s="639"/>
      <c r="L77" s="640"/>
      <c r="M77" s="640"/>
      <c r="N77" s="725"/>
      <c r="O77" s="747">
        <f>R77</f>
        <v>50</v>
      </c>
      <c r="P77" s="736"/>
      <c r="Q77" s="736"/>
      <c r="R77" s="737">
        <v>50</v>
      </c>
      <c r="S77" s="645"/>
      <c r="T77" s="646"/>
      <c r="U77" s="646"/>
      <c r="V77" s="647"/>
      <c r="W77" s="648">
        <v>169</v>
      </c>
      <c r="X77" s="648"/>
      <c r="Y77" s="627" t="s">
        <v>247</v>
      </c>
      <c r="Z77" s="888"/>
      <c r="AA77" s="888">
        <v>1</v>
      </c>
      <c r="AB77" s="889"/>
    </row>
    <row r="78" spans="1:28" ht="29.25" customHeight="1" x14ac:dyDescent="0.2">
      <c r="A78" s="1428"/>
      <c r="B78" s="1427"/>
      <c r="C78" s="1439"/>
      <c r="D78" s="1436"/>
      <c r="E78" s="1184" t="s">
        <v>307</v>
      </c>
      <c r="F78" s="1432"/>
      <c r="G78" s="1438"/>
      <c r="H78" s="1430"/>
      <c r="I78" s="3004"/>
      <c r="J78" s="246" t="s">
        <v>58</v>
      </c>
      <c r="K78" s="386"/>
      <c r="L78" s="391"/>
      <c r="M78" s="391"/>
      <c r="N78" s="392"/>
      <c r="O78" s="250">
        <f>R78</f>
        <v>472.1</v>
      </c>
      <c r="P78" s="245"/>
      <c r="Q78" s="245"/>
      <c r="R78" s="557">
        <v>472.1</v>
      </c>
      <c r="S78" s="285"/>
      <c r="T78" s="292"/>
      <c r="U78" s="292"/>
      <c r="V78" s="573"/>
      <c r="W78" s="247"/>
      <c r="X78" s="247"/>
      <c r="Y78" s="1433" t="s">
        <v>308</v>
      </c>
      <c r="Z78" s="364">
        <v>100</v>
      </c>
      <c r="AA78" s="364"/>
      <c r="AB78" s="365"/>
    </row>
    <row r="79" spans="1:28" ht="29.25" customHeight="1" x14ac:dyDescent="0.2">
      <c r="A79" s="1174"/>
      <c r="B79" s="1175"/>
      <c r="C79" s="1177"/>
      <c r="D79" s="654" t="s">
        <v>45</v>
      </c>
      <c r="E79" s="565" t="s">
        <v>257</v>
      </c>
      <c r="F79" s="1185"/>
      <c r="G79" s="798" t="s">
        <v>50</v>
      </c>
      <c r="H79" s="1176" t="s">
        <v>57</v>
      </c>
      <c r="I79" s="1201" t="s">
        <v>129</v>
      </c>
      <c r="J79" s="38" t="s">
        <v>42</v>
      </c>
      <c r="K79" s="1191"/>
      <c r="L79" s="1181"/>
      <c r="M79" s="1181"/>
      <c r="N79" s="1192"/>
      <c r="O79" s="163">
        <f>R79+P79</f>
        <v>10</v>
      </c>
      <c r="P79" s="1178"/>
      <c r="Q79" s="1178"/>
      <c r="R79" s="1179">
        <v>10</v>
      </c>
      <c r="S79" s="1193"/>
      <c r="T79" s="1182"/>
      <c r="U79" s="1182"/>
      <c r="V79" s="1194"/>
      <c r="W79" s="165"/>
      <c r="X79" s="165"/>
      <c r="Y79" s="1441" t="s">
        <v>258</v>
      </c>
      <c r="Z79" s="800">
        <v>1</v>
      </c>
      <c r="AA79" s="1075"/>
      <c r="AB79" s="1076"/>
    </row>
    <row r="80" spans="1:28" ht="15.75" customHeight="1" x14ac:dyDescent="0.2">
      <c r="A80" s="808"/>
      <c r="B80" s="809"/>
      <c r="C80" s="810"/>
      <c r="D80" s="814"/>
      <c r="E80" s="2866" t="s">
        <v>191</v>
      </c>
      <c r="F80" s="128" t="s">
        <v>79</v>
      </c>
      <c r="G80" s="1166" t="s">
        <v>50</v>
      </c>
      <c r="H80" s="1162" t="s">
        <v>72</v>
      </c>
      <c r="I80" s="3037" t="s">
        <v>126</v>
      </c>
      <c r="J80" s="305" t="s">
        <v>77</v>
      </c>
      <c r="K80" s="1187">
        <f>L80+N80</f>
        <v>135</v>
      </c>
      <c r="L80" s="411"/>
      <c r="M80" s="411"/>
      <c r="N80" s="1188">
        <f>86.4+48.6</f>
        <v>135</v>
      </c>
      <c r="O80" s="719"/>
      <c r="P80" s="193"/>
      <c r="Q80" s="193"/>
      <c r="R80" s="147"/>
      <c r="S80" s="353"/>
      <c r="T80" s="354"/>
      <c r="U80" s="354"/>
      <c r="V80" s="355"/>
      <c r="W80" s="90"/>
      <c r="X80" s="90"/>
      <c r="Y80" s="2796"/>
      <c r="Z80" s="111"/>
      <c r="AA80" s="77"/>
      <c r="AB80" s="78"/>
    </row>
    <row r="81" spans="1:28" ht="13.5" customHeight="1" x14ac:dyDescent="0.2">
      <c r="A81" s="808"/>
      <c r="B81" s="809"/>
      <c r="C81" s="810"/>
      <c r="D81" s="814"/>
      <c r="E81" s="2697"/>
      <c r="F81" s="3075"/>
      <c r="G81" s="1163"/>
      <c r="H81" s="1160"/>
      <c r="I81" s="3074"/>
      <c r="J81" s="721" t="s">
        <v>42</v>
      </c>
      <c r="K81" s="1189">
        <f>N81</f>
        <v>1</v>
      </c>
      <c r="L81" s="677"/>
      <c r="M81" s="677"/>
      <c r="N81" s="678">
        <v>1</v>
      </c>
      <c r="O81" s="839"/>
      <c r="P81" s="643"/>
      <c r="Q81" s="643"/>
      <c r="R81" s="644"/>
      <c r="S81" s="720"/>
      <c r="T81" s="679"/>
      <c r="U81" s="679"/>
      <c r="V81" s="680"/>
      <c r="W81" s="648"/>
      <c r="X81" s="648"/>
      <c r="Y81" s="2717"/>
      <c r="Z81" s="202"/>
      <c r="AA81" s="45"/>
      <c r="AB81" s="46"/>
    </row>
    <row r="82" spans="1:28" ht="13.5" customHeight="1" x14ac:dyDescent="0.2">
      <c r="A82" s="808"/>
      <c r="B82" s="809"/>
      <c r="C82" s="810"/>
      <c r="D82" s="814"/>
      <c r="E82" s="2697"/>
      <c r="F82" s="3293"/>
      <c r="G82" s="1163"/>
      <c r="H82" s="1160"/>
      <c r="I82" s="3074"/>
      <c r="J82" s="723" t="s">
        <v>74</v>
      </c>
      <c r="K82" s="1189">
        <f>L82+N82</f>
        <v>369</v>
      </c>
      <c r="L82" s="677"/>
      <c r="M82" s="677"/>
      <c r="N82" s="678">
        <v>369</v>
      </c>
      <c r="O82" s="642"/>
      <c r="P82" s="643"/>
      <c r="Q82" s="643"/>
      <c r="R82" s="644"/>
      <c r="S82" s="720"/>
      <c r="T82" s="679"/>
      <c r="U82" s="679"/>
      <c r="V82" s="680"/>
      <c r="W82" s="648"/>
      <c r="X82" s="648"/>
      <c r="Y82" s="2717"/>
      <c r="Z82" s="202"/>
      <c r="AA82" s="45"/>
      <c r="AB82" s="46"/>
    </row>
    <row r="83" spans="1:28" ht="13.5" customHeight="1" x14ac:dyDescent="0.2">
      <c r="A83" s="808"/>
      <c r="B83" s="809"/>
      <c r="C83" s="810"/>
      <c r="D83" s="812"/>
      <c r="E83" s="2868"/>
      <c r="F83" s="3076"/>
      <c r="G83" s="1164"/>
      <c r="H83" s="1161"/>
      <c r="I83" s="3004"/>
      <c r="J83" s="40" t="s">
        <v>78</v>
      </c>
      <c r="K83" s="755">
        <f>L83+N83</f>
        <v>45.6</v>
      </c>
      <c r="L83" s="413"/>
      <c r="M83" s="413"/>
      <c r="N83" s="1190">
        <v>45.6</v>
      </c>
      <c r="O83" s="222"/>
      <c r="P83" s="652"/>
      <c r="Q83" s="652"/>
      <c r="R83" s="198"/>
      <c r="S83" s="350"/>
      <c r="T83" s="356"/>
      <c r="U83" s="356"/>
      <c r="V83" s="348"/>
      <c r="W83" s="247"/>
      <c r="X83" s="247"/>
      <c r="Y83" s="3137"/>
      <c r="Z83" s="112"/>
      <c r="AA83" s="63"/>
      <c r="AB83" s="64"/>
    </row>
    <row r="84" spans="1:28" ht="15" customHeight="1" thickBot="1" x14ac:dyDescent="0.25">
      <c r="A84" s="808"/>
      <c r="B84" s="809"/>
      <c r="C84" s="818"/>
      <c r="D84" s="754"/>
      <c r="E84" s="3062"/>
      <c r="F84" s="3062"/>
      <c r="G84" s="3062"/>
      <c r="H84" s="3062"/>
      <c r="I84" s="3005" t="s">
        <v>112</v>
      </c>
      <c r="J84" s="3006"/>
      <c r="K84" s="435">
        <f t="shared" ref="K84:X84" si="12">SUM(K72:K83)</f>
        <v>6161.7</v>
      </c>
      <c r="L84" s="435">
        <f t="shared" si="12"/>
        <v>0</v>
      </c>
      <c r="M84" s="435">
        <f t="shared" si="12"/>
        <v>0</v>
      </c>
      <c r="N84" s="435">
        <f t="shared" si="12"/>
        <v>6161.7</v>
      </c>
      <c r="O84" s="435">
        <f t="shared" si="12"/>
        <v>614.29999999999995</v>
      </c>
      <c r="P84" s="435">
        <f t="shared" si="12"/>
        <v>0</v>
      </c>
      <c r="Q84" s="435">
        <f t="shared" si="12"/>
        <v>0</v>
      </c>
      <c r="R84" s="435">
        <f t="shared" si="12"/>
        <v>614.29999999999995</v>
      </c>
      <c r="S84" s="435">
        <f t="shared" si="12"/>
        <v>0</v>
      </c>
      <c r="T84" s="435">
        <f t="shared" si="12"/>
        <v>0</v>
      </c>
      <c r="U84" s="435">
        <f t="shared" si="12"/>
        <v>0</v>
      </c>
      <c r="V84" s="454">
        <f t="shared" si="12"/>
        <v>0</v>
      </c>
      <c r="W84" s="434">
        <f t="shared" si="12"/>
        <v>363</v>
      </c>
      <c r="X84" s="435">
        <f t="shared" si="12"/>
        <v>2902.9</v>
      </c>
      <c r="Y84" s="429"/>
      <c r="Z84" s="430"/>
      <c r="AA84" s="430"/>
      <c r="AB84" s="431"/>
    </row>
    <row r="85" spans="1:28" ht="30" customHeight="1" x14ac:dyDescent="0.2">
      <c r="A85" s="861" t="s">
        <v>8</v>
      </c>
      <c r="B85" s="860" t="s">
        <v>8</v>
      </c>
      <c r="C85" s="862" t="s">
        <v>54</v>
      </c>
      <c r="D85" s="700"/>
      <c r="E85" s="133" t="s">
        <v>127</v>
      </c>
      <c r="F85" s="820" t="s">
        <v>206</v>
      </c>
      <c r="G85" s="682"/>
      <c r="H85" s="622"/>
      <c r="I85" s="683"/>
      <c r="J85" s="74"/>
      <c r="K85" s="75"/>
      <c r="L85" s="66"/>
      <c r="M85" s="66"/>
      <c r="N85" s="80"/>
      <c r="O85" s="65"/>
      <c r="P85" s="66"/>
      <c r="Q85" s="66"/>
      <c r="R85" s="67"/>
      <c r="S85" s="315"/>
      <c r="T85" s="316"/>
      <c r="U85" s="316"/>
      <c r="V85" s="681"/>
      <c r="W85" s="76"/>
      <c r="X85" s="102"/>
      <c r="Y85" s="1435"/>
      <c r="Z85" s="45"/>
      <c r="AA85" s="45"/>
      <c r="AB85" s="46"/>
    </row>
    <row r="86" spans="1:28" ht="17.25" customHeight="1" x14ac:dyDescent="0.2">
      <c r="A86" s="2757"/>
      <c r="B86" s="2727"/>
      <c r="C86" s="2991"/>
      <c r="D86" s="3063" t="s">
        <v>8</v>
      </c>
      <c r="E86" s="2703" t="s">
        <v>278</v>
      </c>
      <c r="F86" s="777" t="s">
        <v>79</v>
      </c>
      <c r="G86" s="3007" t="s">
        <v>50</v>
      </c>
      <c r="H86" s="2711" t="s">
        <v>72</v>
      </c>
      <c r="I86" s="3037" t="s">
        <v>126</v>
      </c>
      <c r="J86" s="740" t="s">
        <v>77</v>
      </c>
      <c r="K86" s="741"/>
      <c r="L86" s="514"/>
      <c r="M86" s="514"/>
      <c r="N86" s="515"/>
      <c r="O86" s="516">
        <f>R86</f>
        <v>417.2</v>
      </c>
      <c r="P86" s="517"/>
      <c r="Q86" s="517"/>
      <c r="R86" s="656">
        <f>199.4+217.8</f>
        <v>417.2</v>
      </c>
      <c r="S86" s="519"/>
      <c r="T86" s="520"/>
      <c r="U86" s="520"/>
      <c r="V86" s="521"/>
      <c r="W86" s="522"/>
      <c r="X86" s="608"/>
      <c r="Y86" s="2690" t="s">
        <v>267</v>
      </c>
      <c r="Z86" s="2773" t="s">
        <v>188</v>
      </c>
      <c r="AA86" s="77"/>
      <c r="AB86" s="78"/>
    </row>
    <row r="87" spans="1:28" ht="15" customHeight="1" x14ac:dyDescent="0.2">
      <c r="A87" s="2757"/>
      <c r="B87" s="2727"/>
      <c r="C87" s="2991"/>
      <c r="D87" s="3064"/>
      <c r="E87" s="2704"/>
      <c r="F87" s="1497"/>
      <c r="G87" s="3007"/>
      <c r="H87" s="2711"/>
      <c r="I87" s="3012"/>
      <c r="J87" s="723" t="s">
        <v>75</v>
      </c>
      <c r="K87" s="730">
        <f>L87+N87</f>
        <v>200</v>
      </c>
      <c r="L87" s="640"/>
      <c r="M87" s="640"/>
      <c r="N87" s="641">
        <v>200</v>
      </c>
      <c r="O87" s="747">
        <f>P87+R87</f>
        <v>310</v>
      </c>
      <c r="P87" s="672"/>
      <c r="Q87" s="672"/>
      <c r="R87" s="644">
        <v>310</v>
      </c>
      <c r="S87" s="279"/>
      <c r="T87" s="280"/>
      <c r="U87" s="280"/>
      <c r="V87" s="281"/>
      <c r="W87" s="243"/>
      <c r="X87" s="84"/>
      <c r="Y87" s="2692"/>
      <c r="Z87" s="2774"/>
      <c r="AA87" s="45"/>
      <c r="AB87" s="46"/>
    </row>
    <row r="88" spans="1:28" ht="12.75" customHeight="1" x14ac:dyDescent="0.2">
      <c r="A88" s="2757"/>
      <c r="B88" s="2727"/>
      <c r="C88" s="2991"/>
      <c r="D88" s="3064"/>
      <c r="E88" s="2704"/>
      <c r="F88" s="696"/>
      <c r="G88" s="3007"/>
      <c r="H88" s="2711"/>
      <c r="I88" s="3067"/>
      <c r="J88" s="40" t="s">
        <v>108</v>
      </c>
      <c r="K88" s="375">
        <f>L88+N88</f>
        <v>0.8</v>
      </c>
      <c r="L88" s="391">
        <v>0.1</v>
      </c>
      <c r="M88" s="391"/>
      <c r="N88" s="609">
        <v>0.7</v>
      </c>
      <c r="O88" s="250"/>
      <c r="P88" s="149"/>
      <c r="Q88" s="149"/>
      <c r="R88" s="198"/>
      <c r="S88" s="285">
        <f>T88+V88</f>
        <v>0</v>
      </c>
      <c r="T88" s="292"/>
      <c r="U88" s="292"/>
      <c r="V88" s="573">
        <v>0</v>
      </c>
      <c r="W88" s="611"/>
      <c r="X88" s="788"/>
      <c r="Y88" s="2691"/>
      <c r="Z88" s="3177"/>
      <c r="AA88" s="63"/>
      <c r="AB88" s="64"/>
    </row>
    <row r="89" spans="1:28" ht="21" customHeight="1" x14ac:dyDescent="0.2">
      <c r="A89" s="2757"/>
      <c r="B89" s="2727"/>
      <c r="C89" s="2991"/>
      <c r="D89" s="310" t="s">
        <v>10</v>
      </c>
      <c r="E89" s="2703" t="s">
        <v>294</v>
      </c>
      <c r="F89" s="2706" t="s">
        <v>79</v>
      </c>
      <c r="G89" s="3193" t="s">
        <v>50</v>
      </c>
      <c r="H89" s="2710" t="s">
        <v>72</v>
      </c>
      <c r="I89" s="3058" t="s">
        <v>126</v>
      </c>
      <c r="J89" s="783" t="s">
        <v>74</v>
      </c>
      <c r="K89" s="778">
        <f>L89+N89</f>
        <v>5928.9</v>
      </c>
      <c r="L89" s="784"/>
      <c r="M89" s="784"/>
      <c r="N89" s="983">
        <v>5928.9</v>
      </c>
      <c r="O89" s="779">
        <f>P89+R89</f>
        <v>6842.4</v>
      </c>
      <c r="P89" s="786"/>
      <c r="Q89" s="786"/>
      <c r="R89" s="787">
        <v>6842.4</v>
      </c>
      <c r="S89" s="780">
        <f>T89+V89</f>
        <v>0</v>
      </c>
      <c r="T89" s="781"/>
      <c r="U89" s="781"/>
      <c r="V89" s="852"/>
      <c r="W89" s="782"/>
      <c r="X89" s="782"/>
      <c r="Y89" s="2784" t="s">
        <v>244</v>
      </c>
      <c r="Z89" s="753">
        <v>100</v>
      </c>
      <c r="AA89" s="202"/>
      <c r="AB89" s="113"/>
    </row>
    <row r="90" spans="1:28" ht="30.75" customHeight="1" x14ac:dyDescent="0.2">
      <c r="A90" s="2962"/>
      <c r="B90" s="2963"/>
      <c r="C90" s="3192"/>
      <c r="D90" s="773"/>
      <c r="E90" s="2705"/>
      <c r="F90" s="2707"/>
      <c r="G90" s="3194"/>
      <c r="H90" s="2715"/>
      <c r="I90" s="3059"/>
      <c r="J90" s="40" t="s">
        <v>80</v>
      </c>
      <c r="K90" s="375">
        <f>L90+N90</f>
        <v>4546.3</v>
      </c>
      <c r="L90" s="391"/>
      <c r="M90" s="391"/>
      <c r="N90" s="609">
        <v>4546.3</v>
      </c>
      <c r="O90" s="386">
        <f>P90+R90</f>
        <v>1701.8</v>
      </c>
      <c r="P90" s="149"/>
      <c r="Q90" s="149"/>
      <c r="R90" s="198">
        <v>1701.8</v>
      </c>
      <c r="S90" s="285">
        <f>T90+V90</f>
        <v>0</v>
      </c>
      <c r="T90" s="292"/>
      <c r="U90" s="292"/>
      <c r="V90" s="573">
        <v>0</v>
      </c>
      <c r="W90" s="853"/>
      <c r="X90" s="611"/>
      <c r="Y90" s="2937"/>
      <c r="Z90" s="132"/>
      <c r="AA90" s="112"/>
      <c r="AB90" s="64"/>
    </row>
    <row r="91" spans="1:28" ht="50.25" customHeight="1" x14ac:dyDescent="0.2">
      <c r="A91" s="688"/>
      <c r="B91" s="689"/>
      <c r="C91" s="694"/>
      <c r="D91" s="698" t="s">
        <v>45</v>
      </c>
      <c r="E91" s="756" t="s">
        <v>154</v>
      </c>
      <c r="F91" s="701" t="s">
        <v>79</v>
      </c>
      <c r="G91" s="695" t="s">
        <v>50</v>
      </c>
      <c r="H91" s="690" t="s">
        <v>72</v>
      </c>
      <c r="I91" s="708" t="s">
        <v>125</v>
      </c>
      <c r="J91" s="17" t="s">
        <v>80</v>
      </c>
      <c r="K91" s="386"/>
      <c r="L91" s="391"/>
      <c r="M91" s="391"/>
      <c r="N91" s="609"/>
      <c r="O91" s="386"/>
      <c r="P91" s="49"/>
      <c r="Q91" s="49"/>
      <c r="R91" s="50"/>
      <c r="S91" s="285"/>
      <c r="T91" s="292"/>
      <c r="U91" s="292"/>
      <c r="V91" s="573"/>
      <c r="W91" s="104"/>
      <c r="X91" s="175">
        <v>1000</v>
      </c>
      <c r="Y91" s="706" t="s">
        <v>208</v>
      </c>
      <c r="Z91" s="134"/>
      <c r="AA91" s="774"/>
      <c r="AB91" s="1131" t="s">
        <v>245</v>
      </c>
    </row>
    <row r="92" spans="1:28" ht="15" customHeight="1" thickBot="1" x14ac:dyDescent="0.25">
      <c r="A92" s="378"/>
      <c r="B92" s="264"/>
      <c r="C92" s="396"/>
      <c r="D92" s="441"/>
      <c r="E92" s="3049"/>
      <c r="F92" s="3049"/>
      <c r="G92" s="3049"/>
      <c r="H92" s="3049"/>
      <c r="I92" s="3060" t="s">
        <v>112</v>
      </c>
      <c r="J92" s="3061"/>
      <c r="K92" s="427">
        <f t="shared" ref="K92:X92" si="13">SUM(K86:K91)</f>
        <v>10676</v>
      </c>
      <c r="L92" s="427">
        <f t="shared" si="13"/>
        <v>0.1</v>
      </c>
      <c r="M92" s="427">
        <f t="shared" si="13"/>
        <v>0</v>
      </c>
      <c r="N92" s="442">
        <f t="shared" si="13"/>
        <v>10675.9</v>
      </c>
      <c r="O92" s="400">
        <f t="shared" si="13"/>
        <v>9271.4</v>
      </c>
      <c r="P92" s="427">
        <f t="shared" si="13"/>
        <v>0</v>
      </c>
      <c r="Q92" s="427">
        <f t="shared" si="13"/>
        <v>0</v>
      </c>
      <c r="R92" s="428">
        <f t="shared" si="13"/>
        <v>9271.4</v>
      </c>
      <c r="S92" s="427">
        <f t="shared" si="13"/>
        <v>0</v>
      </c>
      <c r="T92" s="427">
        <f t="shared" si="13"/>
        <v>0</v>
      </c>
      <c r="U92" s="427">
        <f t="shared" si="13"/>
        <v>0</v>
      </c>
      <c r="V92" s="442">
        <f t="shared" si="13"/>
        <v>0</v>
      </c>
      <c r="W92" s="400">
        <f t="shared" si="13"/>
        <v>0</v>
      </c>
      <c r="X92" s="427">
        <f t="shared" si="13"/>
        <v>1000</v>
      </c>
      <c r="Y92" s="402"/>
      <c r="Z92" s="403"/>
      <c r="AA92" s="403"/>
      <c r="AB92" s="404"/>
    </row>
    <row r="93" spans="1:28" s="73" customFormat="1" ht="14.25" customHeight="1" x14ac:dyDescent="0.2">
      <c r="A93" s="2755" t="s">
        <v>8</v>
      </c>
      <c r="B93" s="2847" t="s">
        <v>8</v>
      </c>
      <c r="C93" s="2854" t="s">
        <v>55</v>
      </c>
      <c r="D93" s="2854"/>
      <c r="E93" s="2857" t="s">
        <v>144</v>
      </c>
      <c r="F93" s="2781"/>
      <c r="G93" s="3279" t="s">
        <v>50</v>
      </c>
      <c r="H93" s="2738" t="s">
        <v>72</v>
      </c>
      <c r="I93" s="3140" t="s">
        <v>125</v>
      </c>
      <c r="J93" s="70" t="s">
        <v>42</v>
      </c>
      <c r="K93" s="421">
        <f>L93+N93</f>
        <v>20</v>
      </c>
      <c r="L93" s="422"/>
      <c r="M93" s="422"/>
      <c r="N93" s="423">
        <v>20</v>
      </c>
      <c r="O93" s="424">
        <f>R93</f>
        <v>10</v>
      </c>
      <c r="P93" s="150"/>
      <c r="Q93" s="150"/>
      <c r="R93" s="151">
        <v>10</v>
      </c>
      <c r="S93" s="312">
        <f>T93+V93</f>
        <v>0</v>
      </c>
      <c r="T93" s="313"/>
      <c r="U93" s="313"/>
      <c r="V93" s="314">
        <v>0</v>
      </c>
      <c r="W93" s="103">
        <v>20</v>
      </c>
      <c r="X93" s="830">
        <v>20</v>
      </c>
      <c r="Y93" s="3143"/>
      <c r="Z93" s="71"/>
      <c r="AA93" s="71"/>
      <c r="AB93" s="72"/>
    </row>
    <row r="94" spans="1:28" ht="14.25" customHeight="1" x14ac:dyDescent="0.2">
      <c r="A94" s="2757"/>
      <c r="B94" s="2727"/>
      <c r="C94" s="2855"/>
      <c r="D94" s="2855"/>
      <c r="E94" s="2704"/>
      <c r="F94" s="2782"/>
      <c r="G94" s="3007"/>
      <c r="H94" s="2711"/>
      <c r="I94" s="3141"/>
      <c r="J94" s="38"/>
      <c r="K94" s="226"/>
      <c r="L94" s="339"/>
      <c r="M94" s="339"/>
      <c r="N94" s="405"/>
      <c r="O94" s="223"/>
      <c r="P94" s="244"/>
      <c r="Q94" s="244"/>
      <c r="R94" s="31"/>
      <c r="S94" s="282"/>
      <c r="T94" s="280"/>
      <c r="U94" s="280"/>
      <c r="V94" s="281"/>
      <c r="W94" s="243"/>
      <c r="X94" s="84"/>
      <c r="Y94" s="2862"/>
      <c r="Z94" s="45"/>
      <c r="AA94" s="45"/>
      <c r="AB94" s="46"/>
    </row>
    <row r="95" spans="1:28" ht="12" customHeight="1" x14ac:dyDescent="0.2">
      <c r="A95" s="2757"/>
      <c r="B95" s="2727"/>
      <c r="C95" s="2855"/>
      <c r="D95" s="2855"/>
      <c r="E95" s="2704"/>
      <c r="F95" s="2782"/>
      <c r="G95" s="3007"/>
      <c r="H95" s="2711"/>
      <c r="I95" s="3282"/>
      <c r="J95" s="38"/>
      <c r="K95" s="375"/>
      <c r="L95" s="373"/>
      <c r="M95" s="373"/>
      <c r="N95" s="389"/>
      <c r="O95" s="386"/>
      <c r="P95" s="34"/>
      <c r="Q95" s="34"/>
      <c r="R95" s="35"/>
      <c r="S95" s="285"/>
      <c r="T95" s="287"/>
      <c r="U95" s="287"/>
      <c r="V95" s="288"/>
      <c r="W95" s="36"/>
      <c r="X95" s="69"/>
      <c r="Y95" s="2862"/>
      <c r="Z95" s="45"/>
      <c r="AA95" s="45"/>
      <c r="AB95" s="46"/>
    </row>
    <row r="96" spans="1:28" ht="14.25" customHeight="1" thickBot="1" x14ac:dyDescent="0.25">
      <c r="A96" s="2756"/>
      <c r="B96" s="2728"/>
      <c r="C96" s="2856"/>
      <c r="D96" s="2856"/>
      <c r="E96" s="2858"/>
      <c r="F96" s="2783"/>
      <c r="G96" s="3008"/>
      <c r="H96" s="2739"/>
      <c r="I96" s="3142"/>
      <c r="J96" s="299" t="s">
        <v>9</v>
      </c>
      <c r="K96" s="296">
        <f t="shared" ref="K96:V96" si="14">SUM(K93:K95)</f>
        <v>20</v>
      </c>
      <c r="L96" s="297">
        <f t="shared" si="14"/>
        <v>0</v>
      </c>
      <c r="M96" s="297">
        <f t="shared" si="14"/>
        <v>0</v>
      </c>
      <c r="N96" s="298">
        <f t="shared" si="14"/>
        <v>20</v>
      </c>
      <c r="O96" s="300">
        <f>SUM(O93:O95)</f>
        <v>10</v>
      </c>
      <c r="P96" s="297">
        <f t="shared" si="14"/>
        <v>0</v>
      </c>
      <c r="Q96" s="297">
        <f t="shared" si="14"/>
        <v>0</v>
      </c>
      <c r="R96" s="301">
        <f t="shared" si="14"/>
        <v>10</v>
      </c>
      <c r="S96" s="296">
        <f t="shared" si="14"/>
        <v>0</v>
      </c>
      <c r="T96" s="297">
        <f t="shared" si="14"/>
        <v>0</v>
      </c>
      <c r="U96" s="297">
        <f t="shared" si="14"/>
        <v>0</v>
      </c>
      <c r="V96" s="298">
        <f t="shared" si="14"/>
        <v>0</v>
      </c>
      <c r="W96" s="302">
        <f>SUM(W93:W95)</f>
        <v>20</v>
      </c>
      <c r="X96" s="303">
        <f t="shared" ref="X96" si="15">SUM(X93:X95)</f>
        <v>20</v>
      </c>
      <c r="Y96" s="18"/>
      <c r="Z96" s="56"/>
      <c r="AA96" s="56"/>
      <c r="AB96" s="57"/>
    </row>
    <row r="97" spans="1:29" ht="14.25" customHeight="1" thickBot="1" x14ac:dyDescent="0.25">
      <c r="A97" s="382" t="s">
        <v>8</v>
      </c>
      <c r="B97" s="11" t="s">
        <v>8</v>
      </c>
      <c r="C97" s="2730" t="s">
        <v>11</v>
      </c>
      <c r="D97" s="2730"/>
      <c r="E97" s="2730"/>
      <c r="F97" s="2730"/>
      <c r="G97" s="2730"/>
      <c r="H97" s="2730"/>
      <c r="I97" s="2730"/>
      <c r="J97" s="2731"/>
      <c r="K97" s="37">
        <f t="shared" ref="K97:X97" si="16">K96+K92+K62+K51+K37+K84+K70</f>
        <v>27502.3</v>
      </c>
      <c r="L97" s="37">
        <f t="shared" si="16"/>
        <v>0.1</v>
      </c>
      <c r="M97" s="37">
        <f t="shared" si="16"/>
        <v>0</v>
      </c>
      <c r="N97" s="37">
        <f t="shared" si="16"/>
        <v>27502.2</v>
      </c>
      <c r="O97" s="37">
        <f t="shared" si="16"/>
        <v>13804.5</v>
      </c>
      <c r="P97" s="37">
        <f t="shared" si="16"/>
        <v>0</v>
      </c>
      <c r="Q97" s="37">
        <f t="shared" si="16"/>
        <v>0</v>
      </c>
      <c r="R97" s="37">
        <f t="shared" si="16"/>
        <v>13804.5</v>
      </c>
      <c r="S97" s="37">
        <f t="shared" si="16"/>
        <v>0</v>
      </c>
      <c r="T97" s="37">
        <f t="shared" si="16"/>
        <v>0</v>
      </c>
      <c r="U97" s="37">
        <f t="shared" si="16"/>
        <v>0</v>
      </c>
      <c r="V97" s="37">
        <f t="shared" si="16"/>
        <v>0</v>
      </c>
      <c r="W97" s="37">
        <f t="shared" si="16"/>
        <v>11000.5</v>
      </c>
      <c r="X97" s="37">
        <f t="shared" si="16"/>
        <v>17766.099999999999</v>
      </c>
      <c r="Y97" s="263"/>
      <c r="Z97" s="58"/>
      <c r="AA97" s="58"/>
      <c r="AB97" s="59"/>
    </row>
    <row r="98" spans="1:29" ht="14.25" customHeight="1" thickBot="1" x14ac:dyDescent="0.25">
      <c r="A98" s="382" t="s">
        <v>8</v>
      </c>
      <c r="B98" s="11" t="s">
        <v>10</v>
      </c>
      <c r="C98" s="2770" t="s">
        <v>49</v>
      </c>
      <c r="D98" s="2770"/>
      <c r="E98" s="2770"/>
      <c r="F98" s="2770"/>
      <c r="G98" s="2770"/>
      <c r="H98" s="2770"/>
      <c r="I98" s="2770"/>
      <c r="J98" s="2770"/>
      <c r="K98" s="2770"/>
      <c r="L98" s="2770"/>
      <c r="M98" s="2770"/>
      <c r="N98" s="2770"/>
      <c r="O98" s="2771"/>
      <c r="P98" s="2771"/>
      <c r="Q98" s="2771"/>
      <c r="R98" s="2771"/>
      <c r="S98" s="2770"/>
      <c r="T98" s="2770"/>
      <c r="U98" s="2770"/>
      <c r="V98" s="2770"/>
      <c r="W98" s="2770"/>
      <c r="X98" s="2770"/>
      <c r="Y98" s="2770"/>
      <c r="Z98" s="2770"/>
      <c r="AA98" s="2770"/>
      <c r="AB98" s="2772"/>
    </row>
    <row r="99" spans="1:29" ht="13.5" customHeight="1" x14ac:dyDescent="0.2">
      <c r="A99" s="378" t="s">
        <v>8</v>
      </c>
      <c r="B99" s="264" t="s">
        <v>10</v>
      </c>
      <c r="C99" s="395" t="s">
        <v>8</v>
      </c>
      <c r="D99" s="369"/>
      <c r="E99" s="2791" t="s">
        <v>99</v>
      </c>
      <c r="F99" s="3285" t="s">
        <v>263</v>
      </c>
      <c r="G99" s="463" t="s">
        <v>66</v>
      </c>
      <c r="H99" s="363"/>
      <c r="I99" s="152"/>
      <c r="J99" s="241" t="s">
        <v>42</v>
      </c>
      <c r="K99" s="86"/>
      <c r="L99" s="87"/>
      <c r="M99" s="131"/>
      <c r="N99" s="344"/>
      <c r="O99" s="1092"/>
      <c r="P99" s="1092"/>
      <c r="Q99" s="1092"/>
      <c r="R99" s="883"/>
      <c r="S99" s="1114"/>
      <c r="T99" s="1092"/>
      <c r="U99" s="1092"/>
      <c r="V99" s="1092"/>
      <c r="W99" s="1092"/>
      <c r="X99" s="1112"/>
      <c r="Y99" s="86"/>
      <c r="Z99" s="87"/>
      <c r="AA99" s="131"/>
      <c r="AB99" s="115"/>
    </row>
    <row r="100" spans="1:29" ht="15" customHeight="1" x14ac:dyDescent="0.2">
      <c r="A100" s="378"/>
      <c r="B100" s="357"/>
      <c r="C100" s="395"/>
      <c r="D100" s="358"/>
      <c r="E100" s="2935"/>
      <c r="F100" s="2843"/>
      <c r="G100" s="55"/>
      <c r="H100" s="360"/>
      <c r="I100" s="153"/>
      <c r="J100" s="240" t="s">
        <v>122</v>
      </c>
      <c r="K100" s="471"/>
      <c r="L100" s="472"/>
      <c r="M100" s="473"/>
      <c r="N100" s="474"/>
      <c r="O100" s="475"/>
      <c r="P100" s="472"/>
      <c r="Q100" s="472"/>
      <c r="R100" s="634"/>
      <c r="S100" s="1115"/>
      <c r="T100" s="476"/>
      <c r="U100" s="477"/>
      <c r="V100" s="605"/>
      <c r="W100" s="478"/>
      <c r="X100" s="473"/>
      <c r="Y100" s="60"/>
      <c r="Z100" s="100"/>
      <c r="AA100" s="6"/>
      <c r="AB100" s="101"/>
    </row>
    <row r="101" spans="1:29" ht="14.25" customHeight="1" x14ac:dyDescent="0.2">
      <c r="A101" s="378"/>
      <c r="B101" s="357"/>
      <c r="C101" s="395"/>
      <c r="D101" s="359"/>
      <c r="E101" s="2958"/>
      <c r="F101" s="2843"/>
      <c r="G101" s="464"/>
      <c r="H101" s="361"/>
      <c r="I101" s="465"/>
      <c r="J101" s="242" t="s">
        <v>108</v>
      </c>
      <c r="K101" s="466"/>
      <c r="L101" s="132"/>
      <c r="M101" s="467"/>
      <c r="N101" s="345"/>
      <c r="O101" s="346"/>
      <c r="P101" s="132"/>
      <c r="Q101" s="132"/>
      <c r="R101" s="479"/>
      <c r="S101" s="1116"/>
      <c r="T101" s="468"/>
      <c r="U101" s="469"/>
      <c r="V101" s="606"/>
      <c r="W101" s="470"/>
      <c r="X101" s="467"/>
      <c r="Y101" s="60"/>
      <c r="Z101" s="100"/>
      <c r="AA101" s="6"/>
      <c r="AB101" s="101"/>
    </row>
    <row r="102" spans="1:29" ht="14.25" customHeight="1" x14ac:dyDescent="0.2">
      <c r="A102" s="378"/>
      <c r="B102" s="264"/>
      <c r="C102" s="395"/>
      <c r="D102" s="266" t="s">
        <v>8</v>
      </c>
      <c r="E102" s="534" t="s">
        <v>87</v>
      </c>
      <c r="F102" s="269"/>
      <c r="G102" s="55"/>
      <c r="H102" s="268"/>
      <c r="I102" s="3058" t="s">
        <v>128</v>
      </c>
      <c r="J102" s="242"/>
      <c r="K102" s="60"/>
      <c r="L102" s="132"/>
      <c r="M102" s="6"/>
      <c r="N102" s="345"/>
      <c r="O102" s="346"/>
      <c r="P102" s="132"/>
      <c r="Q102" s="132"/>
      <c r="R102" s="479"/>
      <c r="S102" s="1117"/>
      <c r="T102" s="321"/>
      <c r="U102" s="322"/>
      <c r="V102" s="606"/>
      <c r="W102" s="139"/>
      <c r="X102" s="130"/>
      <c r="Y102" s="466"/>
      <c r="Z102" s="132"/>
      <c r="AA102" s="467"/>
      <c r="AB102" s="479"/>
    </row>
    <row r="103" spans="1:29" ht="15.75" customHeight="1" x14ac:dyDescent="0.2">
      <c r="A103" s="378"/>
      <c r="B103" s="264"/>
      <c r="C103" s="395"/>
      <c r="D103" s="266"/>
      <c r="E103" s="2703" t="s">
        <v>148</v>
      </c>
      <c r="F103" s="269"/>
      <c r="G103" s="55" t="s">
        <v>56</v>
      </c>
      <c r="H103" s="268" t="s">
        <v>57</v>
      </c>
      <c r="I103" s="3058"/>
      <c r="J103" s="590" t="s">
        <v>42</v>
      </c>
      <c r="K103" s="372">
        <f>L103+N103</f>
        <v>16879.3</v>
      </c>
      <c r="L103" s="373">
        <f>16879.5-0.2</f>
        <v>16879.3</v>
      </c>
      <c r="M103" s="373"/>
      <c r="N103" s="91"/>
      <c r="O103" s="591">
        <f t="shared" ref="O103:O112" si="17">P103+R103</f>
        <v>16592.900000000001</v>
      </c>
      <c r="P103" s="244">
        <v>16592.900000000001</v>
      </c>
      <c r="Q103" s="244"/>
      <c r="R103" s="31"/>
      <c r="S103" s="286">
        <f>T103+V103</f>
        <v>0</v>
      </c>
      <c r="T103" s="287">
        <v>0</v>
      </c>
      <c r="U103" s="287"/>
      <c r="V103" s="288"/>
      <c r="W103" s="90">
        <v>16907.7</v>
      </c>
      <c r="X103" s="343">
        <v>17405.400000000001</v>
      </c>
      <c r="Y103" s="2692" t="s">
        <v>67</v>
      </c>
      <c r="Z103" s="1108">
        <v>5</v>
      </c>
      <c r="AA103" s="1108">
        <v>5</v>
      </c>
      <c r="AB103" s="1109">
        <v>5</v>
      </c>
    </row>
    <row r="104" spans="1:29" ht="14.25" customHeight="1" x14ac:dyDescent="0.2">
      <c r="A104" s="378"/>
      <c r="B104" s="264"/>
      <c r="C104" s="395"/>
      <c r="D104" s="266"/>
      <c r="E104" s="2705"/>
      <c r="F104" s="269"/>
      <c r="G104" s="55"/>
      <c r="H104" s="268"/>
      <c r="I104" s="3058"/>
      <c r="J104" s="592" t="s">
        <v>108</v>
      </c>
      <c r="K104" s="593">
        <f>L104+N104</f>
        <v>673.4</v>
      </c>
      <c r="L104" s="594">
        <v>673.4</v>
      </c>
      <c r="M104" s="594"/>
      <c r="N104" s="595"/>
      <c r="O104" s="596">
        <f t="shared" si="17"/>
        <v>0</v>
      </c>
      <c r="P104" s="597">
        <v>0</v>
      </c>
      <c r="Q104" s="597"/>
      <c r="R104" s="1119"/>
      <c r="S104" s="1118">
        <f>T104+V104</f>
        <v>0</v>
      </c>
      <c r="T104" s="599">
        <v>0</v>
      </c>
      <c r="U104" s="599"/>
      <c r="V104" s="607"/>
      <c r="W104" s="600"/>
      <c r="X104" s="1113"/>
      <c r="Y104" s="2693"/>
      <c r="Z104" s="364"/>
      <c r="AA104" s="364"/>
      <c r="AB104" s="365"/>
    </row>
    <row r="105" spans="1:29" ht="26.25" customHeight="1" x14ac:dyDescent="0.2">
      <c r="A105" s="378"/>
      <c r="B105" s="264"/>
      <c r="C105" s="395"/>
      <c r="D105" s="266"/>
      <c r="E105" s="270" t="s">
        <v>149</v>
      </c>
      <c r="F105" s="269"/>
      <c r="G105" s="55"/>
      <c r="H105" s="268"/>
      <c r="I105" s="3058"/>
      <c r="J105" s="240" t="s">
        <v>42</v>
      </c>
      <c r="K105" s="223">
        <f>L105</f>
        <v>45</v>
      </c>
      <c r="L105" s="224">
        <v>45</v>
      </c>
      <c r="M105" s="224"/>
      <c r="N105" s="62"/>
      <c r="O105" s="223">
        <f t="shared" si="17"/>
        <v>45</v>
      </c>
      <c r="P105" s="224">
        <v>45</v>
      </c>
      <c r="Q105" s="52"/>
      <c r="R105" s="30"/>
      <c r="S105" s="282">
        <f>T105</f>
        <v>0</v>
      </c>
      <c r="T105" s="283">
        <v>0</v>
      </c>
      <c r="U105" s="283"/>
      <c r="V105" s="284"/>
      <c r="W105" s="165">
        <v>45</v>
      </c>
      <c r="X105" s="218">
        <v>45</v>
      </c>
      <c r="Y105" s="1065" t="s">
        <v>235</v>
      </c>
      <c r="Z105" s="588">
        <v>3</v>
      </c>
      <c r="AA105" s="588">
        <v>3</v>
      </c>
      <c r="AB105" s="589">
        <v>3</v>
      </c>
    </row>
    <row r="106" spans="1:29" ht="27.75" customHeight="1" x14ac:dyDescent="0.2">
      <c r="A106" s="378"/>
      <c r="B106" s="264"/>
      <c r="C106" s="395"/>
      <c r="D106" s="266"/>
      <c r="E106" s="265" t="s">
        <v>150</v>
      </c>
      <c r="F106" s="269"/>
      <c r="G106" s="55"/>
      <c r="H106" s="268"/>
      <c r="I106" s="465"/>
      <c r="J106" s="240" t="s">
        <v>42</v>
      </c>
      <c r="K106" s="223">
        <f>L106</f>
        <v>725.5</v>
      </c>
      <c r="L106" s="224">
        <v>725.5</v>
      </c>
      <c r="M106" s="224"/>
      <c r="N106" s="62"/>
      <c r="O106" s="223">
        <f t="shared" si="17"/>
        <v>500</v>
      </c>
      <c r="P106" s="224">
        <f>725.5-225.5</f>
        <v>500</v>
      </c>
      <c r="Q106" s="224"/>
      <c r="R106" s="225"/>
      <c r="S106" s="226">
        <f>T106</f>
        <v>0</v>
      </c>
      <c r="T106" s="224">
        <v>0</v>
      </c>
      <c r="U106" s="224"/>
      <c r="V106" s="233"/>
      <c r="W106" s="975">
        <v>725</v>
      </c>
      <c r="X106" s="1064">
        <v>725</v>
      </c>
      <c r="Y106" s="1110" t="s">
        <v>234</v>
      </c>
      <c r="Z106" s="210">
        <v>6</v>
      </c>
      <c r="AA106" s="210">
        <v>6</v>
      </c>
      <c r="AB106" s="211">
        <v>6</v>
      </c>
    </row>
    <row r="107" spans="1:29" ht="22.5" customHeight="1" x14ac:dyDescent="0.2">
      <c r="A107" s="2757"/>
      <c r="B107" s="2727"/>
      <c r="C107" s="2991"/>
      <c r="D107" s="3030" t="s">
        <v>10</v>
      </c>
      <c r="E107" s="2926" t="s">
        <v>68</v>
      </c>
      <c r="F107" s="3055"/>
      <c r="G107" s="3202" t="s">
        <v>50</v>
      </c>
      <c r="H107" s="2710" t="s">
        <v>57</v>
      </c>
      <c r="I107" s="3003" t="s">
        <v>128</v>
      </c>
      <c r="J107" s="601" t="s">
        <v>42</v>
      </c>
      <c r="K107" s="513">
        <f t="shared" ref="K107:K112" si="18">L107+N107</f>
        <v>178.5</v>
      </c>
      <c r="L107" s="514">
        <v>178.5</v>
      </c>
      <c r="M107" s="517"/>
      <c r="N107" s="602"/>
      <c r="O107" s="516">
        <f t="shared" si="17"/>
        <v>189</v>
      </c>
      <c r="P107" s="517">
        <v>189</v>
      </c>
      <c r="Q107" s="517"/>
      <c r="R107" s="518"/>
      <c r="S107" s="519">
        <f t="shared" ref="S107:S112" si="19">T107+V107</f>
        <v>0</v>
      </c>
      <c r="T107" s="520">
        <v>0</v>
      </c>
      <c r="U107" s="520"/>
      <c r="V107" s="521"/>
      <c r="W107" s="522">
        <v>198</v>
      </c>
      <c r="X107" s="733">
        <v>207</v>
      </c>
      <c r="Y107" s="2690" t="s">
        <v>92</v>
      </c>
      <c r="Z107" s="3200">
        <v>6.8</v>
      </c>
      <c r="AA107" s="3232">
        <v>7</v>
      </c>
      <c r="AB107" s="3283">
        <v>7</v>
      </c>
    </row>
    <row r="108" spans="1:29" ht="17.25" customHeight="1" x14ac:dyDescent="0.2">
      <c r="A108" s="2757"/>
      <c r="B108" s="2727"/>
      <c r="C108" s="2991"/>
      <c r="D108" s="2855"/>
      <c r="E108" s="2786"/>
      <c r="F108" s="2748"/>
      <c r="G108" s="3199"/>
      <c r="H108" s="2711"/>
      <c r="I108" s="3058"/>
      <c r="J108" s="242" t="s">
        <v>108</v>
      </c>
      <c r="K108" s="386">
        <f t="shared" si="18"/>
        <v>0</v>
      </c>
      <c r="L108" s="391">
        <v>0</v>
      </c>
      <c r="M108" s="244"/>
      <c r="N108" s="61"/>
      <c r="O108" s="250">
        <f t="shared" si="17"/>
        <v>0</v>
      </c>
      <c r="P108" s="245">
        <v>0</v>
      </c>
      <c r="Q108" s="245"/>
      <c r="R108" s="557"/>
      <c r="S108" s="285">
        <f t="shared" si="19"/>
        <v>0</v>
      </c>
      <c r="T108" s="292">
        <v>0</v>
      </c>
      <c r="U108" s="292"/>
      <c r="V108" s="573"/>
      <c r="W108" s="243"/>
      <c r="X108" s="215"/>
      <c r="Y108" s="2692"/>
      <c r="Z108" s="3201"/>
      <c r="AA108" s="3233"/>
      <c r="AB108" s="3284"/>
    </row>
    <row r="109" spans="1:29" ht="30" customHeight="1" x14ac:dyDescent="0.2">
      <c r="A109" s="2757"/>
      <c r="B109" s="2727"/>
      <c r="C109" s="2991"/>
      <c r="D109" s="3030" t="s">
        <v>45</v>
      </c>
      <c r="E109" s="2926" t="s">
        <v>279</v>
      </c>
      <c r="F109" s="3055"/>
      <c r="G109" s="3202" t="s">
        <v>50</v>
      </c>
      <c r="H109" s="2710" t="s">
        <v>57</v>
      </c>
      <c r="I109" s="3058"/>
      <c r="J109" s="601" t="s">
        <v>108</v>
      </c>
      <c r="K109" s="513">
        <f t="shared" si="18"/>
        <v>10.199999999999999</v>
      </c>
      <c r="L109" s="514">
        <v>10.199999999999999</v>
      </c>
      <c r="M109" s="514"/>
      <c r="N109" s="602"/>
      <c r="O109" s="516">
        <f t="shared" si="17"/>
        <v>117</v>
      </c>
      <c r="P109" s="517">
        <v>117</v>
      </c>
      <c r="Q109" s="517"/>
      <c r="R109" s="518"/>
      <c r="S109" s="519">
        <f t="shared" si="19"/>
        <v>0</v>
      </c>
      <c r="T109" s="520">
        <v>0</v>
      </c>
      <c r="U109" s="520"/>
      <c r="V109" s="521"/>
      <c r="W109" s="522">
        <v>117</v>
      </c>
      <c r="X109" s="733">
        <v>117</v>
      </c>
      <c r="Y109" s="2758" t="s">
        <v>70</v>
      </c>
      <c r="Z109" s="586">
        <v>3</v>
      </c>
      <c r="AA109" s="586">
        <v>3</v>
      </c>
      <c r="AB109" s="587">
        <v>3</v>
      </c>
    </row>
    <row r="110" spans="1:29" ht="22.5" customHeight="1" x14ac:dyDescent="0.2">
      <c r="A110" s="2757"/>
      <c r="B110" s="2727"/>
      <c r="C110" s="2991"/>
      <c r="D110" s="3031"/>
      <c r="E110" s="2965"/>
      <c r="F110" s="3041"/>
      <c r="G110" s="3203"/>
      <c r="H110" s="2715"/>
      <c r="I110" s="3059"/>
      <c r="J110" s="242"/>
      <c r="K110" s="386">
        <f t="shared" si="18"/>
        <v>0</v>
      </c>
      <c r="L110" s="391"/>
      <c r="M110" s="391"/>
      <c r="N110" s="61"/>
      <c r="O110" s="250">
        <f t="shared" si="17"/>
        <v>0</v>
      </c>
      <c r="P110" s="245">
        <v>0</v>
      </c>
      <c r="Q110" s="245"/>
      <c r="R110" s="557"/>
      <c r="S110" s="285">
        <f t="shared" si="19"/>
        <v>0</v>
      </c>
      <c r="T110" s="292">
        <v>0</v>
      </c>
      <c r="U110" s="292"/>
      <c r="V110" s="573"/>
      <c r="W110" s="247"/>
      <c r="X110" s="216"/>
      <c r="Y110" s="3150"/>
      <c r="Z110" s="439"/>
      <c r="AA110" s="439"/>
      <c r="AB110" s="440"/>
      <c r="AC110" s="130"/>
    </row>
    <row r="111" spans="1:29" ht="19.5" customHeight="1" x14ac:dyDescent="0.2">
      <c r="A111" s="2757"/>
      <c r="B111" s="2727"/>
      <c r="C111" s="2991"/>
      <c r="D111" s="3030" t="s">
        <v>50</v>
      </c>
      <c r="E111" s="2926" t="s">
        <v>145</v>
      </c>
      <c r="F111" s="3055"/>
      <c r="G111" s="3202" t="s">
        <v>50</v>
      </c>
      <c r="H111" s="2710" t="s">
        <v>57</v>
      </c>
      <c r="I111" s="3058" t="s">
        <v>128</v>
      </c>
      <c r="J111" s="601" t="s">
        <v>122</v>
      </c>
      <c r="K111" s="513">
        <f t="shared" si="18"/>
        <v>1000</v>
      </c>
      <c r="L111" s="514">
        <v>1000</v>
      </c>
      <c r="M111" s="517"/>
      <c r="N111" s="602"/>
      <c r="O111" s="604">
        <f t="shared" si="17"/>
        <v>500</v>
      </c>
      <c r="P111" s="514">
        <v>500</v>
      </c>
      <c r="Q111" s="517"/>
      <c r="R111" s="518"/>
      <c r="S111" s="519">
        <f t="shared" si="19"/>
        <v>0</v>
      </c>
      <c r="T111" s="520">
        <v>0</v>
      </c>
      <c r="U111" s="520"/>
      <c r="V111" s="521"/>
      <c r="W111" s="522">
        <v>500</v>
      </c>
      <c r="X111" s="1310">
        <v>800</v>
      </c>
      <c r="Y111" s="2796" t="s">
        <v>119</v>
      </c>
      <c r="Z111" s="219">
        <v>36</v>
      </c>
      <c r="AA111" s="219">
        <v>37</v>
      </c>
      <c r="AB111" s="220">
        <v>38</v>
      </c>
    </row>
    <row r="112" spans="1:29" ht="21" customHeight="1" x14ac:dyDescent="0.2">
      <c r="A112" s="2757"/>
      <c r="B112" s="2727"/>
      <c r="C112" s="2991"/>
      <c r="D112" s="3031"/>
      <c r="E112" s="2965"/>
      <c r="F112" s="3041"/>
      <c r="G112" s="3203"/>
      <c r="H112" s="2715"/>
      <c r="I112" s="3058"/>
      <c r="J112" s="242" t="s">
        <v>133</v>
      </c>
      <c r="K112" s="386">
        <f t="shared" si="18"/>
        <v>245.4</v>
      </c>
      <c r="L112" s="391">
        <v>245.4</v>
      </c>
      <c r="M112" s="245"/>
      <c r="N112" s="61"/>
      <c r="O112" s="250">
        <f t="shared" si="17"/>
        <v>0</v>
      </c>
      <c r="P112" s="245"/>
      <c r="Q112" s="245"/>
      <c r="R112" s="557"/>
      <c r="S112" s="285">
        <f t="shared" si="19"/>
        <v>0</v>
      </c>
      <c r="T112" s="292"/>
      <c r="U112" s="292"/>
      <c r="V112" s="573"/>
      <c r="W112" s="247"/>
      <c r="X112" s="216"/>
      <c r="Y112" s="3137"/>
      <c r="Z112" s="364"/>
      <c r="AA112" s="364"/>
      <c r="AB112" s="365"/>
    </row>
    <row r="113" spans="1:28" ht="15.75" customHeight="1" x14ac:dyDescent="0.2">
      <c r="A113" s="2757"/>
      <c r="B113" s="2727"/>
      <c r="C113" s="2991"/>
      <c r="D113" s="2855" t="s">
        <v>52</v>
      </c>
      <c r="E113" s="2786" t="s">
        <v>69</v>
      </c>
      <c r="F113" s="2788" t="s">
        <v>136</v>
      </c>
      <c r="G113" s="3199" t="s">
        <v>50</v>
      </c>
      <c r="H113" s="2711" t="s">
        <v>57</v>
      </c>
      <c r="I113" s="3058"/>
      <c r="J113" s="601" t="s">
        <v>122</v>
      </c>
      <c r="K113" s="513"/>
      <c r="L113" s="514"/>
      <c r="M113" s="517"/>
      <c r="N113" s="602"/>
      <c r="O113" s="516"/>
      <c r="P113" s="517"/>
      <c r="Q113" s="517"/>
      <c r="R113" s="518"/>
      <c r="S113" s="519"/>
      <c r="T113" s="520"/>
      <c r="U113" s="520"/>
      <c r="V113" s="521"/>
      <c r="W113" s="522">
        <v>45.2</v>
      </c>
      <c r="X113" s="733">
        <v>45.2</v>
      </c>
      <c r="Y113" s="2796" t="s">
        <v>93</v>
      </c>
      <c r="Z113" s="219">
        <v>0</v>
      </c>
      <c r="AA113" s="219">
        <v>8</v>
      </c>
      <c r="AB113" s="220">
        <v>8</v>
      </c>
    </row>
    <row r="114" spans="1:28" ht="15.75" customHeight="1" x14ac:dyDescent="0.2">
      <c r="A114" s="2757"/>
      <c r="B114" s="2727"/>
      <c r="C114" s="2991"/>
      <c r="D114" s="2855"/>
      <c r="E114" s="2786"/>
      <c r="F114" s="2788"/>
      <c r="G114" s="3199"/>
      <c r="H114" s="2711"/>
      <c r="I114" s="3058"/>
      <c r="J114" s="242"/>
      <c r="K114" s="386"/>
      <c r="L114" s="391"/>
      <c r="M114" s="244"/>
      <c r="N114" s="61"/>
      <c r="O114" s="250"/>
      <c r="P114" s="245"/>
      <c r="Q114" s="245"/>
      <c r="R114" s="557"/>
      <c r="S114" s="285"/>
      <c r="T114" s="292"/>
      <c r="U114" s="292"/>
      <c r="V114" s="573"/>
      <c r="W114" s="243"/>
      <c r="X114" s="215"/>
      <c r="Y114" s="3137"/>
      <c r="Z114" s="364"/>
      <c r="AA114" s="364"/>
      <c r="AB114" s="365"/>
    </row>
    <row r="115" spans="1:28" ht="14.25" customHeight="1" thickBot="1" x14ac:dyDescent="0.25">
      <c r="A115" s="378"/>
      <c r="B115" s="264"/>
      <c r="C115" s="396"/>
      <c r="D115" s="441"/>
      <c r="E115" s="3049"/>
      <c r="F115" s="3049"/>
      <c r="G115" s="3049"/>
      <c r="H115" s="3049"/>
      <c r="I115" s="3060" t="s">
        <v>112</v>
      </c>
      <c r="J115" s="3061"/>
      <c r="K115" s="400">
        <f>SUM(K103:K114)</f>
        <v>19757.3</v>
      </c>
      <c r="L115" s="400">
        <f t="shared" ref="L115:X115" si="20">SUM(L103:L114)</f>
        <v>19757.3</v>
      </c>
      <c r="M115" s="400">
        <f t="shared" si="20"/>
        <v>0</v>
      </c>
      <c r="N115" s="401">
        <f t="shared" si="20"/>
        <v>0</v>
      </c>
      <c r="O115" s="400">
        <f>SUM(O103:O114)</f>
        <v>17943.900000000001</v>
      </c>
      <c r="P115" s="400">
        <f>SUM(P103:P114)</f>
        <v>17943.900000000001</v>
      </c>
      <c r="Q115" s="400">
        <f t="shared" si="20"/>
        <v>0</v>
      </c>
      <c r="R115" s="426">
        <f t="shared" si="20"/>
        <v>0</v>
      </c>
      <c r="S115" s="427">
        <f t="shared" si="20"/>
        <v>0</v>
      </c>
      <c r="T115" s="400">
        <f t="shared" si="20"/>
        <v>0</v>
      </c>
      <c r="U115" s="400">
        <f t="shared" si="20"/>
        <v>0</v>
      </c>
      <c r="V115" s="401">
        <f t="shared" si="20"/>
        <v>0</v>
      </c>
      <c r="W115" s="426">
        <f>SUM(W103:W114)</f>
        <v>18537.900000000001</v>
      </c>
      <c r="X115" s="442">
        <f t="shared" si="20"/>
        <v>19344.599999999999</v>
      </c>
      <c r="Y115" s="429"/>
      <c r="Z115" s="436"/>
      <c r="AA115" s="436"/>
      <c r="AB115" s="437"/>
    </row>
    <row r="116" spans="1:28" ht="14.25" customHeight="1" thickBot="1" x14ac:dyDescent="0.25">
      <c r="A116" s="383" t="s">
        <v>8</v>
      </c>
      <c r="B116" s="11" t="s">
        <v>10</v>
      </c>
      <c r="C116" s="2730" t="s">
        <v>11</v>
      </c>
      <c r="D116" s="2730"/>
      <c r="E116" s="2730"/>
      <c r="F116" s="2730"/>
      <c r="G116" s="2730"/>
      <c r="H116" s="2730"/>
      <c r="I116" s="2730"/>
      <c r="J116" s="2731"/>
      <c r="K116" s="37">
        <f>K115</f>
        <v>19757.3</v>
      </c>
      <c r="L116" s="37">
        <f t="shared" ref="L116:X116" si="21">L115</f>
        <v>19757.3</v>
      </c>
      <c r="M116" s="37">
        <f t="shared" si="21"/>
        <v>0</v>
      </c>
      <c r="N116" s="204">
        <f t="shared" si="21"/>
        <v>0</v>
      </c>
      <c r="O116" s="854">
        <f t="shared" si="21"/>
        <v>17943.900000000001</v>
      </c>
      <c r="P116" s="37">
        <f t="shared" si="21"/>
        <v>17943.900000000001</v>
      </c>
      <c r="Q116" s="37">
        <f t="shared" si="21"/>
        <v>0</v>
      </c>
      <c r="R116" s="1120">
        <f t="shared" si="21"/>
        <v>0</v>
      </c>
      <c r="S116" s="37">
        <f t="shared" si="21"/>
        <v>0</v>
      </c>
      <c r="T116" s="37">
        <f t="shared" si="21"/>
        <v>0</v>
      </c>
      <c r="U116" s="37">
        <f t="shared" si="21"/>
        <v>0</v>
      </c>
      <c r="V116" s="204">
        <f t="shared" si="21"/>
        <v>0</v>
      </c>
      <c r="W116" s="205">
        <f>W115</f>
        <v>18537.900000000001</v>
      </c>
      <c r="X116" s="37">
        <f t="shared" si="21"/>
        <v>19344.599999999999</v>
      </c>
      <c r="Y116" s="2725"/>
      <c r="Z116" s="2725"/>
      <c r="AA116" s="2725"/>
      <c r="AB116" s="2726"/>
    </row>
    <row r="117" spans="1:28" ht="14.25" customHeight="1" thickBot="1" x14ac:dyDescent="0.25">
      <c r="A117" s="382" t="s">
        <v>8</v>
      </c>
      <c r="B117" s="11" t="s">
        <v>45</v>
      </c>
      <c r="C117" s="2820" t="s">
        <v>51</v>
      </c>
      <c r="D117" s="2821"/>
      <c r="E117" s="2821"/>
      <c r="F117" s="2821"/>
      <c r="G117" s="2821"/>
      <c r="H117" s="2821"/>
      <c r="I117" s="2821"/>
      <c r="J117" s="2821"/>
      <c r="K117" s="2821"/>
      <c r="L117" s="2821"/>
      <c r="M117" s="2821"/>
      <c r="N117" s="2821"/>
      <c r="O117" s="2821"/>
      <c r="P117" s="2821"/>
      <c r="Q117" s="2821"/>
      <c r="R117" s="2821"/>
      <c r="S117" s="2821"/>
      <c r="T117" s="2821"/>
      <c r="U117" s="2821"/>
      <c r="V117" s="2821"/>
      <c r="W117" s="2821"/>
      <c r="X117" s="2821"/>
      <c r="Y117" s="2821"/>
      <c r="Z117" s="2821"/>
      <c r="AA117" s="2821"/>
      <c r="AB117" s="2822"/>
    </row>
    <row r="118" spans="1:28" ht="37.5" customHeight="1" x14ac:dyDescent="0.2">
      <c r="A118" s="2755" t="s">
        <v>8</v>
      </c>
      <c r="B118" s="2847" t="s">
        <v>45</v>
      </c>
      <c r="C118" s="2990" t="s">
        <v>8</v>
      </c>
      <c r="D118" s="368"/>
      <c r="E118" s="1490" t="s">
        <v>295</v>
      </c>
      <c r="F118" s="1563"/>
      <c r="G118" s="621"/>
      <c r="H118" s="1172"/>
      <c r="I118" s="631"/>
      <c r="J118" s="19"/>
      <c r="K118" s="385"/>
      <c r="L118" s="370"/>
      <c r="M118" s="370"/>
      <c r="N118" s="388"/>
      <c r="O118" s="23"/>
      <c r="P118" s="24"/>
      <c r="Q118" s="24"/>
      <c r="R118" s="26"/>
      <c r="S118" s="307"/>
      <c r="T118" s="319"/>
      <c r="U118" s="319"/>
      <c r="V118" s="320"/>
      <c r="W118" s="579"/>
      <c r="X118" s="27"/>
      <c r="Y118" s="545"/>
      <c r="Z118" s="686"/>
      <c r="AA118" s="686"/>
      <c r="AB118" s="687"/>
    </row>
    <row r="119" spans="1:28" ht="40.5" customHeight="1" x14ac:dyDescent="0.2">
      <c r="A119" s="2757"/>
      <c r="B119" s="2727"/>
      <c r="C119" s="2991"/>
      <c r="D119" s="481" t="s">
        <v>8</v>
      </c>
      <c r="E119" s="2703" t="s">
        <v>116</v>
      </c>
      <c r="F119" s="1562" t="s">
        <v>141</v>
      </c>
      <c r="G119" s="362" t="s">
        <v>50</v>
      </c>
      <c r="H119" s="960" t="s">
        <v>57</v>
      </c>
      <c r="I119" s="3058" t="s">
        <v>132</v>
      </c>
      <c r="J119" s="512" t="s">
        <v>58</v>
      </c>
      <c r="K119" s="513">
        <f t="shared" ref="K119" si="22">L119+N119</f>
        <v>404.2</v>
      </c>
      <c r="L119" s="514">
        <v>404.2</v>
      </c>
      <c r="M119" s="514"/>
      <c r="N119" s="515"/>
      <c r="O119" s="516">
        <f>P119+R119</f>
        <v>525.9</v>
      </c>
      <c r="P119" s="517">
        <v>525.9</v>
      </c>
      <c r="Q119" s="517"/>
      <c r="R119" s="518"/>
      <c r="S119" s="519">
        <f t="shared" ref="S119" si="23">T119+V119</f>
        <v>0</v>
      </c>
      <c r="T119" s="520">
        <v>0</v>
      </c>
      <c r="U119" s="520"/>
      <c r="V119" s="521"/>
      <c r="W119" s="581">
        <v>404.2</v>
      </c>
      <c r="X119" s="782">
        <v>404.2</v>
      </c>
      <c r="Y119" s="523" t="s">
        <v>152</v>
      </c>
      <c r="Z119" s="524">
        <v>2</v>
      </c>
      <c r="AA119" s="524">
        <v>2</v>
      </c>
      <c r="AB119" s="525">
        <v>2</v>
      </c>
    </row>
    <row r="120" spans="1:28" ht="25.5" customHeight="1" x14ac:dyDescent="0.2">
      <c r="A120" s="2757"/>
      <c r="B120" s="2727"/>
      <c r="C120" s="2991"/>
      <c r="D120" s="1491"/>
      <c r="E120" s="2704"/>
      <c r="F120" s="3154" t="s">
        <v>137</v>
      </c>
      <c r="G120" s="1494"/>
      <c r="H120" s="982"/>
      <c r="I120" s="3058"/>
      <c r="J120" s="836"/>
      <c r="K120" s="779"/>
      <c r="L120" s="784"/>
      <c r="M120" s="784"/>
      <c r="N120" s="983"/>
      <c r="O120" s="987"/>
      <c r="P120" s="984"/>
      <c r="Q120" s="984"/>
      <c r="R120" s="985"/>
      <c r="S120" s="780"/>
      <c r="T120" s="781"/>
      <c r="U120" s="781"/>
      <c r="V120" s="852"/>
      <c r="W120" s="986"/>
      <c r="X120" s="782"/>
      <c r="Y120" s="988" t="s">
        <v>153</v>
      </c>
      <c r="Z120" s="989">
        <v>1</v>
      </c>
      <c r="AA120" s="989">
        <v>1</v>
      </c>
      <c r="AB120" s="990">
        <v>1</v>
      </c>
    </row>
    <row r="121" spans="1:28" ht="17.25" customHeight="1" x14ac:dyDescent="0.2">
      <c r="A121" s="2757"/>
      <c r="B121" s="2727"/>
      <c r="C121" s="2991"/>
      <c r="D121" s="980"/>
      <c r="E121" s="2704"/>
      <c r="F121" s="2995"/>
      <c r="G121" s="981"/>
      <c r="H121" s="982"/>
      <c r="I121" s="3058"/>
      <c r="J121" s="836" t="s">
        <v>122</v>
      </c>
      <c r="K121" s="779"/>
      <c r="L121" s="784"/>
      <c r="M121" s="784"/>
      <c r="N121" s="983"/>
      <c r="O121" s="987">
        <f>P121+R121</f>
        <v>364.8</v>
      </c>
      <c r="P121" s="984">
        <v>305.5</v>
      </c>
      <c r="Q121" s="984"/>
      <c r="R121" s="985">
        <v>59.3</v>
      </c>
      <c r="S121" s="780"/>
      <c r="T121" s="781"/>
      <c r="U121" s="781"/>
      <c r="V121" s="852"/>
      <c r="W121" s="986">
        <v>305.5</v>
      </c>
      <c r="X121" s="782">
        <v>305.5</v>
      </c>
      <c r="Y121" s="988" t="s">
        <v>59</v>
      </c>
      <c r="Z121" s="989">
        <v>67</v>
      </c>
      <c r="AA121" s="989">
        <v>67</v>
      </c>
      <c r="AB121" s="990">
        <v>67</v>
      </c>
    </row>
    <row r="122" spans="1:28" ht="17.25" customHeight="1" x14ac:dyDescent="0.2">
      <c r="A122" s="2757"/>
      <c r="B122" s="2727"/>
      <c r="C122" s="2991"/>
      <c r="D122" s="266"/>
      <c r="E122" s="2929"/>
      <c r="F122" s="1492"/>
      <c r="G122" s="480"/>
      <c r="H122" s="960"/>
      <c r="I122" s="3074"/>
      <c r="J122" s="509" t="s">
        <v>133</v>
      </c>
      <c r="K122" s="374">
        <f t="shared" ref="K122" si="24">L122+N122</f>
        <v>191.2</v>
      </c>
      <c r="L122" s="339">
        <v>161.19999999999999</v>
      </c>
      <c r="M122" s="339"/>
      <c r="N122" s="405">
        <v>30</v>
      </c>
      <c r="O122" s="250"/>
      <c r="P122" s="244"/>
      <c r="Q122" s="244"/>
      <c r="R122" s="387"/>
      <c r="S122" s="279">
        <f t="shared" ref="S122" si="25">T122+V122</f>
        <v>0</v>
      </c>
      <c r="T122" s="280">
        <v>0</v>
      </c>
      <c r="U122" s="280"/>
      <c r="V122" s="281">
        <v>0</v>
      </c>
      <c r="W122" s="510"/>
      <c r="X122" s="511"/>
      <c r="Y122" s="466"/>
      <c r="Z122" s="991"/>
      <c r="AA122" s="991"/>
      <c r="AB122" s="1307"/>
    </row>
    <row r="123" spans="1:28" ht="21.75" customHeight="1" x14ac:dyDescent="0.2">
      <c r="A123" s="2757"/>
      <c r="B123" s="2727"/>
      <c r="C123" s="2991"/>
      <c r="D123" s="311" t="s">
        <v>10</v>
      </c>
      <c r="E123" s="229" t="s">
        <v>117</v>
      </c>
      <c r="F123" s="1493"/>
      <c r="G123" s="367"/>
      <c r="H123" s="961"/>
      <c r="I123" s="3004"/>
      <c r="J123" s="246" t="s">
        <v>58</v>
      </c>
      <c r="K123" s="390">
        <f>L123</f>
        <v>400.1</v>
      </c>
      <c r="L123" s="373">
        <v>400.1</v>
      </c>
      <c r="M123" s="224"/>
      <c r="N123" s="233"/>
      <c r="O123" s="250">
        <f>+P123+R123</f>
        <v>600.1</v>
      </c>
      <c r="P123" s="52">
        <v>600.1</v>
      </c>
      <c r="Q123" s="52"/>
      <c r="R123" s="30"/>
      <c r="S123" s="286">
        <f>T123</f>
        <v>0</v>
      </c>
      <c r="T123" s="287">
        <v>0</v>
      </c>
      <c r="U123" s="283"/>
      <c r="V123" s="284"/>
      <c r="W123" s="580">
        <v>600.1</v>
      </c>
      <c r="X123" s="165">
        <v>600.1</v>
      </c>
      <c r="Y123" s="1284" t="s">
        <v>164</v>
      </c>
      <c r="Z123" s="507">
        <v>0.5</v>
      </c>
      <c r="AA123" s="507">
        <v>0.5</v>
      </c>
      <c r="AB123" s="508">
        <v>0.5</v>
      </c>
    </row>
    <row r="124" spans="1:28" ht="19.5" customHeight="1" x14ac:dyDescent="0.2">
      <c r="A124" s="2757"/>
      <c r="B124" s="2727"/>
      <c r="C124" s="2991"/>
      <c r="D124" s="3063" t="s">
        <v>45</v>
      </c>
      <c r="E124" s="3070" t="s">
        <v>328</v>
      </c>
      <c r="F124" s="2960" t="s">
        <v>79</v>
      </c>
      <c r="G124" s="3196" t="s">
        <v>50</v>
      </c>
      <c r="H124" s="2961" t="s">
        <v>72</v>
      </c>
      <c r="I124" s="3016" t="s">
        <v>125</v>
      </c>
      <c r="J124" s="740" t="s">
        <v>58</v>
      </c>
      <c r="K124" s="741"/>
      <c r="L124" s="514"/>
      <c r="M124" s="514"/>
      <c r="N124" s="759"/>
      <c r="O124" s="513">
        <f>R124</f>
        <v>30</v>
      </c>
      <c r="P124" s="514"/>
      <c r="Q124" s="514"/>
      <c r="R124" s="759">
        <v>30</v>
      </c>
      <c r="S124" s="741"/>
      <c r="T124" s="514"/>
      <c r="U124" s="514"/>
      <c r="V124" s="515"/>
      <c r="W124" s="972">
        <v>243</v>
      </c>
      <c r="X124" s="973"/>
      <c r="Y124" s="657" t="s">
        <v>76</v>
      </c>
      <c r="Z124" s="806">
        <v>1</v>
      </c>
      <c r="AA124" s="806"/>
      <c r="AB124" s="807"/>
    </row>
    <row r="125" spans="1:28" ht="19.5" customHeight="1" x14ac:dyDescent="0.2">
      <c r="A125" s="2757"/>
      <c r="B125" s="2727"/>
      <c r="C125" s="2991"/>
      <c r="D125" s="3065"/>
      <c r="E125" s="2764"/>
      <c r="F125" s="2765"/>
      <c r="G125" s="3198"/>
      <c r="H125" s="2767"/>
      <c r="I125" s="3113"/>
      <c r="J125" s="40" t="s">
        <v>75</v>
      </c>
      <c r="K125" s="375"/>
      <c r="L125" s="391"/>
      <c r="M125" s="391"/>
      <c r="N125" s="392"/>
      <c r="O125" s="386"/>
      <c r="P125" s="391"/>
      <c r="Q125" s="391"/>
      <c r="R125" s="392"/>
      <c r="S125" s="375"/>
      <c r="T125" s="391"/>
      <c r="U125" s="391"/>
      <c r="V125" s="609"/>
      <c r="W125" s="844"/>
      <c r="X125" s="864"/>
      <c r="Y125" s="1285" t="s">
        <v>223</v>
      </c>
      <c r="Z125" s="364"/>
      <c r="AA125" s="439">
        <v>100</v>
      </c>
      <c r="AB125" s="440"/>
    </row>
    <row r="126" spans="1:28" ht="54" customHeight="1" x14ac:dyDescent="0.2">
      <c r="A126" s="2757"/>
      <c r="B126" s="2727"/>
      <c r="C126" s="2991"/>
      <c r="D126" s="663" t="s">
        <v>50</v>
      </c>
      <c r="E126" s="1154" t="s">
        <v>296</v>
      </c>
      <c r="F126" s="813"/>
      <c r="G126" s="662" t="s">
        <v>50</v>
      </c>
      <c r="H126" s="1054" t="s">
        <v>57</v>
      </c>
      <c r="I126" s="1111" t="s">
        <v>129</v>
      </c>
      <c r="J126" s="666" t="s">
        <v>42</v>
      </c>
      <c r="K126" s="33"/>
      <c r="L126" s="33"/>
      <c r="M126" s="33"/>
      <c r="N126" s="667"/>
      <c r="O126" s="250">
        <f>P126</f>
        <v>18</v>
      </c>
      <c r="P126" s="375">
        <v>18</v>
      </c>
      <c r="Q126" s="33"/>
      <c r="R126" s="864"/>
      <c r="S126" s="285"/>
      <c r="T126" s="285"/>
      <c r="U126" s="285"/>
      <c r="V126" s="668"/>
      <c r="W126" s="247">
        <v>20</v>
      </c>
      <c r="X126" s="216">
        <v>20</v>
      </c>
      <c r="Y126" s="669" t="s">
        <v>186</v>
      </c>
      <c r="Z126" s="625">
        <v>3</v>
      </c>
      <c r="AA126" s="625">
        <v>3</v>
      </c>
      <c r="AB126" s="626" t="s">
        <v>187</v>
      </c>
    </row>
    <row r="127" spans="1:28" ht="53.25" customHeight="1" x14ac:dyDescent="0.2">
      <c r="A127" s="2757"/>
      <c r="B127" s="2727"/>
      <c r="C127" s="2991"/>
      <c r="D127" s="266" t="s">
        <v>52</v>
      </c>
      <c r="E127" s="955" t="s">
        <v>165</v>
      </c>
      <c r="F127" s="261" t="s">
        <v>138</v>
      </c>
      <c r="G127" s="228"/>
      <c r="H127" s="960"/>
      <c r="I127" s="954"/>
      <c r="J127" s="20" t="s">
        <v>42</v>
      </c>
      <c r="K127" s="371">
        <f>L127</f>
        <v>183</v>
      </c>
      <c r="L127" s="339">
        <v>183</v>
      </c>
      <c r="M127" s="339"/>
      <c r="N127" s="405"/>
      <c r="O127" s="250">
        <f>+P127+R127</f>
        <v>0</v>
      </c>
      <c r="P127" s="257">
        <v>0</v>
      </c>
      <c r="Q127" s="257"/>
      <c r="R127" s="259"/>
      <c r="S127" s="286">
        <f>T127</f>
        <v>0</v>
      </c>
      <c r="T127" s="287">
        <v>0</v>
      </c>
      <c r="U127" s="287"/>
      <c r="V127" s="288"/>
      <c r="W127" s="582"/>
      <c r="X127" s="90"/>
      <c r="Y127" s="347"/>
      <c r="Z127" s="542"/>
      <c r="AA127" s="542"/>
      <c r="AB127" s="540"/>
    </row>
    <row r="128" spans="1:28" ht="17.25" customHeight="1" thickBot="1" x14ac:dyDescent="0.25">
      <c r="A128" s="2756"/>
      <c r="B128" s="2728"/>
      <c r="C128" s="2993"/>
      <c r="D128" s="441"/>
      <c r="E128" s="3049"/>
      <c r="F128" s="3049"/>
      <c r="G128" s="3049"/>
      <c r="H128" s="3049"/>
      <c r="I128" s="3060" t="s">
        <v>112</v>
      </c>
      <c r="J128" s="3061"/>
      <c r="K128" s="427">
        <f t="shared" ref="K128:X128" si="26">SUM(K118:K127)</f>
        <v>1178.5</v>
      </c>
      <c r="L128" s="427">
        <f t="shared" si="26"/>
        <v>1148.5</v>
      </c>
      <c r="M128" s="427">
        <f t="shared" si="26"/>
        <v>0</v>
      </c>
      <c r="N128" s="427">
        <f t="shared" si="26"/>
        <v>30</v>
      </c>
      <c r="O128" s="427">
        <f t="shared" si="26"/>
        <v>1538.8</v>
      </c>
      <c r="P128" s="427">
        <f t="shared" si="26"/>
        <v>1449.5</v>
      </c>
      <c r="Q128" s="427">
        <f t="shared" si="26"/>
        <v>0</v>
      </c>
      <c r="R128" s="427">
        <f t="shared" si="26"/>
        <v>89.3</v>
      </c>
      <c r="S128" s="427">
        <f t="shared" si="26"/>
        <v>0</v>
      </c>
      <c r="T128" s="427">
        <f t="shared" si="26"/>
        <v>0</v>
      </c>
      <c r="U128" s="427">
        <f t="shared" si="26"/>
        <v>0</v>
      </c>
      <c r="V128" s="427">
        <f t="shared" si="26"/>
        <v>0</v>
      </c>
      <c r="W128" s="427">
        <f t="shared" si="26"/>
        <v>1572.8</v>
      </c>
      <c r="X128" s="427">
        <f t="shared" si="26"/>
        <v>1329.8</v>
      </c>
      <c r="Y128" s="443"/>
      <c r="Z128" s="444"/>
      <c r="AA128" s="444"/>
      <c r="AB128" s="445"/>
    </row>
    <row r="129" spans="1:28" ht="18" customHeight="1" x14ac:dyDescent="0.2">
      <c r="A129" s="2755" t="s">
        <v>8</v>
      </c>
      <c r="B129" s="2847" t="s">
        <v>45</v>
      </c>
      <c r="C129" s="2732" t="s">
        <v>10</v>
      </c>
      <c r="D129" s="2854"/>
      <c r="E129" s="2743" t="s">
        <v>60</v>
      </c>
      <c r="F129" s="548"/>
      <c r="G129" s="530" t="s">
        <v>50</v>
      </c>
      <c r="H129" s="613" t="s">
        <v>57</v>
      </c>
      <c r="I129" s="3165" t="s">
        <v>166</v>
      </c>
      <c r="J129" s="841" t="s">
        <v>122</v>
      </c>
      <c r="K129" s="558">
        <f>L129+N129</f>
        <v>1189</v>
      </c>
      <c r="L129" s="559">
        <v>1189</v>
      </c>
      <c r="M129" s="559"/>
      <c r="N129" s="560"/>
      <c r="O129" s="1287">
        <f>+P129</f>
        <v>1110</v>
      </c>
      <c r="P129" s="1288">
        <v>1110</v>
      </c>
      <c r="Q129" s="1289"/>
      <c r="R129" s="1290"/>
      <c r="S129" s="583">
        <f>T129+V129</f>
        <v>0</v>
      </c>
      <c r="T129" s="571">
        <v>0</v>
      </c>
      <c r="U129" s="571"/>
      <c r="V129" s="572"/>
      <c r="W129" s="562">
        <v>1150</v>
      </c>
      <c r="X129" s="610">
        <v>1200</v>
      </c>
      <c r="Y129" s="2971" t="s">
        <v>86</v>
      </c>
      <c r="Z129" s="3277">
        <v>155</v>
      </c>
      <c r="AA129" s="3277">
        <v>160</v>
      </c>
      <c r="AB129" s="3229">
        <v>160</v>
      </c>
    </row>
    <row r="130" spans="1:28" ht="19.5" customHeight="1" x14ac:dyDescent="0.2">
      <c r="A130" s="2757"/>
      <c r="B130" s="2727"/>
      <c r="C130" s="2709"/>
      <c r="D130" s="2855"/>
      <c r="E130" s="3045"/>
      <c r="F130" s="3154"/>
      <c r="G130" s="531"/>
      <c r="H130" s="612"/>
      <c r="I130" s="3074"/>
      <c r="J130" s="842" t="s">
        <v>133</v>
      </c>
      <c r="K130" s="250">
        <f>L130+N130</f>
        <v>83.3</v>
      </c>
      <c r="L130" s="245">
        <v>83.3</v>
      </c>
      <c r="M130" s="245"/>
      <c r="N130" s="61"/>
      <c r="O130" s="1291"/>
      <c r="P130" s="1292"/>
      <c r="Q130" s="1293"/>
      <c r="R130" s="1294"/>
      <c r="S130" s="285"/>
      <c r="T130" s="292"/>
      <c r="U130" s="292"/>
      <c r="V130" s="573"/>
      <c r="W130" s="247"/>
      <c r="X130" s="199"/>
      <c r="Y130" s="2691"/>
      <c r="Z130" s="3278"/>
      <c r="AA130" s="3278"/>
      <c r="AB130" s="2700"/>
    </row>
    <row r="131" spans="1:28" ht="40.5" customHeight="1" x14ac:dyDescent="0.2">
      <c r="A131" s="2757"/>
      <c r="B131" s="2727"/>
      <c r="C131" s="2709"/>
      <c r="D131" s="2855"/>
      <c r="E131" s="3045"/>
      <c r="F131" s="3154"/>
      <c r="G131" s="1251"/>
      <c r="H131" s="612"/>
      <c r="I131" s="3004"/>
      <c r="J131" s="840" t="s">
        <v>122</v>
      </c>
      <c r="K131" s="371"/>
      <c r="L131" s="339"/>
      <c r="M131" s="49"/>
      <c r="N131" s="106"/>
      <c r="O131" s="1295">
        <f>P131+R131</f>
        <v>40</v>
      </c>
      <c r="P131" s="1296"/>
      <c r="Q131" s="1296"/>
      <c r="R131" s="1297">
        <v>40</v>
      </c>
      <c r="S131" s="1104"/>
      <c r="T131" s="1105"/>
      <c r="U131" s="49"/>
      <c r="V131" s="201"/>
      <c r="W131" s="51">
        <v>8</v>
      </c>
      <c r="X131" s="584">
        <v>8</v>
      </c>
      <c r="Y131" s="347" t="s">
        <v>183</v>
      </c>
      <c r="Z131" s="553">
        <v>1</v>
      </c>
      <c r="AA131" s="1106"/>
      <c r="AB131" s="1107"/>
    </row>
    <row r="132" spans="1:28" ht="28.5" customHeight="1" x14ac:dyDescent="0.2">
      <c r="A132" s="2757"/>
      <c r="B132" s="2727"/>
      <c r="C132" s="2709"/>
      <c r="D132" s="2855"/>
      <c r="E132" s="2935"/>
      <c r="F132" s="2995"/>
      <c r="G132" s="531"/>
      <c r="H132" s="612"/>
      <c r="I132" s="3161" t="s">
        <v>132</v>
      </c>
      <c r="J132" s="840" t="s">
        <v>122</v>
      </c>
      <c r="K132" s="223">
        <f>+L132</f>
        <v>10</v>
      </c>
      <c r="L132" s="224">
        <v>10</v>
      </c>
      <c r="M132" s="52"/>
      <c r="N132" s="62"/>
      <c r="O132" s="1298">
        <f>P132</f>
        <v>50</v>
      </c>
      <c r="P132" s="1299">
        <v>50</v>
      </c>
      <c r="Q132" s="1300"/>
      <c r="R132" s="1301"/>
      <c r="S132" s="282"/>
      <c r="T132" s="283"/>
      <c r="U132" s="283"/>
      <c r="V132" s="284"/>
      <c r="W132" s="165">
        <v>60</v>
      </c>
      <c r="X132" s="83">
        <v>60</v>
      </c>
      <c r="Y132" s="504" t="s">
        <v>169</v>
      </c>
      <c r="Z132" s="503">
        <v>487</v>
      </c>
      <c r="AA132" s="503">
        <v>500</v>
      </c>
      <c r="AB132" s="502">
        <v>500</v>
      </c>
    </row>
    <row r="133" spans="1:28" ht="28.5" customHeight="1" x14ac:dyDescent="0.2">
      <c r="A133" s="2757"/>
      <c r="B133" s="2727"/>
      <c r="C133" s="2709"/>
      <c r="D133" s="2855"/>
      <c r="E133" s="484"/>
      <c r="F133" s="2995"/>
      <c r="G133" s="531"/>
      <c r="H133" s="612"/>
      <c r="I133" s="3074"/>
      <c r="J133" s="840" t="s">
        <v>122</v>
      </c>
      <c r="K133" s="223">
        <f>+L133</f>
        <v>400</v>
      </c>
      <c r="L133" s="224">
        <v>400</v>
      </c>
      <c r="M133" s="52"/>
      <c r="N133" s="62"/>
      <c r="O133" s="1298">
        <f>+P133+R133</f>
        <v>480.2</v>
      </c>
      <c r="P133" s="1299">
        <f>480.2</f>
        <v>480.2</v>
      </c>
      <c r="Q133" s="1300"/>
      <c r="R133" s="1301"/>
      <c r="S133" s="282"/>
      <c r="T133" s="283"/>
      <c r="U133" s="283"/>
      <c r="V133" s="284"/>
      <c r="W133" s="165">
        <v>492.3</v>
      </c>
      <c r="X133" s="83">
        <v>492.3</v>
      </c>
      <c r="Y133" s="347" t="s">
        <v>301</v>
      </c>
      <c r="Z133" s="553">
        <v>3</v>
      </c>
      <c r="AA133" s="553">
        <v>3</v>
      </c>
      <c r="AB133" s="554">
        <v>3</v>
      </c>
    </row>
    <row r="134" spans="1:28" ht="32.25" customHeight="1" x14ac:dyDescent="0.2">
      <c r="A134" s="2757"/>
      <c r="B134" s="2727"/>
      <c r="C134" s="2709"/>
      <c r="D134" s="2855"/>
      <c r="E134" s="1259"/>
      <c r="F134" s="1266"/>
      <c r="G134" s="1261"/>
      <c r="H134" s="612"/>
      <c r="I134" s="3074"/>
      <c r="J134" s="840" t="s">
        <v>122</v>
      </c>
      <c r="K134" s="226">
        <f>+L134</f>
        <v>20</v>
      </c>
      <c r="L134" s="224">
        <v>20</v>
      </c>
      <c r="M134" s="169"/>
      <c r="N134" s="62"/>
      <c r="O134" s="1298">
        <f>+P134</f>
        <v>50</v>
      </c>
      <c r="P134" s="1299">
        <v>50</v>
      </c>
      <c r="Q134" s="1302"/>
      <c r="R134" s="1303"/>
      <c r="S134" s="575"/>
      <c r="T134" s="574"/>
      <c r="U134" s="283"/>
      <c r="V134" s="284"/>
      <c r="W134" s="174">
        <v>20</v>
      </c>
      <c r="X134" s="447">
        <v>20</v>
      </c>
      <c r="Y134" s="347" t="s">
        <v>302</v>
      </c>
      <c r="Z134" s="577">
        <v>770</v>
      </c>
      <c r="AA134" s="577">
        <v>280</v>
      </c>
      <c r="AB134" s="578">
        <v>280</v>
      </c>
    </row>
    <row r="135" spans="1:28" ht="18.75" customHeight="1" thickBot="1" x14ac:dyDescent="0.25">
      <c r="A135" s="2757"/>
      <c r="B135" s="2727"/>
      <c r="C135" s="2709"/>
      <c r="D135" s="2855"/>
      <c r="E135" s="484"/>
      <c r="F135" s="549"/>
      <c r="G135" s="531"/>
      <c r="H135" s="612"/>
      <c r="I135" s="1252"/>
      <c r="J135" s="325" t="s">
        <v>9</v>
      </c>
      <c r="K135" s="296">
        <f t="shared" ref="K135:X135" si="27">SUM(K129:K134)</f>
        <v>1702.3</v>
      </c>
      <c r="L135" s="296">
        <f t="shared" si="27"/>
        <v>1702.3</v>
      </c>
      <c r="M135" s="296">
        <f t="shared" si="27"/>
        <v>0</v>
      </c>
      <c r="N135" s="306">
        <f t="shared" si="27"/>
        <v>0</v>
      </c>
      <c r="O135" s="300">
        <f t="shared" si="27"/>
        <v>1730.2</v>
      </c>
      <c r="P135" s="296">
        <f t="shared" si="27"/>
        <v>1690.2</v>
      </c>
      <c r="Q135" s="296">
        <f t="shared" si="27"/>
        <v>0</v>
      </c>
      <c r="R135" s="303">
        <f t="shared" si="27"/>
        <v>40</v>
      </c>
      <c r="S135" s="296">
        <f t="shared" si="27"/>
        <v>0</v>
      </c>
      <c r="T135" s="296">
        <f t="shared" si="27"/>
        <v>0</v>
      </c>
      <c r="U135" s="296">
        <f t="shared" si="27"/>
        <v>0</v>
      </c>
      <c r="V135" s="306">
        <f t="shared" si="27"/>
        <v>0</v>
      </c>
      <c r="W135" s="302">
        <f t="shared" si="27"/>
        <v>1730.3</v>
      </c>
      <c r="X135" s="302">
        <f t="shared" si="27"/>
        <v>1780.3</v>
      </c>
      <c r="Y135" s="637"/>
      <c r="Z135" s="638"/>
      <c r="AA135" s="555"/>
      <c r="AB135" s="556"/>
    </row>
    <row r="136" spans="1:28" ht="25.5" customHeight="1" x14ac:dyDescent="0.2">
      <c r="A136" s="2755" t="s">
        <v>8</v>
      </c>
      <c r="B136" s="2847" t="s">
        <v>45</v>
      </c>
      <c r="C136" s="2732" t="s">
        <v>45</v>
      </c>
      <c r="D136" s="482"/>
      <c r="E136" s="2740" t="s">
        <v>172</v>
      </c>
      <c r="F136" s="505" t="s">
        <v>79</v>
      </c>
      <c r="G136" s="495"/>
      <c r="H136" s="491" t="s">
        <v>57</v>
      </c>
      <c r="I136" s="3246" t="s">
        <v>167</v>
      </c>
      <c r="J136" s="94" t="s">
        <v>122</v>
      </c>
      <c r="K136" s="394">
        <f>L136+N136</f>
        <v>251</v>
      </c>
      <c r="L136" s="419"/>
      <c r="M136" s="419"/>
      <c r="N136" s="420">
        <v>251</v>
      </c>
      <c r="O136" s="97">
        <f>P136+R136</f>
        <v>100</v>
      </c>
      <c r="P136" s="334"/>
      <c r="Q136" s="370"/>
      <c r="R136" s="197">
        <v>100</v>
      </c>
      <c r="S136" s="307">
        <f>T136+V136</f>
        <v>0</v>
      </c>
      <c r="T136" s="319"/>
      <c r="U136" s="319"/>
      <c r="V136" s="309">
        <v>0</v>
      </c>
      <c r="W136" s="1311">
        <v>800</v>
      </c>
      <c r="X136" s="1312">
        <v>500</v>
      </c>
      <c r="Y136" s="528" t="s">
        <v>175</v>
      </c>
      <c r="Z136" s="536">
        <v>1</v>
      </c>
      <c r="AA136" s="536"/>
      <c r="AB136" s="535"/>
    </row>
    <row r="137" spans="1:28" ht="25.5" customHeight="1" x14ac:dyDescent="0.2">
      <c r="A137" s="2757"/>
      <c r="B137" s="2727"/>
      <c r="C137" s="2709"/>
      <c r="D137" s="550"/>
      <c r="E137" s="2741"/>
      <c r="F137" s="1264"/>
      <c r="G137" s="531"/>
      <c r="H137" s="533"/>
      <c r="I137" s="3247"/>
      <c r="J137" s="39" t="s">
        <v>122</v>
      </c>
      <c r="K137" s="226"/>
      <c r="L137" s="224"/>
      <c r="M137" s="224"/>
      <c r="N137" s="233"/>
      <c r="O137" s="28">
        <f t="shared" ref="O137:O138" si="28">P137+R137</f>
        <v>50</v>
      </c>
      <c r="P137" s="169"/>
      <c r="Q137" s="391"/>
      <c r="R137" s="198">
        <v>50</v>
      </c>
      <c r="S137" s="285"/>
      <c r="T137" s="292"/>
      <c r="U137" s="292"/>
      <c r="V137" s="284"/>
      <c r="W137" s="1304"/>
      <c r="X137" s="170"/>
      <c r="Y137" s="539" t="s">
        <v>177</v>
      </c>
      <c r="Z137" s="588">
        <v>2</v>
      </c>
      <c r="AA137" s="542"/>
      <c r="AB137" s="540"/>
    </row>
    <row r="138" spans="1:28" ht="27.75" customHeight="1" x14ac:dyDescent="0.2">
      <c r="A138" s="2757"/>
      <c r="B138" s="2727"/>
      <c r="C138" s="2709"/>
      <c r="D138" s="550"/>
      <c r="E138" s="2741"/>
      <c r="F138" s="532"/>
      <c r="G138" s="531"/>
      <c r="H138" s="533"/>
      <c r="I138" s="3247"/>
      <c r="J138" s="246" t="s">
        <v>122</v>
      </c>
      <c r="K138" s="375"/>
      <c r="L138" s="391"/>
      <c r="M138" s="391"/>
      <c r="N138" s="609"/>
      <c r="O138" s="250">
        <f t="shared" si="28"/>
        <v>50</v>
      </c>
      <c r="P138" s="149"/>
      <c r="Q138" s="391"/>
      <c r="R138" s="198">
        <v>50</v>
      </c>
      <c r="S138" s="285"/>
      <c r="T138" s="292"/>
      <c r="U138" s="292"/>
      <c r="V138" s="573"/>
      <c r="W138" s="1305"/>
      <c r="X138" s="170"/>
      <c r="Y138" s="539" t="s">
        <v>178</v>
      </c>
      <c r="Z138" s="588">
        <v>1</v>
      </c>
      <c r="AA138" s="542"/>
      <c r="AB138" s="540"/>
    </row>
    <row r="139" spans="1:28" ht="27.75" customHeight="1" x14ac:dyDescent="0.2">
      <c r="A139" s="2757"/>
      <c r="B139" s="2727"/>
      <c r="C139" s="2709"/>
      <c r="D139" s="1260"/>
      <c r="E139" s="2741"/>
      <c r="F139" s="1258"/>
      <c r="G139" s="1261"/>
      <c r="H139" s="1256"/>
      <c r="I139" s="3247"/>
      <c r="J139" s="39" t="s">
        <v>133</v>
      </c>
      <c r="K139" s="226">
        <f t="shared" ref="K139" si="29">L139+N139</f>
        <v>249.9</v>
      </c>
      <c r="L139" s="224"/>
      <c r="M139" s="224"/>
      <c r="N139" s="233">
        <v>249.9</v>
      </c>
      <c r="O139" s="591"/>
      <c r="P139" s="337"/>
      <c r="Q139" s="371"/>
      <c r="R139" s="175"/>
      <c r="S139" s="279"/>
      <c r="T139" s="279"/>
      <c r="U139" s="279"/>
      <c r="V139" s="338"/>
      <c r="W139" s="1306"/>
      <c r="X139" s="104"/>
      <c r="Y139" s="539" t="s">
        <v>176</v>
      </c>
      <c r="Z139" s="542"/>
      <c r="AA139" s="542">
        <v>50</v>
      </c>
      <c r="AB139" s="540">
        <v>50</v>
      </c>
    </row>
    <row r="140" spans="1:28" ht="18" customHeight="1" thickBot="1" x14ac:dyDescent="0.25">
      <c r="A140" s="2756"/>
      <c r="B140" s="2728"/>
      <c r="C140" s="2729"/>
      <c r="D140" s="483"/>
      <c r="E140" s="2742"/>
      <c r="F140" s="551"/>
      <c r="G140" s="496"/>
      <c r="H140" s="492"/>
      <c r="I140" s="3248"/>
      <c r="J140" s="299" t="s">
        <v>9</v>
      </c>
      <c r="K140" s="296">
        <f>SUM(K136:K139)</f>
        <v>500.9</v>
      </c>
      <c r="L140" s="296">
        <f t="shared" ref="L140:X140" si="30">SUM(L136:L139)</f>
        <v>0</v>
      </c>
      <c r="M140" s="296">
        <f t="shared" si="30"/>
        <v>0</v>
      </c>
      <c r="N140" s="306">
        <f t="shared" si="30"/>
        <v>500.9</v>
      </c>
      <c r="O140" s="300">
        <f>SUM(O136:O139)</f>
        <v>200</v>
      </c>
      <c r="P140" s="296">
        <f t="shared" si="30"/>
        <v>0</v>
      </c>
      <c r="Q140" s="296">
        <f t="shared" si="30"/>
        <v>0</v>
      </c>
      <c r="R140" s="303">
        <f t="shared" si="30"/>
        <v>200</v>
      </c>
      <c r="S140" s="296">
        <f t="shared" si="30"/>
        <v>0</v>
      </c>
      <c r="T140" s="296">
        <f t="shared" si="30"/>
        <v>0</v>
      </c>
      <c r="U140" s="296">
        <f t="shared" si="30"/>
        <v>0</v>
      </c>
      <c r="V140" s="296">
        <f t="shared" si="30"/>
        <v>0</v>
      </c>
      <c r="W140" s="306">
        <f t="shared" si="30"/>
        <v>800</v>
      </c>
      <c r="X140" s="302">
        <f t="shared" si="30"/>
        <v>500</v>
      </c>
      <c r="Y140" s="537"/>
      <c r="Z140" s="248"/>
      <c r="AA140" s="248"/>
      <c r="AB140" s="249"/>
    </row>
    <row r="141" spans="1:28" ht="27" customHeight="1" x14ac:dyDescent="0.2">
      <c r="A141" s="378" t="s">
        <v>8</v>
      </c>
      <c r="B141" s="161" t="s">
        <v>45</v>
      </c>
      <c r="C141" s="395" t="s">
        <v>50</v>
      </c>
      <c r="D141" s="500"/>
      <c r="E141" s="738" t="s">
        <v>228</v>
      </c>
      <c r="F141" s="498"/>
      <c r="G141" s="489"/>
      <c r="H141" s="486"/>
      <c r="I141" s="566"/>
      <c r="J141" s="246"/>
      <c r="K141" s="250"/>
      <c r="L141" s="245"/>
      <c r="M141" s="245"/>
      <c r="N141" s="61"/>
      <c r="O141" s="23"/>
      <c r="P141" s="117"/>
      <c r="Q141" s="24"/>
      <c r="R141" s="26"/>
      <c r="S141" s="285"/>
      <c r="T141" s="292"/>
      <c r="U141" s="292"/>
      <c r="V141" s="573"/>
      <c r="W141" s="27"/>
      <c r="X141" s="199"/>
      <c r="Y141" s="545"/>
      <c r="Z141" s="686"/>
      <c r="AA141" s="686"/>
      <c r="AB141" s="687"/>
    </row>
    <row r="142" spans="1:28" ht="40.5" customHeight="1" x14ac:dyDescent="0.2">
      <c r="A142" s="501"/>
      <c r="B142" s="493"/>
      <c r="C142" s="494"/>
      <c r="D142" s="500" t="s">
        <v>8</v>
      </c>
      <c r="E142" s="565" t="s">
        <v>219</v>
      </c>
      <c r="F142" s="567"/>
      <c r="G142" s="564" t="s">
        <v>50</v>
      </c>
      <c r="H142" s="459" t="s">
        <v>57</v>
      </c>
      <c r="I142" s="563" t="s">
        <v>167</v>
      </c>
      <c r="J142" s="840" t="s">
        <v>122</v>
      </c>
      <c r="K142" s="226"/>
      <c r="L142" s="224"/>
      <c r="M142" s="169"/>
      <c r="N142" s="62"/>
      <c r="O142" s="223">
        <f>+P142</f>
        <v>20</v>
      </c>
      <c r="P142" s="224">
        <v>20</v>
      </c>
      <c r="Q142" s="169"/>
      <c r="R142" s="173"/>
      <c r="S142" s="575"/>
      <c r="T142" s="574"/>
      <c r="U142" s="283"/>
      <c r="V142" s="284"/>
      <c r="W142" s="174"/>
      <c r="X142" s="447"/>
      <c r="Y142" s="254" t="s">
        <v>236</v>
      </c>
      <c r="Z142" s="570">
        <v>1</v>
      </c>
      <c r="AA142" s="569"/>
      <c r="AB142" s="873"/>
    </row>
    <row r="143" spans="1:28" ht="23.25" customHeight="1" x14ac:dyDescent="0.2">
      <c r="A143" s="384"/>
      <c r="B143" s="161"/>
      <c r="C143" s="395"/>
      <c r="D143" s="2961" t="s">
        <v>10</v>
      </c>
      <c r="E143" s="3021" t="s">
        <v>297</v>
      </c>
      <c r="F143" s="3023" t="s">
        <v>214</v>
      </c>
      <c r="G143" s="3234" t="s">
        <v>50</v>
      </c>
      <c r="H143" s="3026" t="s">
        <v>57</v>
      </c>
      <c r="I143" s="3027" t="s">
        <v>132</v>
      </c>
      <c r="J143" s="512" t="s">
        <v>42</v>
      </c>
      <c r="K143" s="513">
        <f>L143+N143</f>
        <v>55.9</v>
      </c>
      <c r="L143" s="514">
        <v>55.9</v>
      </c>
      <c r="M143" s="514">
        <v>19.2</v>
      </c>
      <c r="N143" s="515"/>
      <c r="O143" s="516">
        <f>R143</f>
        <v>0</v>
      </c>
      <c r="P143" s="655"/>
      <c r="Q143" s="517"/>
      <c r="R143" s="518"/>
      <c r="S143" s="519"/>
      <c r="T143" s="520"/>
      <c r="U143" s="520"/>
      <c r="V143" s="521"/>
      <c r="W143" s="522"/>
      <c r="X143" s="608"/>
      <c r="Y143" s="585" t="s">
        <v>76</v>
      </c>
      <c r="Z143" s="831">
        <v>1</v>
      </c>
      <c r="AA143" s="43"/>
      <c r="AB143" s="44"/>
    </row>
    <row r="144" spans="1:28" ht="18.75" customHeight="1" x14ac:dyDescent="0.2">
      <c r="A144" s="996"/>
      <c r="B144" s="997"/>
      <c r="C144" s="998"/>
      <c r="D144" s="2766"/>
      <c r="E144" s="3281"/>
      <c r="F144" s="2848"/>
      <c r="G144" s="3234"/>
      <c r="H144" s="3026"/>
      <c r="I144" s="3280"/>
      <c r="J144" s="836" t="s">
        <v>122</v>
      </c>
      <c r="K144" s="779"/>
      <c r="L144" s="784"/>
      <c r="M144" s="784"/>
      <c r="N144" s="983"/>
      <c r="O144" s="987">
        <f>R144</f>
        <v>50</v>
      </c>
      <c r="P144" s="1003"/>
      <c r="Q144" s="984"/>
      <c r="R144" s="985">
        <v>50</v>
      </c>
      <c r="S144" s="780"/>
      <c r="T144" s="781"/>
      <c r="U144" s="781"/>
      <c r="V144" s="852"/>
      <c r="W144" s="782"/>
      <c r="X144" s="886"/>
      <c r="Y144" s="254"/>
      <c r="Z144" s="831"/>
      <c r="AA144" s="1000"/>
      <c r="AB144" s="1001"/>
    </row>
    <row r="145" spans="1:28" ht="16.5" customHeight="1" x14ac:dyDescent="0.2">
      <c r="A145" s="384"/>
      <c r="B145" s="161"/>
      <c r="C145" s="395"/>
      <c r="D145" s="2767"/>
      <c r="E145" s="3022"/>
      <c r="F145" s="3024"/>
      <c r="G145" s="3234"/>
      <c r="H145" s="3026"/>
      <c r="I145" s="3028"/>
      <c r="J145" s="20" t="s">
        <v>58</v>
      </c>
      <c r="K145" s="386">
        <f>L145+N145</f>
        <v>104.7</v>
      </c>
      <c r="L145" s="339">
        <v>104.7</v>
      </c>
      <c r="M145" s="339"/>
      <c r="N145" s="405"/>
      <c r="O145" s="250"/>
      <c r="P145" s="227"/>
      <c r="Q145" s="49"/>
      <c r="R145" s="50"/>
      <c r="S145" s="285"/>
      <c r="T145" s="280"/>
      <c r="U145" s="280"/>
      <c r="V145" s="281"/>
      <c r="W145" s="104"/>
      <c r="X145" s="584"/>
      <c r="Y145" s="254"/>
      <c r="Z145" s="576"/>
      <c r="AA145" s="336"/>
      <c r="AB145" s="506"/>
    </row>
    <row r="146" spans="1:28" ht="32.25" customHeight="1" x14ac:dyDescent="0.2">
      <c r="A146" s="857"/>
      <c r="B146" s="858"/>
      <c r="C146" s="855"/>
      <c r="D146" s="859" t="s">
        <v>45</v>
      </c>
      <c r="E146" s="865" t="s">
        <v>170</v>
      </c>
      <c r="F146" s="1042" t="s">
        <v>215</v>
      </c>
      <c r="G146" s="662" t="s">
        <v>50</v>
      </c>
      <c r="H146" s="856" t="s">
        <v>57</v>
      </c>
      <c r="I146" s="863" t="s">
        <v>167</v>
      </c>
      <c r="J146" s="552" t="s">
        <v>75</v>
      </c>
      <c r="K146" s="28">
        <f>+L146</f>
        <v>20</v>
      </c>
      <c r="L146" s="52">
        <v>20</v>
      </c>
      <c r="M146" s="52"/>
      <c r="N146" s="62"/>
      <c r="O146" s="223"/>
      <c r="P146" s="224"/>
      <c r="Q146" s="52"/>
      <c r="R146" s="30"/>
      <c r="S146" s="282"/>
      <c r="T146" s="283"/>
      <c r="U146" s="283"/>
      <c r="V146" s="284"/>
      <c r="W146" s="165"/>
      <c r="X146" s="83"/>
      <c r="Y146" s="255" t="s">
        <v>73</v>
      </c>
      <c r="Z146" s="542"/>
      <c r="AA146" s="542"/>
      <c r="AB146" s="540"/>
    </row>
    <row r="147" spans="1:28" ht="14.25" customHeight="1" x14ac:dyDescent="0.2">
      <c r="A147" s="2759"/>
      <c r="B147" s="2727"/>
      <c r="C147" s="2991"/>
      <c r="D147" s="190" t="s">
        <v>50</v>
      </c>
      <c r="E147" s="3286" t="s">
        <v>71</v>
      </c>
      <c r="F147" s="497"/>
      <c r="G147" s="488" t="s">
        <v>50</v>
      </c>
      <c r="H147" s="485" t="s">
        <v>72</v>
      </c>
      <c r="I147" s="3237" t="s">
        <v>124</v>
      </c>
      <c r="J147" s="39" t="s">
        <v>42</v>
      </c>
      <c r="K147" s="223">
        <f>L147+N147</f>
        <v>5.3</v>
      </c>
      <c r="L147" s="224">
        <v>5.3</v>
      </c>
      <c r="M147" s="224"/>
      <c r="N147" s="233"/>
      <c r="O147" s="372"/>
      <c r="P147" s="373"/>
      <c r="Q147" s="257"/>
      <c r="R147" s="259"/>
      <c r="S147" s="286"/>
      <c r="T147" s="287"/>
      <c r="U147" s="287"/>
      <c r="V147" s="288"/>
      <c r="W147" s="90"/>
      <c r="X147" s="262"/>
      <c r="Y147" s="2690"/>
      <c r="Z147" s="219"/>
      <c r="AA147" s="116"/>
      <c r="AB147" s="140"/>
    </row>
    <row r="148" spans="1:28" ht="14.25" customHeight="1" x14ac:dyDescent="0.2">
      <c r="A148" s="2759"/>
      <c r="B148" s="2727"/>
      <c r="C148" s="2991"/>
      <c r="D148" s="191"/>
      <c r="E148" s="3287"/>
      <c r="F148" s="498"/>
      <c r="G148" s="489"/>
      <c r="H148" s="486"/>
      <c r="I148" s="3238"/>
      <c r="J148" s="39" t="s">
        <v>74</v>
      </c>
      <c r="K148" s="223">
        <f>L148+N148</f>
        <v>29.9</v>
      </c>
      <c r="L148" s="339">
        <v>29.9</v>
      </c>
      <c r="M148" s="339"/>
      <c r="N148" s="405"/>
      <c r="O148" s="639"/>
      <c r="P148" s="640"/>
      <c r="Q148" s="736"/>
      <c r="R148" s="737"/>
      <c r="S148" s="645"/>
      <c r="T148" s="646"/>
      <c r="U148" s="646"/>
      <c r="V148" s="647"/>
      <c r="W148" s="648"/>
      <c r="X148" s="649"/>
      <c r="Y148" s="2692"/>
      <c r="Z148" s="251"/>
      <c r="AA148" s="43"/>
      <c r="AB148" s="44"/>
    </row>
    <row r="149" spans="1:28" ht="14.25" customHeight="1" x14ac:dyDescent="0.2">
      <c r="A149" s="2759"/>
      <c r="B149" s="2727"/>
      <c r="C149" s="2991"/>
      <c r="D149" s="191"/>
      <c r="E149" s="3287"/>
      <c r="F149" s="499"/>
      <c r="G149" s="490"/>
      <c r="H149" s="487"/>
      <c r="I149" s="3239"/>
      <c r="J149" s="20" t="s">
        <v>75</v>
      </c>
      <c r="K149" s="386">
        <f>L149+N149</f>
        <v>0</v>
      </c>
      <c r="L149" s="373"/>
      <c r="M149" s="373"/>
      <c r="N149" s="389"/>
      <c r="O149" s="250"/>
      <c r="P149" s="227"/>
      <c r="Q149" s="49"/>
      <c r="R149" s="50"/>
      <c r="S149" s="285"/>
      <c r="T149" s="280"/>
      <c r="U149" s="280"/>
      <c r="V149" s="281"/>
      <c r="W149" s="51"/>
      <c r="X149" s="584"/>
      <c r="Y149" s="366"/>
      <c r="Z149" s="364"/>
      <c r="AA149" s="364"/>
      <c r="AB149" s="365"/>
    </row>
    <row r="150" spans="1:28" ht="17.25" customHeight="1" thickBot="1" x14ac:dyDescent="0.25">
      <c r="A150" s="3288"/>
      <c r="B150" s="189"/>
      <c r="C150" s="446"/>
      <c r="D150" s="448"/>
      <c r="E150" s="448"/>
      <c r="F150" s="453"/>
      <c r="G150" s="453"/>
      <c r="H150" s="453"/>
      <c r="I150" s="3005" t="s">
        <v>112</v>
      </c>
      <c r="J150" s="3061"/>
      <c r="K150" s="427">
        <f t="shared" ref="K150:X150" si="31">SUM(K142:K149)</f>
        <v>215.8</v>
      </c>
      <c r="L150" s="427">
        <f t="shared" si="31"/>
        <v>215.8</v>
      </c>
      <c r="M150" s="427">
        <f t="shared" si="31"/>
        <v>19.2</v>
      </c>
      <c r="N150" s="442">
        <f t="shared" si="31"/>
        <v>0</v>
      </c>
      <c r="O150" s="400">
        <f>SUM(O142:O149)</f>
        <v>70</v>
      </c>
      <c r="P150" s="427">
        <f t="shared" si="31"/>
        <v>20</v>
      </c>
      <c r="Q150" s="427">
        <f t="shared" si="31"/>
        <v>0</v>
      </c>
      <c r="R150" s="428">
        <f t="shared" si="31"/>
        <v>50</v>
      </c>
      <c r="S150" s="427">
        <f t="shared" si="31"/>
        <v>0</v>
      </c>
      <c r="T150" s="427">
        <f t="shared" si="31"/>
        <v>0</v>
      </c>
      <c r="U150" s="427">
        <f t="shared" si="31"/>
        <v>0</v>
      </c>
      <c r="V150" s="442">
        <f t="shared" si="31"/>
        <v>0</v>
      </c>
      <c r="W150" s="426">
        <f t="shared" si="31"/>
        <v>0</v>
      </c>
      <c r="X150" s="427">
        <f t="shared" si="31"/>
        <v>0</v>
      </c>
      <c r="Y150" s="449"/>
      <c r="Z150" s="450"/>
      <c r="AA150" s="450"/>
      <c r="AB150" s="437"/>
    </row>
    <row r="151" spans="1:28" ht="14.25" customHeight="1" x14ac:dyDescent="0.2">
      <c r="A151" s="2755" t="s">
        <v>8</v>
      </c>
      <c r="B151" s="2847" t="s">
        <v>45</v>
      </c>
      <c r="C151" s="2732" t="s">
        <v>52</v>
      </c>
      <c r="D151" s="2854"/>
      <c r="E151" s="2743" t="s">
        <v>81</v>
      </c>
      <c r="F151" s="3166" t="s">
        <v>135</v>
      </c>
      <c r="G151" s="3241" t="s">
        <v>45</v>
      </c>
      <c r="H151" s="2738" t="s">
        <v>98</v>
      </c>
      <c r="I151" s="3170" t="s">
        <v>113</v>
      </c>
      <c r="J151" s="19" t="s">
        <v>42</v>
      </c>
      <c r="K151" s="385">
        <f>L151+N151</f>
        <v>200</v>
      </c>
      <c r="L151" s="370">
        <v>200</v>
      </c>
      <c r="M151" s="24"/>
      <c r="N151" s="25"/>
      <c r="O151" s="223">
        <f>+P151+R151</f>
        <v>340</v>
      </c>
      <c r="P151" s="224">
        <v>340</v>
      </c>
      <c r="Q151" s="224"/>
      <c r="R151" s="225"/>
      <c r="S151" s="307"/>
      <c r="T151" s="319"/>
      <c r="U151" s="319"/>
      <c r="V151" s="320"/>
      <c r="W151" s="1019">
        <f>240+100</f>
        <v>340</v>
      </c>
      <c r="X151" s="1020">
        <v>140</v>
      </c>
      <c r="Y151" s="16" t="s">
        <v>121</v>
      </c>
      <c r="Z151" s="47">
        <v>18</v>
      </c>
      <c r="AA151" s="47">
        <v>18</v>
      </c>
      <c r="AB151" s="48">
        <v>18</v>
      </c>
    </row>
    <row r="152" spans="1:28" ht="14.25" customHeight="1" x14ac:dyDescent="0.2">
      <c r="A152" s="2757"/>
      <c r="B152" s="2727"/>
      <c r="C152" s="2709"/>
      <c r="D152" s="2855"/>
      <c r="E152" s="2786"/>
      <c r="F152" s="3167"/>
      <c r="G152" s="3199"/>
      <c r="H152" s="2711"/>
      <c r="I152" s="3012"/>
      <c r="J152" s="88" t="s">
        <v>108</v>
      </c>
      <c r="K152" s="223">
        <f>L152+N152</f>
        <v>16.600000000000001</v>
      </c>
      <c r="L152" s="339">
        <v>16.600000000000001</v>
      </c>
      <c r="M152" s="244"/>
      <c r="N152" s="62"/>
      <c r="O152" s="28"/>
      <c r="P152" s="244"/>
      <c r="Q152" s="244"/>
      <c r="R152" s="31"/>
      <c r="S152" s="282">
        <f>T152+V152</f>
        <v>0</v>
      </c>
      <c r="T152" s="280"/>
      <c r="U152" s="280"/>
      <c r="V152" s="281"/>
      <c r="W152" s="243"/>
      <c r="X152" s="84"/>
      <c r="Y152" s="2751" t="s">
        <v>171</v>
      </c>
      <c r="Z152" s="251">
        <v>5</v>
      </c>
      <c r="AA152" s="251">
        <v>5</v>
      </c>
      <c r="AB152" s="252">
        <v>5</v>
      </c>
    </row>
    <row r="153" spans="1:28" ht="14.25" customHeight="1" thickBot="1" x14ac:dyDescent="0.25">
      <c r="A153" s="2756"/>
      <c r="B153" s="2728"/>
      <c r="C153" s="2729"/>
      <c r="D153" s="2856"/>
      <c r="E153" s="2787"/>
      <c r="F153" s="3168"/>
      <c r="G153" s="3242"/>
      <c r="H153" s="2739"/>
      <c r="I153" s="145"/>
      <c r="J153" s="299" t="s">
        <v>9</v>
      </c>
      <c r="K153" s="296">
        <f t="shared" ref="K153:X153" si="32">SUM(K151:K152)</f>
        <v>216.6</v>
      </c>
      <c r="L153" s="297">
        <f t="shared" si="32"/>
        <v>216.6</v>
      </c>
      <c r="M153" s="297">
        <f t="shared" si="32"/>
        <v>0</v>
      </c>
      <c r="N153" s="298">
        <f t="shared" si="32"/>
        <v>0</v>
      </c>
      <c r="O153" s="1039">
        <f>SUM(O151:O152)</f>
        <v>340</v>
      </c>
      <c r="P153" s="1040">
        <f t="shared" si="32"/>
        <v>340</v>
      </c>
      <c r="Q153" s="1040">
        <f t="shared" si="32"/>
        <v>0</v>
      </c>
      <c r="R153" s="1041">
        <f t="shared" si="32"/>
        <v>0</v>
      </c>
      <c r="S153" s="296">
        <f t="shared" si="32"/>
        <v>0</v>
      </c>
      <c r="T153" s="297">
        <f t="shared" si="32"/>
        <v>0</v>
      </c>
      <c r="U153" s="297">
        <f t="shared" si="32"/>
        <v>0</v>
      </c>
      <c r="V153" s="298">
        <f t="shared" si="32"/>
        <v>0</v>
      </c>
      <c r="W153" s="302">
        <f t="shared" si="32"/>
        <v>340</v>
      </c>
      <c r="X153" s="303">
        <f t="shared" si="32"/>
        <v>140</v>
      </c>
      <c r="Y153" s="3029"/>
      <c r="Z153" s="248"/>
      <c r="AA153" s="248"/>
      <c r="AB153" s="249"/>
    </row>
    <row r="154" spans="1:28" ht="16.5" customHeight="1" x14ac:dyDescent="0.2">
      <c r="A154" s="2755" t="s">
        <v>8</v>
      </c>
      <c r="B154" s="2847" t="s">
        <v>45</v>
      </c>
      <c r="C154" s="2732" t="s">
        <v>54</v>
      </c>
      <c r="D154" s="2854"/>
      <c r="E154" s="2740" t="s">
        <v>91</v>
      </c>
      <c r="F154" s="2747" t="s">
        <v>79</v>
      </c>
      <c r="G154" s="3241" t="s">
        <v>45</v>
      </c>
      <c r="H154" s="2738" t="s">
        <v>72</v>
      </c>
      <c r="I154" s="3170" t="s">
        <v>125</v>
      </c>
      <c r="J154" s="19" t="s">
        <v>58</v>
      </c>
      <c r="K154" s="385">
        <f>L154+N154</f>
        <v>50</v>
      </c>
      <c r="L154" s="370"/>
      <c r="M154" s="370"/>
      <c r="N154" s="388">
        <v>50</v>
      </c>
      <c r="O154" s="162">
        <f>P154+R154</f>
        <v>250</v>
      </c>
      <c r="P154" s="117"/>
      <c r="Q154" s="117"/>
      <c r="R154" s="197">
        <v>250</v>
      </c>
      <c r="S154" s="307">
        <f>T154+V154</f>
        <v>0</v>
      </c>
      <c r="T154" s="319"/>
      <c r="U154" s="319"/>
      <c r="V154" s="320">
        <v>0</v>
      </c>
      <c r="W154" s="27">
        <v>300</v>
      </c>
      <c r="X154" s="187"/>
      <c r="Y154" s="206" t="s">
        <v>199</v>
      </c>
      <c r="Z154" s="207">
        <v>1</v>
      </c>
      <c r="AA154" s="207"/>
      <c r="AB154" s="208"/>
    </row>
    <row r="155" spans="1:28" ht="17.25" customHeight="1" x14ac:dyDescent="0.2">
      <c r="A155" s="2757"/>
      <c r="B155" s="2727"/>
      <c r="C155" s="2709"/>
      <c r="D155" s="2855"/>
      <c r="E155" s="2741"/>
      <c r="F155" s="2748"/>
      <c r="G155" s="3199"/>
      <c r="H155" s="2711"/>
      <c r="I155" s="3012"/>
      <c r="J155" s="88" t="s">
        <v>122</v>
      </c>
      <c r="K155" s="223">
        <f>L155+N155</f>
        <v>0</v>
      </c>
      <c r="L155" s="339"/>
      <c r="M155" s="339"/>
      <c r="N155" s="405"/>
      <c r="O155" s="163">
        <f>P155+R155</f>
        <v>50</v>
      </c>
      <c r="P155" s="1178"/>
      <c r="Q155" s="1178"/>
      <c r="R155" s="1179">
        <v>50</v>
      </c>
      <c r="S155" s="282">
        <f>T155+V155</f>
        <v>0</v>
      </c>
      <c r="T155" s="280"/>
      <c r="U155" s="280"/>
      <c r="V155" s="281"/>
      <c r="W155" s="243">
        <v>50</v>
      </c>
      <c r="X155" s="84"/>
      <c r="Y155" s="209" t="s">
        <v>97</v>
      </c>
      <c r="Z155" s="210">
        <v>3</v>
      </c>
      <c r="AA155" s="210">
        <v>7</v>
      </c>
      <c r="AB155" s="211"/>
    </row>
    <row r="156" spans="1:28" ht="21.75" customHeight="1" thickBot="1" x14ac:dyDescent="0.25">
      <c r="A156" s="2756"/>
      <c r="B156" s="2728"/>
      <c r="C156" s="2729"/>
      <c r="D156" s="2856"/>
      <c r="E156" s="3249"/>
      <c r="F156" s="2749"/>
      <c r="G156" s="3242"/>
      <c r="H156" s="2739"/>
      <c r="I156" s="3174"/>
      <c r="J156" s="299" t="s">
        <v>9</v>
      </c>
      <c r="K156" s="300">
        <f t="shared" ref="K156:N156" si="33">SUM(K154:K155)</f>
        <v>50</v>
      </c>
      <c r="L156" s="297">
        <f t="shared" si="33"/>
        <v>0</v>
      </c>
      <c r="M156" s="297">
        <f t="shared" si="33"/>
        <v>0</v>
      </c>
      <c r="N156" s="298">
        <f t="shared" si="33"/>
        <v>50</v>
      </c>
      <c r="O156" s="300">
        <f>O154+O155</f>
        <v>300</v>
      </c>
      <c r="P156" s="297">
        <f t="shared" ref="P156:X156" si="34">P154+P155</f>
        <v>0</v>
      </c>
      <c r="Q156" s="297">
        <f t="shared" si="34"/>
        <v>0</v>
      </c>
      <c r="R156" s="301">
        <f t="shared" si="34"/>
        <v>300</v>
      </c>
      <c r="S156" s="296">
        <f t="shared" si="34"/>
        <v>0</v>
      </c>
      <c r="T156" s="300">
        <f t="shared" si="34"/>
        <v>0</v>
      </c>
      <c r="U156" s="300">
        <f t="shared" si="34"/>
        <v>0</v>
      </c>
      <c r="V156" s="300">
        <f t="shared" si="34"/>
        <v>0</v>
      </c>
      <c r="W156" s="300">
        <f t="shared" si="34"/>
        <v>350</v>
      </c>
      <c r="X156" s="300">
        <f t="shared" si="34"/>
        <v>0</v>
      </c>
      <c r="Y156" s="212"/>
      <c r="Z156" s="213"/>
      <c r="AA156" s="213"/>
      <c r="AB156" s="214"/>
    </row>
    <row r="157" spans="1:28" ht="25.5" customHeight="1" x14ac:dyDescent="0.2">
      <c r="A157" s="1134" t="s">
        <v>8</v>
      </c>
      <c r="B157" s="1135" t="s">
        <v>45</v>
      </c>
      <c r="C157" s="1140" t="s">
        <v>55</v>
      </c>
      <c r="D157" s="1150"/>
      <c r="E157" s="738" t="s">
        <v>221</v>
      </c>
      <c r="F157" s="819" t="s">
        <v>206</v>
      </c>
      <c r="G157" s="1149"/>
      <c r="H157" s="1141"/>
      <c r="I157" s="566"/>
      <c r="J157" s="246"/>
      <c r="K157" s="250"/>
      <c r="L157" s="245"/>
      <c r="M157" s="245"/>
      <c r="N157" s="61"/>
      <c r="O157" s="23"/>
      <c r="P157" s="117"/>
      <c r="Q157" s="24"/>
      <c r="R157" s="26"/>
      <c r="S157" s="285"/>
      <c r="T157" s="292"/>
      <c r="U157" s="292"/>
      <c r="V157" s="573"/>
      <c r="W157" s="27"/>
      <c r="X157" s="216"/>
      <c r="Y157" s="1148"/>
      <c r="Z157" s="1144"/>
      <c r="AA157" s="1144"/>
      <c r="AB157" s="1146"/>
    </row>
    <row r="158" spans="1:28" ht="19.5" customHeight="1" x14ac:dyDescent="0.2">
      <c r="A158" s="1134"/>
      <c r="B158" s="1135"/>
      <c r="C158" s="1140"/>
      <c r="D158" s="3030" t="s">
        <v>8</v>
      </c>
      <c r="E158" s="2850" t="s">
        <v>329</v>
      </c>
      <c r="F158" s="567" t="s">
        <v>79</v>
      </c>
      <c r="G158" s="3202" t="s">
        <v>50</v>
      </c>
      <c r="H158" s="2710" t="s">
        <v>72</v>
      </c>
      <c r="I158" s="3037" t="s">
        <v>131</v>
      </c>
      <c r="J158" s="512" t="s">
        <v>122</v>
      </c>
      <c r="K158" s="513">
        <f>L158+N158</f>
        <v>0</v>
      </c>
      <c r="L158" s="514"/>
      <c r="M158" s="514"/>
      <c r="N158" s="515"/>
      <c r="O158" s="513">
        <f>R158</f>
        <v>30</v>
      </c>
      <c r="P158" s="514"/>
      <c r="Q158" s="514"/>
      <c r="R158" s="759">
        <v>30</v>
      </c>
      <c r="S158" s="519">
        <f>T158+V158</f>
        <v>0</v>
      </c>
      <c r="T158" s="520"/>
      <c r="U158" s="520"/>
      <c r="V158" s="521"/>
      <c r="W158" s="522">
        <v>45.4</v>
      </c>
      <c r="X158" s="733"/>
      <c r="Y158" s="657" t="s">
        <v>199</v>
      </c>
      <c r="Z158" s="658">
        <v>1</v>
      </c>
      <c r="AA158" s="658"/>
      <c r="AB158" s="659"/>
    </row>
    <row r="159" spans="1:28" ht="17.25" customHeight="1" x14ac:dyDescent="0.2">
      <c r="A159" s="1134"/>
      <c r="B159" s="1135"/>
      <c r="C159" s="1140"/>
      <c r="D159" s="2855"/>
      <c r="E159" s="3235"/>
      <c r="F159" s="3039" t="s">
        <v>139</v>
      </c>
      <c r="G159" s="3199"/>
      <c r="H159" s="2711"/>
      <c r="I159" s="3012"/>
      <c r="J159" s="836" t="s">
        <v>58</v>
      </c>
      <c r="K159" s="730"/>
      <c r="L159" s="640"/>
      <c r="M159" s="837"/>
      <c r="N159" s="641"/>
      <c r="O159" s="779">
        <f>R159</f>
        <v>250</v>
      </c>
      <c r="P159" s="640"/>
      <c r="Q159" s="640"/>
      <c r="R159" s="725">
        <v>250</v>
      </c>
      <c r="S159" s="645"/>
      <c r="T159" s="646"/>
      <c r="U159" s="647"/>
      <c r="V159" s="647"/>
      <c r="W159" s="648">
        <v>1300</v>
      </c>
      <c r="X159" s="732"/>
      <c r="Y159" s="735" t="s">
        <v>185</v>
      </c>
      <c r="Z159" s="650">
        <v>20</v>
      </c>
      <c r="AA159" s="650">
        <v>100</v>
      </c>
      <c r="AB159" s="651"/>
    </row>
    <row r="160" spans="1:28" ht="17.25" customHeight="1" x14ac:dyDescent="0.2">
      <c r="A160" s="1134"/>
      <c r="B160" s="1135"/>
      <c r="C160" s="1140"/>
      <c r="D160" s="3031"/>
      <c r="E160" s="3236"/>
      <c r="F160" s="3040"/>
      <c r="G160" s="3203"/>
      <c r="H160" s="2715"/>
      <c r="I160" s="3038"/>
      <c r="J160" s="246" t="s">
        <v>75</v>
      </c>
      <c r="K160" s="375">
        <f>L160+N160</f>
        <v>108</v>
      </c>
      <c r="L160" s="609"/>
      <c r="M160" s="838"/>
      <c r="N160" s="1278">
        <v>108</v>
      </c>
      <c r="O160" s="593">
        <f>P160+R160</f>
        <v>163.5</v>
      </c>
      <c r="P160" s="594"/>
      <c r="Q160" s="594"/>
      <c r="R160" s="1279">
        <v>163.5</v>
      </c>
      <c r="S160" s="1118">
        <f>T160+V160</f>
        <v>0</v>
      </c>
      <c r="T160" s="599"/>
      <c r="U160" s="607"/>
      <c r="V160" s="607">
        <v>0</v>
      </c>
      <c r="W160" s="1280"/>
      <c r="X160" s="1281"/>
      <c r="Y160" s="1282"/>
      <c r="Z160" s="991"/>
      <c r="AA160" s="991"/>
      <c r="AB160" s="1283"/>
    </row>
    <row r="161" spans="1:30" ht="39.75" customHeight="1" x14ac:dyDescent="0.2">
      <c r="A161" s="1253"/>
      <c r="B161" s="1254"/>
      <c r="C161" s="1262"/>
      <c r="D161" s="1263" t="s">
        <v>10</v>
      </c>
      <c r="E161" s="2850" t="s">
        <v>305</v>
      </c>
      <c r="F161" s="1267"/>
      <c r="G161" s="1268" t="s">
        <v>50</v>
      </c>
      <c r="H161" s="1255" t="s">
        <v>57</v>
      </c>
      <c r="I161" s="3003" t="s">
        <v>132</v>
      </c>
      <c r="J161" s="836" t="s">
        <v>122</v>
      </c>
      <c r="K161" s="778"/>
      <c r="L161" s="983"/>
      <c r="M161" s="1270"/>
      <c r="N161" s="1271"/>
      <c r="O161" s="779">
        <f>R161</f>
        <v>140</v>
      </c>
      <c r="P161" s="784"/>
      <c r="Q161" s="784"/>
      <c r="R161" s="785">
        <v>140</v>
      </c>
      <c r="S161" s="780"/>
      <c r="T161" s="781"/>
      <c r="U161" s="852"/>
      <c r="V161" s="852"/>
      <c r="W161" s="1272"/>
      <c r="X161" s="1273"/>
      <c r="Y161" s="1276" t="s">
        <v>304</v>
      </c>
      <c r="Z161" s="1277" t="s">
        <v>188</v>
      </c>
      <c r="AA161" s="1274"/>
      <c r="AB161" s="1275"/>
    </row>
    <row r="162" spans="1:30" ht="30" customHeight="1" x14ac:dyDescent="0.2">
      <c r="A162" s="1248"/>
      <c r="B162" s="1249"/>
      <c r="C162" s="1250"/>
      <c r="D162" s="1265"/>
      <c r="E162" s="2931"/>
      <c r="F162" s="1257"/>
      <c r="G162" s="662"/>
      <c r="H162" s="961"/>
      <c r="I162" s="3004"/>
      <c r="J162" s="842" t="s">
        <v>122</v>
      </c>
      <c r="K162" s="593"/>
      <c r="L162" s="594"/>
      <c r="M162" s="597"/>
      <c r="N162" s="595"/>
      <c r="O162" s="593">
        <f>R162</f>
        <v>614.9</v>
      </c>
      <c r="P162" s="594"/>
      <c r="Q162" s="597"/>
      <c r="R162" s="1119">
        <v>614.9</v>
      </c>
      <c r="S162" s="1118"/>
      <c r="T162" s="599"/>
      <c r="U162" s="599"/>
      <c r="V162" s="607"/>
      <c r="W162" s="1308">
        <v>350</v>
      </c>
      <c r="X162" s="1309">
        <v>350</v>
      </c>
      <c r="Y162" s="438" t="s">
        <v>303</v>
      </c>
      <c r="Z162" s="1083" t="s">
        <v>98</v>
      </c>
      <c r="AA162" s="570"/>
      <c r="AB162" s="1269"/>
    </row>
    <row r="163" spans="1:30" ht="17.25" customHeight="1" thickBot="1" x14ac:dyDescent="0.25">
      <c r="A163" s="1142"/>
      <c r="B163" s="1139"/>
      <c r="C163" s="446"/>
      <c r="D163" s="453"/>
      <c r="E163" s="453"/>
      <c r="F163" s="453"/>
      <c r="G163" s="453"/>
      <c r="H163" s="453"/>
      <c r="I163" s="3005" t="s">
        <v>112</v>
      </c>
      <c r="J163" s="3006"/>
      <c r="K163" s="435">
        <f>SUM(K158:K162)</f>
        <v>108</v>
      </c>
      <c r="L163" s="435">
        <f>SUM(L158:L162)</f>
        <v>0</v>
      </c>
      <c r="M163" s="435">
        <f>SUM(M158:M162)</f>
        <v>0</v>
      </c>
      <c r="N163" s="454">
        <f>SUM(N158:N162)</f>
        <v>108</v>
      </c>
      <c r="O163" s="434">
        <f>SUM(O158:O162)</f>
        <v>1198.4000000000001</v>
      </c>
      <c r="P163" s="434">
        <f t="shared" ref="P163:R163" si="35">SUM(P158:P162)</f>
        <v>0</v>
      </c>
      <c r="Q163" s="434">
        <f t="shared" si="35"/>
        <v>0</v>
      </c>
      <c r="R163" s="434">
        <f t="shared" si="35"/>
        <v>1198.4000000000001</v>
      </c>
      <c r="S163" s="435">
        <f t="shared" ref="S163:X163" si="36">SUM(S158:S162)</f>
        <v>0</v>
      </c>
      <c r="T163" s="435">
        <f t="shared" si="36"/>
        <v>0</v>
      </c>
      <c r="U163" s="435">
        <f t="shared" si="36"/>
        <v>0</v>
      </c>
      <c r="V163" s="454">
        <f t="shared" si="36"/>
        <v>0</v>
      </c>
      <c r="W163" s="455">
        <f t="shared" si="36"/>
        <v>1695.4</v>
      </c>
      <c r="X163" s="435">
        <f t="shared" si="36"/>
        <v>350</v>
      </c>
      <c r="Y163" s="449"/>
      <c r="Z163" s="450"/>
      <c r="AA163" s="450"/>
      <c r="AB163" s="437"/>
    </row>
    <row r="164" spans="1:30" ht="19.5" customHeight="1" x14ac:dyDescent="0.2">
      <c r="A164" s="379" t="s">
        <v>8</v>
      </c>
      <c r="B164" s="120" t="s">
        <v>45</v>
      </c>
      <c r="C164" s="2732" t="s">
        <v>218</v>
      </c>
      <c r="D164" s="3279"/>
      <c r="E164" s="3240" t="s">
        <v>102</v>
      </c>
      <c r="F164" s="2736"/>
      <c r="G164" s="3243" t="s">
        <v>54</v>
      </c>
      <c r="H164" s="2738" t="s">
        <v>57</v>
      </c>
      <c r="I164" s="3170" t="s">
        <v>130</v>
      </c>
      <c r="J164" s="119" t="s">
        <v>58</v>
      </c>
      <c r="K164" s="393">
        <f>L164+N164</f>
        <v>87.9</v>
      </c>
      <c r="L164" s="394">
        <v>87.9</v>
      </c>
      <c r="M164" s="394"/>
      <c r="N164" s="614"/>
      <c r="O164" s="615">
        <f>P164</f>
        <v>100.3</v>
      </c>
      <c r="P164" s="164">
        <v>100.3</v>
      </c>
      <c r="Q164" s="121"/>
      <c r="R164" s="616"/>
      <c r="S164" s="324">
        <f>T164+V164</f>
        <v>0</v>
      </c>
      <c r="T164" s="324">
        <v>0</v>
      </c>
      <c r="U164" s="324"/>
      <c r="V164" s="617"/>
      <c r="W164" s="123">
        <v>100.3</v>
      </c>
      <c r="X164" s="335">
        <v>100.3</v>
      </c>
      <c r="Y164" s="16" t="s">
        <v>306</v>
      </c>
      <c r="Z164" s="124">
        <v>5</v>
      </c>
      <c r="AA164" s="124">
        <v>5</v>
      </c>
      <c r="AB164" s="48">
        <v>5</v>
      </c>
    </row>
    <row r="165" spans="1:30" ht="21" customHeight="1" thickBot="1" x14ac:dyDescent="0.25">
      <c r="A165" s="381"/>
      <c r="B165" s="122"/>
      <c r="C165" s="2729"/>
      <c r="D165" s="3008"/>
      <c r="E165" s="3009"/>
      <c r="F165" s="2737"/>
      <c r="G165" s="3244"/>
      <c r="H165" s="2739"/>
      <c r="I165" s="3013"/>
      <c r="J165" s="325" t="s">
        <v>9</v>
      </c>
      <c r="K165" s="300">
        <f t="shared" ref="K165:N165" si="37">K164</f>
        <v>87.9</v>
      </c>
      <c r="L165" s="296">
        <f t="shared" si="37"/>
        <v>87.9</v>
      </c>
      <c r="M165" s="296">
        <f t="shared" si="37"/>
        <v>0</v>
      </c>
      <c r="N165" s="306">
        <f t="shared" si="37"/>
        <v>0</v>
      </c>
      <c r="O165" s="300">
        <f>O164</f>
        <v>100.3</v>
      </c>
      <c r="P165" s="296">
        <f t="shared" ref="P165:X165" si="38">P164</f>
        <v>100.3</v>
      </c>
      <c r="Q165" s="296">
        <f t="shared" si="38"/>
        <v>0</v>
      </c>
      <c r="R165" s="303">
        <f t="shared" si="38"/>
        <v>0</v>
      </c>
      <c r="S165" s="296">
        <f t="shared" si="38"/>
        <v>0</v>
      </c>
      <c r="T165" s="296">
        <f t="shared" si="38"/>
        <v>0</v>
      </c>
      <c r="U165" s="296">
        <f t="shared" si="38"/>
        <v>0</v>
      </c>
      <c r="V165" s="306">
        <f t="shared" si="38"/>
        <v>0</v>
      </c>
      <c r="W165" s="302">
        <f t="shared" si="38"/>
        <v>100.3</v>
      </c>
      <c r="X165" s="303">
        <f t="shared" si="38"/>
        <v>100.3</v>
      </c>
      <c r="Y165" s="85"/>
      <c r="Z165" s="159"/>
      <c r="AA165" s="159"/>
      <c r="AB165" s="249"/>
    </row>
    <row r="166" spans="1:30" ht="14.25" customHeight="1" thickBot="1" x14ac:dyDescent="0.25">
      <c r="A166" s="383" t="s">
        <v>8</v>
      </c>
      <c r="B166" s="11" t="s">
        <v>45</v>
      </c>
      <c r="C166" s="2730" t="s">
        <v>11</v>
      </c>
      <c r="D166" s="2730"/>
      <c r="E166" s="2730"/>
      <c r="F166" s="2730"/>
      <c r="G166" s="2730"/>
      <c r="H166" s="2730"/>
      <c r="I166" s="2730"/>
      <c r="J166" s="2731"/>
      <c r="K166" s="37">
        <f t="shared" ref="K166:X166" si="39">K165+K163+K156+K153+K150+K140+K135+K128</f>
        <v>4060</v>
      </c>
      <c r="L166" s="37">
        <f t="shared" si="39"/>
        <v>3371.1</v>
      </c>
      <c r="M166" s="37">
        <f t="shared" si="39"/>
        <v>19.2</v>
      </c>
      <c r="N166" s="37">
        <f t="shared" si="39"/>
        <v>688.9</v>
      </c>
      <c r="O166" s="37">
        <f t="shared" si="39"/>
        <v>5477.7</v>
      </c>
      <c r="P166" s="37">
        <f t="shared" si="39"/>
        <v>3600</v>
      </c>
      <c r="Q166" s="37">
        <f t="shared" si="39"/>
        <v>0</v>
      </c>
      <c r="R166" s="37">
        <f t="shared" si="39"/>
        <v>1877.7</v>
      </c>
      <c r="S166" s="37">
        <f t="shared" si="39"/>
        <v>0</v>
      </c>
      <c r="T166" s="37">
        <f t="shared" si="39"/>
        <v>0</v>
      </c>
      <c r="U166" s="37">
        <f t="shared" si="39"/>
        <v>0</v>
      </c>
      <c r="V166" s="37">
        <f t="shared" si="39"/>
        <v>0</v>
      </c>
      <c r="W166" s="37">
        <f t="shared" si="39"/>
        <v>6588.8</v>
      </c>
      <c r="X166" s="37">
        <f t="shared" si="39"/>
        <v>4200.3999999999996</v>
      </c>
      <c r="Y166" s="2753"/>
      <c r="Z166" s="2725"/>
      <c r="AA166" s="2725"/>
      <c r="AB166" s="2726"/>
    </row>
    <row r="167" spans="1:30" ht="14.25" customHeight="1" thickBot="1" x14ac:dyDescent="0.25">
      <c r="A167" s="382" t="s">
        <v>8</v>
      </c>
      <c r="B167" s="11" t="s">
        <v>50</v>
      </c>
      <c r="C167" s="2820" t="s">
        <v>53</v>
      </c>
      <c r="D167" s="2821"/>
      <c r="E167" s="2821"/>
      <c r="F167" s="2821"/>
      <c r="G167" s="2821"/>
      <c r="H167" s="2821"/>
      <c r="I167" s="2821"/>
      <c r="J167" s="2821"/>
      <c r="K167" s="2821"/>
      <c r="L167" s="2821"/>
      <c r="M167" s="2821"/>
      <c r="N167" s="2821"/>
      <c r="O167" s="2821"/>
      <c r="P167" s="2821"/>
      <c r="Q167" s="2821"/>
      <c r="R167" s="2821"/>
      <c r="S167" s="2821"/>
      <c r="T167" s="2821"/>
      <c r="U167" s="2821"/>
      <c r="V167" s="2821"/>
      <c r="W167" s="2821"/>
      <c r="X167" s="2821"/>
      <c r="Y167" s="2821"/>
      <c r="Z167" s="2821"/>
      <c r="AA167" s="2821"/>
      <c r="AB167" s="2822"/>
    </row>
    <row r="168" spans="1:30" ht="29.25" customHeight="1" x14ac:dyDescent="0.2">
      <c r="A168" s="2757" t="s">
        <v>8</v>
      </c>
      <c r="B168" s="2727" t="s">
        <v>50</v>
      </c>
      <c r="C168" s="451" t="s">
        <v>8</v>
      </c>
      <c r="D168" s="632"/>
      <c r="E168" s="630" t="s">
        <v>182</v>
      </c>
      <c r="F168" s="620"/>
      <c r="G168" s="621"/>
      <c r="H168" s="622"/>
      <c r="I168" s="631"/>
      <c r="J168" s="19" t="s">
        <v>42</v>
      </c>
      <c r="K168" s="23"/>
      <c r="L168" s="24"/>
      <c r="M168" s="24"/>
      <c r="N168" s="25"/>
      <c r="O168" s="23"/>
      <c r="P168" s="24"/>
      <c r="Q168" s="24"/>
      <c r="R168" s="26"/>
      <c r="S168" s="307"/>
      <c r="T168" s="319"/>
      <c r="U168" s="319"/>
      <c r="V168" s="320"/>
      <c r="W168" s="27"/>
      <c r="X168" s="187"/>
      <c r="Y168" s="545"/>
      <c r="Z168" s="543"/>
      <c r="AA168" s="543"/>
      <c r="AB168" s="546"/>
    </row>
    <row r="169" spans="1:30" ht="38.25" customHeight="1" x14ac:dyDescent="0.2">
      <c r="A169" s="2757"/>
      <c r="B169" s="2727"/>
      <c r="C169" s="451"/>
      <c r="D169" s="311" t="s">
        <v>8</v>
      </c>
      <c r="E169" s="456" t="s">
        <v>184</v>
      </c>
      <c r="F169" s="457"/>
      <c r="G169" s="951" t="s">
        <v>50</v>
      </c>
      <c r="H169" s="949" t="s">
        <v>72</v>
      </c>
      <c r="I169" s="1058" t="s">
        <v>125</v>
      </c>
      <c r="J169" s="39" t="s">
        <v>58</v>
      </c>
      <c r="K169" s="223">
        <f>L169+N169</f>
        <v>10</v>
      </c>
      <c r="L169" s="224"/>
      <c r="M169" s="224"/>
      <c r="N169" s="233">
        <v>10</v>
      </c>
      <c r="O169" s="28">
        <f>P169+R169</f>
        <v>10</v>
      </c>
      <c r="P169" s="52"/>
      <c r="Q169" s="52"/>
      <c r="R169" s="30">
        <v>10</v>
      </c>
      <c r="S169" s="282">
        <f>T169+V169</f>
        <v>0</v>
      </c>
      <c r="T169" s="283"/>
      <c r="U169" s="283"/>
      <c r="V169" s="284">
        <v>0</v>
      </c>
      <c r="W169" s="165">
        <v>10</v>
      </c>
      <c r="X169" s="83">
        <v>10</v>
      </c>
      <c r="Y169" s="539" t="s">
        <v>200</v>
      </c>
      <c r="Z169" s="542">
        <v>100</v>
      </c>
      <c r="AA169" s="542">
        <v>100</v>
      </c>
      <c r="AB169" s="540">
        <v>100</v>
      </c>
    </row>
    <row r="170" spans="1:30" ht="44.25" customHeight="1" x14ac:dyDescent="0.2">
      <c r="A170" s="2757"/>
      <c r="B170" s="2727"/>
      <c r="C170" s="451"/>
      <c r="D170" s="311" t="s">
        <v>10</v>
      </c>
      <c r="E170" s="456" t="s">
        <v>151</v>
      </c>
      <c r="F170" s="457"/>
      <c r="G170" s="458" t="s">
        <v>50</v>
      </c>
      <c r="H170" s="568" t="s">
        <v>57</v>
      </c>
      <c r="I170" s="460" t="s">
        <v>129</v>
      </c>
      <c r="J170" s="39" t="s">
        <v>58</v>
      </c>
      <c r="K170" s="223">
        <f>N170</f>
        <v>1058.4000000000001</v>
      </c>
      <c r="L170" s="224"/>
      <c r="M170" s="224"/>
      <c r="N170" s="233">
        <v>1058.4000000000001</v>
      </c>
      <c r="O170" s="28">
        <f>R170</f>
        <v>1200</v>
      </c>
      <c r="P170" s="52"/>
      <c r="Q170" s="52"/>
      <c r="R170" s="30">
        <v>1200</v>
      </c>
      <c r="S170" s="282">
        <f>V170</f>
        <v>0</v>
      </c>
      <c r="T170" s="283"/>
      <c r="U170" s="283"/>
      <c r="V170" s="284">
        <v>0</v>
      </c>
      <c r="W170" s="165">
        <v>1200</v>
      </c>
      <c r="X170" s="83">
        <v>1200</v>
      </c>
      <c r="Y170" s="539" t="s">
        <v>120</v>
      </c>
      <c r="Z170" s="544">
        <v>2.5</v>
      </c>
      <c r="AA170" s="544">
        <v>2.5</v>
      </c>
      <c r="AB170" s="547">
        <v>2.5</v>
      </c>
      <c r="AC170" s="130"/>
    </row>
    <row r="171" spans="1:30" ht="18" customHeight="1" thickBot="1" x14ac:dyDescent="0.25">
      <c r="A171" s="2756"/>
      <c r="B171" s="2728"/>
      <c r="C171" s="452"/>
      <c r="D171" s="453"/>
      <c r="E171" s="453"/>
      <c r="F171" s="453"/>
      <c r="G171" s="453"/>
      <c r="H171" s="453"/>
      <c r="I171" s="3005" t="s">
        <v>112</v>
      </c>
      <c r="J171" s="3006"/>
      <c r="K171" s="435">
        <f t="shared" ref="K171:X171" si="40">SUM(K169:K170)</f>
        <v>1068.4000000000001</v>
      </c>
      <c r="L171" s="435">
        <f t="shared" si="40"/>
        <v>0</v>
      </c>
      <c r="M171" s="435">
        <f t="shared" si="40"/>
        <v>0</v>
      </c>
      <c r="N171" s="454">
        <f t="shared" si="40"/>
        <v>1068.4000000000001</v>
      </c>
      <c r="O171" s="434">
        <f t="shared" si="40"/>
        <v>1210</v>
      </c>
      <c r="P171" s="435">
        <f t="shared" si="40"/>
        <v>0</v>
      </c>
      <c r="Q171" s="435">
        <f t="shared" si="40"/>
        <v>0</v>
      </c>
      <c r="R171" s="869">
        <f t="shared" si="40"/>
        <v>1210</v>
      </c>
      <c r="S171" s="435">
        <f t="shared" si="40"/>
        <v>0</v>
      </c>
      <c r="T171" s="435">
        <f t="shared" si="40"/>
        <v>0</v>
      </c>
      <c r="U171" s="435">
        <f t="shared" si="40"/>
        <v>0</v>
      </c>
      <c r="V171" s="454">
        <f t="shared" si="40"/>
        <v>0</v>
      </c>
      <c r="W171" s="455">
        <f t="shared" si="40"/>
        <v>1210</v>
      </c>
      <c r="X171" s="435">
        <f t="shared" si="40"/>
        <v>1210</v>
      </c>
      <c r="Y171" s="429"/>
      <c r="Z171" s="436"/>
      <c r="AA171" s="436"/>
      <c r="AB171" s="437"/>
      <c r="AC171" s="167"/>
      <c r="AD171" s="130"/>
    </row>
    <row r="172" spans="1:30" ht="27" customHeight="1" x14ac:dyDescent="0.2">
      <c r="A172" s="2755" t="s">
        <v>8</v>
      </c>
      <c r="B172" s="2847" t="s">
        <v>50</v>
      </c>
      <c r="C172" s="2990" t="s">
        <v>10</v>
      </c>
      <c r="D172" s="618"/>
      <c r="E172" s="619" t="s">
        <v>90</v>
      </c>
      <c r="F172" s="620"/>
      <c r="G172" s="621"/>
      <c r="H172" s="622"/>
      <c r="I172" s="832"/>
      <c r="J172" s="94"/>
      <c r="K172" s="109"/>
      <c r="L172" s="95"/>
      <c r="M172" s="95"/>
      <c r="N172" s="96"/>
      <c r="O172" s="97"/>
      <c r="P172" s="95"/>
      <c r="Q172" s="95"/>
      <c r="R172" s="98"/>
      <c r="S172" s="324"/>
      <c r="T172" s="308"/>
      <c r="U172" s="308"/>
      <c r="V172" s="332"/>
      <c r="W172" s="99"/>
      <c r="X172" s="333"/>
      <c r="Y172" s="545"/>
      <c r="Z172" s="543"/>
      <c r="AA172" s="543"/>
      <c r="AB172" s="546"/>
      <c r="AC172" s="15"/>
    </row>
    <row r="173" spans="1:30" ht="24.75" customHeight="1" x14ac:dyDescent="0.2">
      <c r="A173" s="2757"/>
      <c r="B173" s="2727"/>
      <c r="C173" s="2991"/>
      <c r="D173" s="664" t="s">
        <v>8</v>
      </c>
      <c r="E173" s="2703" t="s">
        <v>89</v>
      </c>
      <c r="F173" s="271"/>
      <c r="G173" s="267" t="s">
        <v>50</v>
      </c>
      <c r="H173" s="1055" t="s">
        <v>54</v>
      </c>
      <c r="I173" s="3016" t="s">
        <v>132</v>
      </c>
      <c r="J173" s="258" t="s">
        <v>58</v>
      </c>
      <c r="K173" s="372">
        <f>L173+N173</f>
        <v>1750.1</v>
      </c>
      <c r="L173" s="373">
        <v>1750.1</v>
      </c>
      <c r="M173" s="373"/>
      <c r="N173" s="91"/>
      <c r="O173" s="256">
        <f>P173+R173</f>
        <v>2170</v>
      </c>
      <c r="P173" s="257">
        <v>2170</v>
      </c>
      <c r="Q173" s="257"/>
      <c r="R173" s="259"/>
      <c r="S173" s="286">
        <f>T173+V173</f>
        <v>0</v>
      </c>
      <c r="T173" s="287">
        <v>0</v>
      </c>
      <c r="U173" s="287"/>
      <c r="V173" s="318"/>
      <c r="W173" s="90">
        <v>2170</v>
      </c>
      <c r="X173" s="262">
        <v>2170</v>
      </c>
      <c r="Y173" s="538" t="s">
        <v>65</v>
      </c>
      <c r="Z173" s="623" t="s">
        <v>180</v>
      </c>
      <c r="AA173" s="623" t="s">
        <v>180</v>
      </c>
      <c r="AB173" s="624" t="s">
        <v>180</v>
      </c>
    </row>
    <row r="174" spans="1:30" ht="27" customHeight="1" x14ac:dyDescent="0.2">
      <c r="A174" s="2757"/>
      <c r="B174" s="2727"/>
      <c r="C174" s="2991"/>
      <c r="D174" s="664"/>
      <c r="E174" s="2704"/>
      <c r="F174" s="271"/>
      <c r="G174" s="267"/>
      <c r="H174" s="1048"/>
      <c r="I174" s="3017"/>
      <c r="J174" s="92"/>
      <c r="K174" s="374"/>
      <c r="L174" s="339"/>
      <c r="M174" s="339"/>
      <c r="N174" s="93"/>
      <c r="O174" s="221"/>
      <c r="P174" s="227"/>
      <c r="Q174" s="227"/>
      <c r="R174" s="203"/>
      <c r="S174" s="279"/>
      <c r="T174" s="280"/>
      <c r="U174" s="280"/>
      <c r="V174" s="317"/>
      <c r="W174" s="243"/>
      <c r="X174" s="84"/>
      <c r="Y174" s="627" t="s">
        <v>64</v>
      </c>
      <c r="Z174" s="628" t="s">
        <v>181</v>
      </c>
      <c r="AA174" s="628" t="s">
        <v>181</v>
      </c>
      <c r="AB174" s="629" t="s">
        <v>181</v>
      </c>
    </row>
    <row r="175" spans="1:30" ht="13.5" customHeight="1" x14ac:dyDescent="0.2">
      <c r="A175" s="2757"/>
      <c r="B175" s="2727"/>
      <c r="C175" s="2991"/>
      <c r="D175" s="664"/>
      <c r="E175" s="2704"/>
      <c r="F175" s="271"/>
      <c r="G175" s="267"/>
      <c r="H175" s="1048"/>
      <c r="I175" s="3017"/>
      <c r="J175" s="92"/>
      <c r="K175" s="374"/>
      <c r="L175" s="339"/>
      <c r="M175" s="339"/>
      <c r="N175" s="93"/>
      <c r="O175" s="221"/>
      <c r="P175" s="227"/>
      <c r="Q175" s="227"/>
      <c r="R175" s="203"/>
      <c r="S175" s="279"/>
      <c r="T175" s="280"/>
      <c r="U175" s="280"/>
      <c r="V175" s="317"/>
      <c r="W175" s="243"/>
      <c r="X175" s="84"/>
      <c r="Y175" s="541" t="s">
        <v>118</v>
      </c>
      <c r="Z175" s="625" t="s">
        <v>179</v>
      </c>
      <c r="AA175" s="625" t="s">
        <v>179</v>
      </c>
      <c r="AB175" s="626" t="s">
        <v>179</v>
      </c>
    </row>
    <row r="176" spans="1:30" ht="17.25" customHeight="1" x14ac:dyDescent="0.2">
      <c r="A176" s="2757"/>
      <c r="B176" s="2727"/>
      <c r="C176" s="2991"/>
      <c r="D176" s="665" t="s">
        <v>10</v>
      </c>
      <c r="E176" s="2703" t="s">
        <v>88</v>
      </c>
      <c r="F176" s="271"/>
      <c r="G176" s="267"/>
      <c r="H176" s="1048"/>
      <c r="I176" s="3017"/>
      <c r="J176" s="258" t="s">
        <v>42</v>
      </c>
      <c r="K176" s="372">
        <f>L176+N176</f>
        <v>500</v>
      </c>
      <c r="L176" s="373">
        <v>500</v>
      </c>
      <c r="M176" s="373"/>
      <c r="N176" s="91"/>
      <c r="O176" s="256">
        <f>P176+R176</f>
        <v>500</v>
      </c>
      <c r="P176" s="257">
        <v>500</v>
      </c>
      <c r="Q176" s="257"/>
      <c r="R176" s="259"/>
      <c r="S176" s="286">
        <f>T176+V176</f>
        <v>0</v>
      </c>
      <c r="T176" s="287">
        <v>0</v>
      </c>
      <c r="U176" s="287"/>
      <c r="V176" s="318"/>
      <c r="W176" s="90">
        <v>629.9</v>
      </c>
      <c r="X176" s="262">
        <v>629.9</v>
      </c>
      <c r="Y176" s="2690" t="s">
        <v>63</v>
      </c>
      <c r="Z176" s="194">
        <v>0.8</v>
      </c>
      <c r="AA176" s="194">
        <v>0.9</v>
      </c>
      <c r="AB176" s="195">
        <v>0.9</v>
      </c>
    </row>
    <row r="177" spans="1:48" ht="14.25" customHeight="1" x14ac:dyDescent="0.2">
      <c r="A177" s="2757"/>
      <c r="B177" s="2727"/>
      <c r="C177" s="2992"/>
      <c r="D177" s="663"/>
      <c r="E177" s="2705"/>
      <c r="F177" s="661"/>
      <c r="G177" s="660"/>
      <c r="H177" s="1054"/>
      <c r="I177" s="3018"/>
      <c r="J177" s="246"/>
      <c r="K177" s="33"/>
      <c r="L177" s="245"/>
      <c r="M177" s="245"/>
      <c r="N177" s="61"/>
      <c r="O177" s="250"/>
      <c r="P177" s="245"/>
      <c r="Q177" s="245"/>
      <c r="R177" s="557"/>
      <c r="S177" s="285"/>
      <c r="T177" s="292"/>
      <c r="U177" s="292"/>
      <c r="V177" s="293"/>
      <c r="W177" s="247"/>
      <c r="X177" s="199"/>
      <c r="Y177" s="2693"/>
      <c r="Z177" s="168"/>
      <c r="AA177" s="168"/>
      <c r="AB177" s="196"/>
    </row>
    <row r="178" spans="1:48" ht="16.5" customHeight="1" thickBot="1" x14ac:dyDescent="0.25">
      <c r="A178" s="2756"/>
      <c r="B178" s="2728"/>
      <c r="C178" s="2993"/>
      <c r="D178" s="448"/>
      <c r="E178" s="448"/>
      <c r="F178" s="448"/>
      <c r="G178" s="448"/>
      <c r="H178" s="453"/>
      <c r="I178" s="3005" t="s">
        <v>112</v>
      </c>
      <c r="J178" s="3006"/>
      <c r="K178" s="435">
        <f t="shared" ref="K178:X178" si="41">SUM(K172:K177)</f>
        <v>2250.1</v>
      </c>
      <c r="L178" s="435">
        <f t="shared" si="41"/>
        <v>2250.1</v>
      </c>
      <c r="M178" s="435">
        <f t="shared" si="41"/>
        <v>0</v>
      </c>
      <c r="N178" s="454">
        <f t="shared" si="41"/>
        <v>0</v>
      </c>
      <c r="O178" s="434">
        <f t="shared" si="41"/>
        <v>2670</v>
      </c>
      <c r="P178" s="435">
        <f t="shared" si="41"/>
        <v>2670</v>
      </c>
      <c r="Q178" s="435">
        <f t="shared" si="41"/>
        <v>0</v>
      </c>
      <c r="R178" s="869">
        <f t="shared" si="41"/>
        <v>0</v>
      </c>
      <c r="S178" s="435">
        <f t="shared" si="41"/>
        <v>0</v>
      </c>
      <c r="T178" s="435">
        <f t="shared" si="41"/>
        <v>0</v>
      </c>
      <c r="U178" s="435">
        <f t="shared" si="41"/>
        <v>0</v>
      </c>
      <c r="V178" s="435">
        <f t="shared" si="41"/>
        <v>0</v>
      </c>
      <c r="W178" s="435">
        <f t="shared" si="41"/>
        <v>2799.9</v>
      </c>
      <c r="X178" s="435">
        <f t="shared" si="41"/>
        <v>2799.9</v>
      </c>
      <c r="Y178" s="449"/>
      <c r="Z178" s="461"/>
      <c r="AA178" s="461"/>
      <c r="AB178" s="462"/>
    </row>
    <row r="179" spans="1:48" ht="21" customHeight="1" x14ac:dyDescent="0.2">
      <c r="A179" s="2755" t="s">
        <v>8</v>
      </c>
      <c r="B179" s="2847" t="s">
        <v>50</v>
      </c>
      <c r="C179" s="2732" t="s">
        <v>45</v>
      </c>
      <c r="D179" s="2854"/>
      <c r="E179" s="2743" t="s">
        <v>281</v>
      </c>
      <c r="F179" s="2852"/>
      <c r="G179" s="3241" t="s">
        <v>50</v>
      </c>
      <c r="H179" s="2738" t="s">
        <v>57</v>
      </c>
      <c r="I179" s="3165" t="s">
        <v>132</v>
      </c>
      <c r="J179" s="94" t="s">
        <v>42</v>
      </c>
      <c r="K179" s="394">
        <f>L179+N179</f>
        <v>45</v>
      </c>
      <c r="L179" s="419">
        <v>45</v>
      </c>
      <c r="M179" s="419"/>
      <c r="N179" s="96"/>
      <c r="O179" s="97"/>
      <c r="P179" s="95"/>
      <c r="Q179" s="95"/>
      <c r="R179" s="98"/>
      <c r="S179" s="324">
        <f>T179+V179</f>
        <v>0</v>
      </c>
      <c r="T179" s="308">
        <v>0</v>
      </c>
      <c r="U179" s="308"/>
      <c r="V179" s="309"/>
      <c r="W179" s="99"/>
      <c r="X179" s="99"/>
      <c r="Y179" s="528" t="s">
        <v>62</v>
      </c>
      <c r="Z179" s="53">
        <v>0.3</v>
      </c>
      <c r="AA179" s="53">
        <v>0.3</v>
      </c>
      <c r="AB179" s="54">
        <v>0.3</v>
      </c>
    </row>
    <row r="180" spans="1:48" ht="21" customHeight="1" x14ac:dyDescent="0.2">
      <c r="A180" s="2757"/>
      <c r="B180" s="2727"/>
      <c r="C180" s="2709"/>
      <c r="D180" s="2855"/>
      <c r="E180" s="2786"/>
      <c r="F180" s="2863"/>
      <c r="G180" s="3199"/>
      <c r="H180" s="2711"/>
      <c r="I180" s="3058"/>
      <c r="J180" s="676" t="s">
        <v>122</v>
      </c>
      <c r="K180" s="730"/>
      <c r="L180" s="640"/>
      <c r="M180" s="640"/>
      <c r="N180" s="1018"/>
      <c r="O180" s="747">
        <f>P180+R180</f>
        <v>45</v>
      </c>
      <c r="P180" s="736">
        <v>45</v>
      </c>
      <c r="Q180" s="736"/>
      <c r="R180" s="737"/>
      <c r="S180" s="645"/>
      <c r="T180" s="646"/>
      <c r="U180" s="646"/>
      <c r="V180" s="647"/>
      <c r="W180" s="648">
        <v>45</v>
      </c>
      <c r="X180" s="648">
        <v>45</v>
      </c>
      <c r="Y180" s="999"/>
      <c r="Z180" s="905"/>
      <c r="AA180" s="905"/>
      <c r="AB180" s="906"/>
    </row>
    <row r="181" spans="1:48" ht="19.5" customHeight="1" x14ac:dyDescent="0.2">
      <c r="A181" s="2757"/>
      <c r="B181" s="2727"/>
      <c r="C181" s="2709"/>
      <c r="D181" s="2855"/>
      <c r="E181" s="2786"/>
      <c r="F181" s="2863"/>
      <c r="G181" s="3199"/>
      <c r="H181" s="2711"/>
      <c r="I181" s="3074"/>
      <c r="J181" s="246" t="s">
        <v>58</v>
      </c>
      <c r="K181" s="375">
        <f>L181</f>
        <v>455</v>
      </c>
      <c r="L181" s="339">
        <v>455</v>
      </c>
      <c r="M181" s="339"/>
      <c r="N181" s="61"/>
      <c r="O181" s="250">
        <f>P181+R181</f>
        <v>455</v>
      </c>
      <c r="P181" s="244">
        <v>455</v>
      </c>
      <c r="Q181" s="244"/>
      <c r="R181" s="31"/>
      <c r="S181" s="285">
        <f>T181</f>
        <v>0</v>
      </c>
      <c r="T181" s="280">
        <v>0</v>
      </c>
      <c r="U181" s="280"/>
      <c r="V181" s="281"/>
      <c r="W181" s="32">
        <v>455</v>
      </c>
      <c r="X181" s="32">
        <v>455</v>
      </c>
      <c r="Y181" s="529"/>
      <c r="Z181" s="43"/>
      <c r="AA181" s="43"/>
      <c r="AB181" s="44"/>
    </row>
    <row r="182" spans="1:48" ht="14.25" customHeight="1" thickBot="1" x14ac:dyDescent="0.25">
      <c r="A182" s="2756"/>
      <c r="B182" s="2728"/>
      <c r="C182" s="2729"/>
      <c r="D182" s="2856"/>
      <c r="E182" s="2787"/>
      <c r="F182" s="2853"/>
      <c r="G182" s="3242"/>
      <c r="H182" s="2739"/>
      <c r="I182" s="3000"/>
      <c r="J182" s="299" t="s">
        <v>9</v>
      </c>
      <c r="K182" s="296">
        <f t="shared" ref="K182:V182" si="42">SUM(K179:K181)</f>
        <v>500</v>
      </c>
      <c r="L182" s="297">
        <f t="shared" si="42"/>
        <v>500</v>
      </c>
      <c r="M182" s="297">
        <f t="shared" si="42"/>
        <v>0</v>
      </c>
      <c r="N182" s="298">
        <f t="shared" si="42"/>
        <v>0</v>
      </c>
      <c r="O182" s="1039">
        <f>SUM(O179:O181)</f>
        <v>500</v>
      </c>
      <c r="P182" s="1040">
        <f t="shared" si="42"/>
        <v>500</v>
      </c>
      <c r="Q182" s="1040">
        <f t="shared" si="42"/>
        <v>0</v>
      </c>
      <c r="R182" s="1041">
        <f t="shared" si="42"/>
        <v>0</v>
      </c>
      <c r="S182" s="296">
        <f t="shared" si="42"/>
        <v>0</v>
      </c>
      <c r="T182" s="297">
        <f t="shared" si="42"/>
        <v>0</v>
      </c>
      <c r="U182" s="297">
        <f t="shared" si="42"/>
        <v>0</v>
      </c>
      <c r="V182" s="297">
        <f t="shared" si="42"/>
        <v>0</v>
      </c>
      <c r="W182" s="302">
        <f>W181+W179+W180</f>
        <v>500</v>
      </c>
      <c r="X182" s="302">
        <f>X181+X179+X180</f>
        <v>500</v>
      </c>
      <c r="Y182" s="18"/>
      <c r="Z182" s="192"/>
      <c r="AA182" s="192"/>
      <c r="AB182" s="160"/>
    </row>
    <row r="183" spans="1:48" ht="28.5" customHeight="1" x14ac:dyDescent="0.2">
      <c r="A183" s="2755" t="s">
        <v>8</v>
      </c>
      <c r="B183" s="2847" t="s">
        <v>50</v>
      </c>
      <c r="C183" s="2732" t="s">
        <v>50</v>
      </c>
      <c r="D183" s="2854"/>
      <c r="E183" s="1180" t="s">
        <v>298</v>
      </c>
      <c r="F183" s="968"/>
      <c r="G183" s="969" t="s">
        <v>50</v>
      </c>
      <c r="H183" s="970" t="s">
        <v>57</v>
      </c>
      <c r="I183" s="971" t="s">
        <v>132</v>
      </c>
      <c r="J183" s="908" t="s">
        <v>42</v>
      </c>
      <c r="K183" s="558"/>
      <c r="L183" s="559"/>
      <c r="M183" s="559"/>
      <c r="N183" s="560"/>
      <c r="O183" s="558">
        <f>P183+R183</f>
        <v>182</v>
      </c>
      <c r="P183" s="559">
        <v>182</v>
      </c>
      <c r="Q183" s="559"/>
      <c r="R183" s="561"/>
      <c r="S183" s="583">
        <f>T183+V183</f>
        <v>0</v>
      </c>
      <c r="T183" s="571"/>
      <c r="U183" s="571"/>
      <c r="V183" s="572"/>
      <c r="W183" s="562"/>
      <c r="X183" s="562"/>
      <c r="Y183" s="963" t="s">
        <v>288</v>
      </c>
      <c r="Z183" s="964">
        <v>20</v>
      </c>
      <c r="AA183" s="965"/>
      <c r="AB183" s="966"/>
    </row>
    <row r="184" spans="1:48" ht="23.25" customHeight="1" x14ac:dyDescent="0.2">
      <c r="A184" s="2757"/>
      <c r="B184" s="2727"/>
      <c r="C184" s="2709"/>
      <c r="D184" s="2855"/>
      <c r="E184" s="2845" t="s">
        <v>299</v>
      </c>
      <c r="F184" s="958"/>
      <c r="G184" s="956" t="s">
        <v>50</v>
      </c>
      <c r="H184" s="952" t="s">
        <v>72</v>
      </c>
      <c r="I184" s="2999" t="s">
        <v>125</v>
      </c>
      <c r="J184" s="20" t="s">
        <v>58</v>
      </c>
      <c r="K184" s="950"/>
      <c r="L184" s="244"/>
      <c r="M184" s="244"/>
      <c r="N184" s="106"/>
      <c r="O184" s="386">
        <f>R184</f>
        <v>30</v>
      </c>
      <c r="P184" s="391"/>
      <c r="Q184" s="391"/>
      <c r="R184" s="392">
        <v>30</v>
      </c>
      <c r="S184" s="371"/>
      <c r="T184" s="339"/>
      <c r="U184" s="339"/>
      <c r="V184" s="405"/>
      <c r="W184" s="511">
        <v>203</v>
      </c>
      <c r="X184" s="511"/>
      <c r="Y184" s="976" t="s">
        <v>199</v>
      </c>
      <c r="Z184" s="977">
        <v>1</v>
      </c>
      <c r="AA184" s="978"/>
      <c r="AB184" s="979"/>
    </row>
    <row r="185" spans="1:48" ht="28.5" customHeight="1" thickBot="1" x14ac:dyDescent="0.25">
      <c r="A185" s="2756"/>
      <c r="B185" s="2728"/>
      <c r="C185" s="2729"/>
      <c r="D185" s="2856"/>
      <c r="E185" s="2846"/>
      <c r="F185" s="959"/>
      <c r="G185" s="957"/>
      <c r="H185" s="953"/>
      <c r="I185" s="3000"/>
      <c r="J185" s="299" t="s">
        <v>9</v>
      </c>
      <c r="K185" s="296">
        <f>SUM(K183:K183)</f>
        <v>0</v>
      </c>
      <c r="L185" s="297">
        <f>SUM(L183:L183)</f>
        <v>0</v>
      </c>
      <c r="M185" s="297">
        <f>SUM(M183:M183)</f>
        <v>0</v>
      </c>
      <c r="N185" s="298">
        <f>SUM(N183:N183)</f>
        <v>0</v>
      </c>
      <c r="O185" s="300">
        <f>SUM(O183:O184)</f>
        <v>212</v>
      </c>
      <c r="P185" s="297">
        <f t="shared" ref="P185:X185" si="43">SUM(P183:P184)</f>
        <v>182</v>
      </c>
      <c r="Q185" s="297">
        <f t="shared" si="43"/>
        <v>0</v>
      </c>
      <c r="R185" s="301">
        <f t="shared" si="43"/>
        <v>30</v>
      </c>
      <c r="S185" s="296">
        <f t="shared" si="43"/>
        <v>0</v>
      </c>
      <c r="T185" s="300">
        <f t="shared" si="43"/>
        <v>0</v>
      </c>
      <c r="U185" s="300">
        <f t="shared" si="43"/>
        <v>0</v>
      </c>
      <c r="V185" s="300">
        <f t="shared" si="43"/>
        <v>0</v>
      </c>
      <c r="W185" s="300">
        <f t="shared" si="43"/>
        <v>203</v>
      </c>
      <c r="X185" s="300">
        <f t="shared" si="43"/>
        <v>0</v>
      </c>
      <c r="Y185" s="18" t="s">
        <v>287</v>
      </c>
      <c r="Z185" s="192"/>
      <c r="AA185" s="192">
        <v>100</v>
      </c>
      <c r="AB185" s="160"/>
    </row>
    <row r="186" spans="1:48" ht="14.25" customHeight="1" x14ac:dyDescent="0.2">
      <c r="A186" s="2755" t="s">
        <v>8</v>
      </c>
      <c r="B186" s="2847" t="s">
        <v>50</v>
      </c>
      <c r="C186" s="2732" t="s">
        <v>52</v>
      </c>
      <c r="D186" s="2854"/>
      <c r="E186" s="2743" t="s">
        <v>61</v>
      </c>
      <c r="F186" s="2852"/>
      <c r="G186" s="3241" t="s">
        <v>50</v>
      </c>
      <c r="H186" s="2738" t="s">
        <v>57</v>
      </c>
      <c r="I186" s="3185" t="s">
        <v>132</v>
      </c>
      <c r="J186" s="94" t="s">
        <v>58</v>
      </c>
      <c r="K186" s="390">
        <f>L186+N186</f>
        <v>409.9</v>
      </c>
      <c r="L186" s="339">
        <v>409.9</v>
      </c>
      <c r="M186" s="29"/>
      <c r="N186" s="91"/>
      <c r="O186" s="591">
        <f>P186+R186</f>
        <v>317.7</v>
      </c>
      <c r="P186" s="244">
        <v>317.7</v>
      </c>
      <c r="Q186" s="244"/>
      <c r="R186" s="31"/>
      <c r="S186" s="286">
        <f>T186+V186</f>
        <v>0</v>
      </c>
      <c r="T186" s="280">
        <v>0</v>
      </c>
      <c r="U186" s="280"/>
      <c r="V186" s="281"/>
      <c r="W186" s="99">
        <v>320</v>
      </c>
      <c r="X186" s="99">
        <v>320</v>
      </c>
      <c r="Y186" s="3276" t="s">
        <v>94</v>
      </c>
      <c r="Z186" s="47">
        <v>14</v>
      </c>
      <c r="AA186" s="47">
        <v>14</v>
      </c>
      <c r="AB186" s="48">
        <v>14</v>
      </c>
    </row>
    <row r="187" spans="1:48" ht="14.25" customHeight="1" x14ac:dyDescent="0.2">
      <c r="A187" s="2757"/>
      <c r="B187" s="2727"/>
      <c r="C187" s="2709"/>
      <c r="D187" s="2855"/>
      <c r="E187" s="2786"/>
      <c r="F187" s="2863"/>
      <c r="G187" s="3199"/>
      <c r="H187" s="2711"/>
      <c r="I187" s="3245"/>
      <c r="J187" s="478"/>
      <c r="K187" s="633"/>
      <c r="L187" s="472"/>
      <c r="M187" s="472"/>
      <c r="N187" s="474"/>
      <c r="O187" s="475"/>
      <c r="P187" s="472"/>
      <c r="Q187" s="472"/>
      <c r="R187" s="634"/>
      <c r="S187" s="636"/>
      <c r="T187" s="476"/>
      <c r="U187" s="476"/>
      <c r="V187" s="605"/>
      <c r="W187" s="478"/>
      <c r="X187" s="478"/>
      <c r="Y187" s="2712"/>
      <c r="Z187" s="43"/>
      <c r="AA187" s="43"/>
      <c r="AB187" s="44"/>
    </row>
    <row r="188" spans="1:48" ht="14.25" customHeight="1" thickBot="1" x14ac:dyDescent="0.25">
      <c r="A188" s="2756"/>
      <c r="B188" s="2728"/>
      <c r="C188" s="2729"/>
      <c r="D188" s="2856"/>
      <c r="E188" s="2787"/>
      <c r="F188" s="2853"/>
      <c r="G188" s="3242"/>
      <c r="H188" s="2739"/>
      <c r="I188" s="3186"/>
      <c r="J188" s="299" t="s">
        <v>9</v>
      </c>
      <c r="K188" s="296">
        <f t="shared" ref="K188:X188" si="44">SUM(K186:K186)</f>
        <v>409.9</v>
      </c>
      <c r="L188" s="296">
        <f t="shared" si="44"/>
        <v>409.9</v>
      </c>
      <c r="M188" s="296">
        <f t="shared" si="44"/>
        <v>0</v>
      </c>
      <c r="N188" s="306">
        <f t="shared" si="44"/>
        <v>0</v>
      </c>
      <c r="O188" s="300">
        <f>SUM(O186:O186)</f>
        <v>317.7</v>
      </c>
      <c r="P188" s="296">
        <f t="shared" si="44"/>
        <v>317.7</v>
      </c>
      <c r="Q188" s="296">
        <f t="shared" si="44"/>
        <v>0</v>
      </c>
      <c r="R188" s="303">
        <f t="shared" si="44"/>
        <v>0</v>
      </c>
      <c r="S188" s="296">
        <f t="shared" si="44"/>
        <v>0</v>
      </c>
      <c r="T188" s="296">
        <f t="shared" si="44"/>
        <v>0</v>
      </c>
      <c r="U188" s="296">
        <f t="shared" si="44"/>
        <v>0</v>
      </c>
      <c r="V188" s="306">
        <f t="shared" si="44"/>
        <v>0</v>
      </c>
      <c r="W188" s="302">
        <f t="shared" si="44"/>
        <v>320</v>
      </c>
      <c r="X188" s="302">
        <f t="shared" si="44"/>
        <v>320</v>
      </c>
      <c r="Y188" s="635"/>
      <c r="Z188" s="192"/>
      <c r="AA188" s="192"/>
      <c r="AB188" s="160"/>
    </row>
    <row r="189" spans="1:48" ht="14.25" customHeight="1" thickBot="1" x14ac:dyDescent="0.25">
      <c r="A189" s="383" t="s">
        <v>8</v>
      </c>
      <c r="B189" s="11" t="s">
        <v>50</v>
      </c>
      <c r="C189" s="2730" t="s">
        <v>11</v>
      </c>
      <c r="D189" s="2730"/>
      <c r="E189" s="2730"/>
      <c r="F189" s="2730"/>
      <c r="G189" s="2730"/>
      <c r="H189" s="2730"/>
      <c r="I189" s="2730"/>
      <c r="J189" s="2731"/>
      <c r="K189" s="37">
        <f>SUM(K188,K182,K178,K171,,K185)</f>
        <v>4228.3999999999996</v>
      </c>
      <c r="L189" s="37">
        <f>SUM(L188,L182,L178,L171,,L185)</f>
        <v>3160</v>
      </c>
      <c r="M189" s="37">
        <f>SUM(M188,M182,M178,M171,,M185)</f>
        <v>0</v>
      </c>
      <c r="N189" s="204">
        <f>SUM(N188,N182,N178,N171,,N185)</f>
        <v>1068.4000000000001</v>
      </c>
      <c r="O189" s="854">
        <f>SUM(O188,O182,O178,O171,,O185)</f>
        <v>4909.7</v>
      </c>
      <c r="P189" s="854">
        <f t="shared" ref="P189:X189" si="45">SUM(P188,P182,P178,P171,,P185)</f>
        <v>3669.7</v>
      </c>
      <c r="Q189" s="854">
        <f t="shared" si="45"/>
        <v>0</v>
      </c>
      <c r="R189" s="854">
        <f t="shared" si="45"/>
        <v>1240</v>
      </c>
      <c r="S189" s="854">
        <f t="shared" si="45"/>
        <v>0</v>
      </c>
      <c r="T189" s="854">
        <f t="shared" si="45"/>
        <v>0</v>
      </c>
      <c r="U189" s="854">
        <f t="shared" si="45"/>
        <v>0</v>
      </c>
      <c r="V189" s="854">
        <f t="shared" si="45"/>
        <v>0</v>
      </c>
      <c r="W189" s="854">
        <f t="shared" si="45"/>
        <v>5032.8999999999996</v>
      </c>
      <c r="X189" s="854">
        <f t="shared" si="45"/>
        <v>4829.8999999999996</v>
      </c>
      <c r="Y189" s="2753"/>
      <c r="Z189" s="2725"/>
      <c r="AA189" s="2725"/>
      <c r="AB189" s="2726"/>
    </row>
    <row r="190" spans="1:48" ht="14.25" customHeight="1" thickBot="1" x14ac:dyDescent="0.25">
      <c r="A190" s="383" t="s">
        <v>8</v>
      </c>
      <c r="B190" s="2830" t="s">
        <v>12</v>
      </c>
      <c r="C190" s="2831"/>
      <c r="D190" s="2831"/>
      <c r="E190" s="2831"/>
      <c r="F190" s="2831"/>
      <c r="G190" s="2831"/>
      <c r="H190" s="2831"/>
      <c r="I190" s="2831"/>
      <c r="J190" s="2832"/>
      <c r="K190" s="425">
        <f t="shared" ref="K190:X190" si="46">K189+K166+K116+K97</f>
        <v>55548</v>
      </c>
      <c r="L190" s="425">
        <f t="shared" si="46"/>
        <v>26288.5</v>
      </c>
      <c r="M190" s="425">
        <f t="shared" si="46"/>
        <v>19.2</v>
      </c>
      <c r="N190" s="866">
        <f t="shared" si="46"/>
        <v>29259.5</v>
      </c>
      <c r="O190" s="870">
        <f t="shared" si="46"/>
        <v>42135.8</v>
      </c>
      <c r="P190" s="425">
        <f t="shared" si="46"/>
        <v>25213.599999999999</v>
      </c>
      <c r="Q190" s="425">
        <f t="shared" si="46"/>
        <v>0</v>
      </c>
      <c r="R190" s="871">
        <f t="shared" si="46"/>
        <v>16922.2</v>
      </c>
      <c r="S190" s="425">
        <f t="shared" si="46"/>
        <v>0</v>
      </c>
      <c r="T190" s="425">
        <f t="shared" si="46"/>
        <v>0</v>
      </c>
      <c r="U190" s="425">
        <f t="shared" si="46"/>
        <v>0</v>
      </c>
      <c r="V190" s="425">
        <f t="shared" si="46"/>
        <v>0</v>
      </c>
      <c r="W190" s="425">
        <f t="shared" si="46"/>
        <v>41160.1</v>
      </c>
      <c r="X190" s="425">
        <f t="shared" si="46"/>
        <v>46141</v>
      </c>
      <c r="Y190" s="2833"/>
      <c r="Z190" s="2834"/>
      <c r="AA190" s="2834"/>
      <c r="AB190" s="2835"/>
    </row>
    <row r="191" spans="1:48" ht="14.25" customHeight="1" thickBot="1" x14ac:dyDescent="0.25">
      <c r="A191" s="154" t="s">
        <v>54</v>
      </c>
      <c r="B191" s="2836" t="s">
        <v>101</v>
      </c>
      <c r="C191" s="2837"/>
      <c r="D191" s="2837"/>
      <c r="E191" s="2837"/>
      <c r="F191" s="2837"/>
      <c r="G191" s="2837"/>
      <c r="H191" s="2837"/>
      <c r="I191" s="2837"/>
      <c r="J191" s="2838"/>
      <c r="K191" s="155">
        <f>SUM(K190)</f>
        <v>55548</v>
      </c>
      <c r="L191" s="155">
        <f t="shared" ref="L191:X191" si="47">SUM(L190)</f>
        <v>26288.5</v>
      </c>
      <c r="M191" s="155">
        <f t="shared" si="47"/>
        <v>19.2</v>
      </c>
      <c r="N191" s="867">
        <f t="shared" si="47"/>
        <v>29259.5</v>
      </c>
      <c r="O191" s="155">
        <f t="shared" si="47"/>
        <v>42135.8</v>
      </c>
      <c r="P191" s="155">
        <f t="shared" si="47"/>
        <v>25213.599999999999</v>
      </c>
      <c r="Q191" s="155">
        <f t="shared" si="47"/>
        <v>0</v>
      </c>
      <c r="R191" s="872">
        <f t="shared" si="47"/>
        <v>16922.2</v>
      </c>
      <c r="S191" s="868">
        <f t="shared" si="47"/>
        <v>0</v>
      </c>
      <c r="T191" s="155">
        <f t="shared" si="47"/>
        <v>0</v>
      </c>
      <c r="U191" s="155">
        <f t="shared" si="47"/>
        <v>0</v>
      </c>
      <c r="V191" s="155">
        <f t="shared" si="47"/>
        <v>0</v>
      </c>
      <c r="W191" s="155">
        <f t="shared" si="47"/>
        <v>41160.1</v>
      </c>
      <c r="X191" s="155">
        <f t="shared" si="47"/>
        <v>46141</v>
      </c>
      <c r="Y191" s="2839"/>
      <c r="Z191" s="2840"/>
      <c r="AA191" s="2840"/>
      <c r="AB191" s="2841"/>
    </row>
    <row r="192" spans="1:48" s="22" customFormat="1" ht="25.5" customHeight="1" x14ac:dyDescent="0.2">
      <c r="A192" s="2826" t="s">
        <v>300</v>
      </c>
      <c r="B192" s="2826"/>
      <c r="C192" s="2826"/>
      <c r="D192" s="2826"/>
      <c r="E192" s="2826"/>
      <c r="F192" s="2826"/>
      <c r="G192" s="2826"/>
      <c r="H192" s="2826"/>
      <c r="I192" s="2826"/>
      <c r="J192" s="2826"/>
      <c r="K192" s="2826"/>
      <c r="L192" s="2826"/>
      <c r="M192" s="2826"/>
      <c r="N192" s="2826"/>
      <c r="O192" s="2826"/>
      <c r="P192" s="2826"/>
      <c r="Q192" s="2826"/>
      <c r="R192" s="2826"/>
      <c r="S192" s="2826"/>
      <c r="T192" s="2826"/>
      <c r="U192" s="2826"/>
      <c r="V192" s="2826"/>
      <c r="W192" s="2826"/>
      <c r="X192" s="2826"/>
      <c r="Y192" s="2826"/>
      <c r="Z192" s="2826"/>
      <c r="AA192" s="2826"/>
      <c r="AB192" s="2826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</row>
    <row r="193" spans="1:48" s="22" customFormat="1" ht="13.5" customHeight="1" x14ac:dyDescent="0.2">
      <c r="A193" s="3181"/>
      <c r="B193" s="3181"/>
      <c r="C193" s="3181"/>
      <c r="D193" s="3181"/>
      <c r="E193" s="3181"/>
      <c r="F193" s="3181"/>
      <c r="G193" s="3181"/>
      <c r="H193" s="3181"/>
      <c r="I193" s="3181"/>
      <c r="J193" s="3181"/>
      <c r="K193" s="3181"/>
      <c r="L193" s="3181"/>
      <c r="M193" s="3181"/>
      <c r="N193" s="3181"/>
      <c r="O193" s="3181"/>
      <c r="P193" s="3181"/>
      <c r="Q193" s="3181"/>
      <c r="R193" s="3181"/>
      <c r="S193" s="3181"/>
      <c r="T193" s="3181"/>
      <c r="U193" s="3181"/>
      <c r="V193" s="3181"/>
      <c r="W193" s="3181"/>
      <c r="X193" s="3181"/>
      <c r="Y193" s="3181"/>
      <c r="Z193" s="3181"/>
      <c r="AA193" s="3181"/>
      <c r="AB193" s="318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</row>
    <row r="194" spans="1:48" s="22" customFormat="1" ht="15" customHeight="1" thickBot="1" x14ac:dyDescent="0.25">
      <c r="A194" s="2754" t="s">
        <v>17</v>
      </c>
      <c r="B194" s="2754"/>
      <c r="C194" s="2754"/>
      <c r="D194" s="2754"/>
      <c r="E194" s="2754"/>
      <c r="F194" s="2754"/>
      <c r="G194" s="2754"/>
      <c r="H194" s="2754"/>
      <c r="I194" s="2754"/>
      <c r="J194" s="2754"/>
      <c r="K194" s="2754"/>
      <c r="L194" s="2754"/>
      <c r="M194" s="2754"/>
      <c r="N194" s="2754"/>
      <c r="O194" s="2754"/>
      <c r="P194" s="2754"/>
      <c r="Q194" s="2754"/>
      <c r="R194" s="2754"/>
      <c r="S194" s="2754"/>
      <c r="T194" s="2754"/>
      <c r="U194" s="2754"/>
      <c r="V194" s="2754"/>
      <c r="W194" s="2754"/>
      <c r="X194" s="2754"/>
      <c r="Y194" s="5"/>
      <c r="Z194" s="5"/>
      <c r="AA194" s="5"/>
      <c r="AB194" s="5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</row>
    <row r="195" spans="1:48" ht="45" customHeight="1" thickBot="1" x14ac:dyDescent="0.25">
      <c r="A195" s="2827" t="s">
        <v>13</v>
      </c>
      <c r="B195" s="2828"/>
      <c r="C195" s="2828"/>
      <c r="D195" s="2828"/>
      <c r="E195" s="2828"/>
      <c r="F195" s="2828"/>
      <c r="G195" s="2828"/>
      <c r="H195" s="2828"/>
      <c r="I195" s="2828"/>
      <c r="J195" s="2829"/>
      <c r="K195" s="3208" t="s">
        <v>157</v>
      </c>
      <c r="L195" s="3209"/>
      <c r="M195" s="3209"/>
      <c r="N195" s="3210"/>
      <c r="O195" s="3208" t="s">
        <v>158</v>
      </c>
      <c r="P195" s="3209"/>
      <c r="Q195" s="3209"/>
      <c r="R195" s="3210"/>
      <c r="S195" s="2827" t="s">
        <v>159</v>
      </c>
      <c r="T195" s="2828"/>
      <c r="U195" s="2828"/>
      <c r="V195" s="2828"/>
      <c r="W195" s="41" t="s">
        <v>114</v>
      </c>
      <c r="X195" s="41" t="s">
        <v>163</v>
      </c>
    </row>
    <row r="196" spans="1:48" ht="14.25" customHeight="1" x14ac:dyDescent="0.2">
      <c r="A196" s="2817" t="s">
        <v>18</v>
      </c>
      <c r="B196" s="2818"/>
      <c r="C196" s="2818"/>
      <c r="D196" s="2818"/>
      <c r="E196" s="2818"/>
      <c r="F196" s="2818"/>
      <c r="G196" s="2818"/>
      <c r="H196" s="2818"/>
      <c r="I196" s="2818"/>
      <c r="J196" s="2819"/>
      <c r="K196" s="3270">
        <f>SUM(K198:N203)</f>
        <v>25566.400000000001</v>
      </c>
      <c r="L196" s="3273"/>
      <c r="M196" s="3273"/>
      <c r="N196" s="3274"/>
      <c r="O196" s="3275">
        <f>SUM(O198:R203)</f>
        <v>23537.4</v>
      </c>
      <c r="P196" s="3273"/>
      <c r="Q196" s="3273"/>
      <c r="R196" s="3274"/>
      <c r="S196" s="3270">
        <f>SUM(S198:V203)</f>
        <v>0</v>
      </c>
      <c r="T196" s="3271"/>
      <c r="U196" s="3271"/>
      <c r="V196" s="3272"/>
      <c r="W196" s="156">
        <f>W197+W202+W203</f>
        <v>25381.3</v>
      </c>
      <c r="X196" s="156">
        <f>X197+X202+X203</f>
        <v>26166.400000000001</v>
      </c>
    </row>
    <row r="197" spans="1:48" ht="14.25" customHeight="1" x14ac:dyDescent="0.2">
      <c r="A197" s="2823" t="s">
        <v>217</v>
      </c>
      <c r="B197" s="2988"/>
      <c r="C197" s="2988"/>
      <c r="D197" s="2988"/>
      <c r="E197" s="2988"/>
      <c r="F197" s="2988"/>
      <c r="G197" s="2988"/>
      <c r="H197" s="2988"/>
      <c r="I197" s="2988"/>
      <c r="J197" s="2989"/>
      <c r="K197" s="3267">
        <f>SUM(K198:N201)</f>
        <v>24796.6</v>
      </c>
      <c r="L197" s="3268"/>
      <c r="M197" s="3268"/>
      <c r="N197" s="3269"/>
      <c r="O197" s="3267">
        <f>SUM(O198:R201)</f>
        <v>23537.4</v>
      </c>
      <c r="P197" s="3268"/>
      <c r="Q197" s="3268"/>
      <c r="R197" s="3269"/>
      <c r="S197" s="3267">
        <f t="shared" ref="S197" si="48">SUM(S198:V201)</f>
        <v>0</v>
      </c>
      <c r="T197" s="3268"/>
      <c r="U197" s="3268"/>
      <c r="V197" s="3269"/>
      <c r="W197" s="845">
        <f>SUM(W198:W201)</f>
        <v>25381.3</v>
      </c>
      <c r="X197" s="845">
        <f>SUM(X198:X201)</f>
        <v>26166.400000000001</v>
      </c>
    </row>
    <row r="198" spans="1:48" ht="14.25" customHeight="1" x14ac:dyDescent="0.2">
      <c r="A198" s="2814" t="s">
        <v>33</v>
      </c>
      <c r="B198" s="2815"/>
      <c r="C198" s="2815"/>
      <c r="D198" s="2815"/>
      <c r="E198" s="2815"/>
      <c r="F198" s="2815"/>
      <c r="G198" s="2815"/>
      <c r="H198" s="2815"/>
      <c r="I198" s="2815"/>
      <c r="J198" s="2816"/>
      <c r="K198" s="3261">
        <f>SUMIF(J12:J191,"SB",K12:K191)</f>
        <v>21087.4</v>
      </c>
      <c r="L198" s="3262"/>
      <c r="M198" s="3262"/>
      <c r="N198" s="3263"/>
      <c r="O198" s="3261">
        <f>SUMIF(J12:J191,"SB",O12:O191)</f>
        <v>18453.2</v>
      </c>
      <c r="P198" s="3262"/>
      <c r="Q198" s="3262"/>
      <c r="R198" s="3263"/>
      <c r="S198" s="3261">
        <f>SUMIF(J12:J191,"SB",S12:S191)</f>
        <v>0</v>
      </c>
      <c r="T198" s="3262"/>
      <c r="U198" s="3262"/>
      <c r="V198" s="3263"/>
      <c r="W198" s="844">
        <f>SUMIF(J12:J191,"SB",W12:W191)</f>
        <v>20878.900000000001</v>
      </c>
      <c r="X198" s="844">
        <f>SUMIF(J12:J191,"SB",X12:X191)</f>
        <v>21439</v>
      </c>
      <c r="Y198" s="118"/>
    </row>
    <row r="199" spans="1:48" ht="14.25" customHeight="1" x14ac:dyDescent="0.2">
      <c r="A199" s="2797" t="s">
        <v>34</v>
      </c>
      <c r="B199" s="2798"/>
      <c r="C199" s="2798"/>
      <c r="D199" s="2798"/>
      <c r="E199" s="2798"/>
      <c r="F199" s="2798"/>
      <c r="G199" s="2798"/>
      <c r="H199" s="2798"/>
      <c r="I199" s="2798"/>
      <c r="J199" s="2799"/>
      <c r="K199" s="3253">
        <f>SUMIF(J12:J191,"SB(P)",K12:K191)</f>
        <v>138.19999999999999</v>
      </c>
      <c r="L199" s="3254"/>
      <c r="M199" s="3254"/>
      <c r="N199" s="3255"/>
      <c r="O199" s="3253">
        <f>SUMIF(J12:J191,"SB(P)",O12:O191)</f>
        <v>417.2</v>
      </c>
      <c r="P199" s="3254"/>
      <c r="Q199" s="3254"/>
      <c r="R199" s="3255"/>
      <c r="S199" s="3253">
        <f>SUMIF(J12:J191,"SB(P)",S12:S191)</f>
        <v>0</v>
      </c>
      <c r="T199" s="3254"/>
      <c r="U199" s="3254"/>
      <c r="V199" s="3255"/>
      <c r="W199" s="42">
        <f>SUMIF(J12:J191,"SB(P)",W12:W191)</f>
        <v>464</v>
      </c>
      <c r="X199" s="42">
        <f>SUMIF(J12:J191,"SB(P)",X12:X191)</f>
        <v>784.4</v>
      </c>
      <c r="Y199" s="118"/>
    </row>
    <row r="200" spans="1:48" ht="14.25" customHeight="1" x14ac:dyDescent="0.2">
      <c r="A200" s="2797" t="s">
        <v>123</v>
      </c>
      <c r="B200" s="2798"/>
      <c r="C200" s="2798"/>
      <c r="D200" s="2798"/>
      <c r="E200" s="2798"/>
      <c r="F200" s="2798"/>
      <c r="G200" s="2798"/>
      <c r="H200" s="2798"/>
      <c r="I200" s="2798"/>
      <c r="J200" s="2799"/>
      <c r="K200" s="3253">
        <f>SUMIF(J12:J191,"SB(VR)",K12:K191)</f>
        <v>2870</v>
      </c>
      <c r="L200" s="3254"/>
      <c r="M200" s="3254"/>
      <c r="N200" s="3255"/>
      <c r="O200" s="3261">
        <f>SUMIF(J12:J191,"SB(VR)",O12:O191)</f>
        <v>3744.9</v>
      </c>
      <c r="P200" s="3262"/>
      <c r="Q200" s="3262"/>
      <c r="R200" s="3263"/>
      <c r="S200" s="3253">
        <f>SUMIF(J12:J191,"SB(VR)",S12:S191)</f>
        <v>0</v>
      </c>
      <c r="T200" s="3254"/>
      <c r="U200" s="3254"/>
      <c r="V200" s="3255"/>
      <c r="W200" s="844">
        <f>SUMIF(J12:J191,"SB(VR)",W12:W191)</f>
        <v>3871.4</v>
      </c>
      <c r="X200" s="844">
        <f>SUMIF(J12:J191,"SB(VR)",X12:X191)</f>
        <v>3826</v>
      </c>
      <c r="Y200" s="118"/>
    </row>
    <row r="201" spans="1:48" ht="14.25" customHeight="1" x14ac:dyDescent="0.2">
      <c r="A201" s="2800" t="s">
        <v>146</v>
      </c>
      <c r="B201" s="2801"/>
      <c r="C201" s="2801"/>
      <c r="D201" s="2801"/>
      <c r="E201" s="2801"/>
      <c r="F201" s="2801"/>
      <c r="G201" s="2801"/>
      <c r="H201" s="2801"/>
      <c r="I201" s="2801"/>
      <c r="J201" s="2802"/>
      <c r="K201" s="3253">
        <f>SUMIF(J10:J189,"SB(L)",K10:K189)</f>
        <v>701</v>
      </c>
      <c r="L201" s="3254"/>
      <c r="M201" s="3254"/>
      <c r="N201" s="3255"/>
      <c r="O201" s="3253">
        <f>SUMIF(J10:J189,"SB(L)",O10:O189)</f>
        <v>922.1</v>
      </c>
      <c r="P201" s="3254"/>
      <c r="Q201" s="3254"/>
      <c r="R201" s="3255"/>
      <c r="S201" s="3253">
        <f>SUMIF(J10:J189,"SB(L)",S10:S189)</f>
        <v>0</v>
      </c>
      <c r="T201" s="3254"/>
      <c r="U201" s="3254"/>
      <c r="V201" s="3255"/>
      <c r="W201" s="42">
        <f>SUMIF(J11:J189,"SB(L)",W11:W189)</f>
        <v>167</v>
      </c>
      <c r="X201" s="42">
        <f>SUMIF(J11:J189,"SB(L)",X11:X189)</f>
        <v>117</v>
      </c>
    </row>
    <row r="202" spans="1:48" ht="14.25" customHeight="1" x14ac:dyDescent="0.2">
      <c r="A202" s="2720" t="s">
        <v>134</v>
      </c>
      <c r="B202" s="2721"/>
      <c r="C202" s="2721"/>
      <c r="D202" s="2721"/>
      <c r="E202" s="2721"/>
      <c r="F202" s="2721"/>
      <c r="G202" s="2721"/>
      <c r="H202" s="2721"/>
      <c r="I202" s="2721"/>
      <c r="J202" s="2722"/>
      <c r="K202" s="3256">
        <f>SUMIF(J12:J191,"SB(VRL)",K12:K191)</f>
        <v>769.8</v>
      </c>
      <c r="L202" s="3257"/>
      <c r="M202" s="3257"/>
      <c r="N202" s="3258"/>
      <c r="O202" s="3256">
        <f>SUMIF(J12:J191,"SB(VRL)",O12:O191)</f>
        <v>0</v>
      </c>
      <c r="P202" s="3257"/>
      <c r="Q202" s="3257"/>
      <c r="R202" s="3258"/>
      <c r="S202" s="3256">
        <f>SUMIF(J12:J191,"SB(VRL)",S12:S191)</f>
        <v>0</v>
      </c>
      <c r="T202" s="3257"/>
      <c r="U202" s="3257"/>
      <c r="V202" s="3258"/>
      <c r="W202" s="843">
        <f>SUMIF(J12:J191,"SB(VRL)",W12:W191)</f>
        <v>0</v>
      </c>
      <c r="X202" s="843">
        <f>SUMIF(J12:J192,"SB(VRL)",X12:X192)</f>
        <v>0</v>
      </c>
      <c r="Y202" s="118"/>
    </row>
    <row r="203" spans="1:48" ht="14.25" customHeight="1" x14ac:dyDescent="0.2">
      <c r="A203" s="2720" t="s">
        <v>140</v>
      </c>
      <c r="B203" s="3259"/>
      <c r="C203" s="3259"/>
      <c r="D203" s="3259"/>
      <c r="E203" s="3259"/>
      <c r="F203" s="3259"/>
      <c r="G203" s="3259"/>
      <c r="H203" s="3259"/>
      <c r="I203" s="3259"/>
      <c r="J203" s="3260"/>
      <c r="K203" s="3256">
        <f>SUMIF(J13:J191,"PF",K13:K191)</f>
        <v>0</v>
      </c>
      <c r="L203" s="3257"/>
      <c r="M203" s="3257"/>
      <c r="N203" s="3258"/>
      <c r="O203" s="3256">
        <f>SUMIF(J12:J191,"PF",O12:O191)</f>
        <v>0</v>
      </c>
      <c r="P203" s="3257"/>
      <c r="Q203" s="3257"/>
      <c r="R203" s="3258"/>
      <c r="S203" s="3256">
        <f>SUMIF(J13:J191,"PF",S13:S191)</f>
        <v>0</v>
      </c>
      <c r="T203" s="3257"/>
      <c r="U203" s="3257"/>
      <c r="V203" s="3258"/>
      <c r="W203" s="843">
        <f>SUMIF(J12:J189,"PF",W12:W191)</f>
        <v>0</v>
      </c>
      <c r="X203" s="843">
        <f>SUMIF(J12:J189,"PF",X12:X191)</f>
        <v>0</v>
      </c>
    </row>
    <row r="204" spans="1:48" ht="14.25" customHeight="1" x14ac:dyDescent="0.2">
      <c r="A204" s="2803" t="s">
        <v>19</v>
      </c>
      <c r="B204" s="2804"/>
      <c r="C204" s="2804"/>
      <c r="D204" s="2804"/>
      <c r="E204" s="2804"/>
      <c r="F204" s="2804"/>
      <c r="G204" s="2804"/>
      <c r="H204" s="2804"/>
      <c r="I204" s="2804"/>
      <c r="J204" s="2805"/>
      <c r="K204" s="3250">
        <f>SUM(K205:N209)</f>
        <v>29981.599999999999</v>
      </c>
      <c r="L204" s="3251"/>
      <c r="M204" s="3251"/>
      <c r="N204" s="3252"/>
      <c r="O204" s="3250">
        <f>SUM(O205:R209)</f>
        <v>18598.400000000001</v>
      </c>
      <c r="P204" s="3251"/>
      <c r="Q204" s="3251"/>
      <c r="R204" s="3252"/>
      <c r="S204" s="3250">
        <f>SUM(S205:V209)</f>
        <v>0</v>
      </c>
      <c r="T204" s="3251"/>
      <c r="U204" s="3251"/>
      <c r="V204" s="3252"/>
      <c r="W204" s="157">
        <f>W205+W206+W207+W208+W209</f>
        <v>15778.8</v>
      </c>
      <c r="X204" s="157">
        <f>X205+X206+X207+X208+X209</f>
        <v>19974.599999999999</v>
      </c>
    </row>
    <row r="205" spans="1:48" ht="14.25" customHeight="1" x14ac:dyDescent="0.2">
      <c r="A205" s="2806" t="s">
        <v>35</v>
      </c>
      <c r="B205" s="2807"/>
      <c r="C205" s="2807"/>
      <c r="D205" s="2807"/>
      <c r="E205" s="2807"/>
      <c r="F205" s="2807"/>
      <c r="G205" s="2807"/>
      <c r="H205" s="2807"/>
      <c r="I205" s="2807"/>
      <c r="J205" s="2808"/>
      <c r="K205" s="3253">
        <f>SUMIF(J12:J191,"ES",K12:K191)</f>
        <v>14582.4</v>
      </c>
      <c r="L205" s="3254"/>
      <c r="M205" s="3254"/>
      <c r="N205" s="3255"/>
      <c r="O205" s="3253">
        <f>SUMIF(J12:J191,"ES",O12:O191)</f>
        <v>6842.4</v>
      </c>
      <c r="P205" s="3254"/>
      <c r="Q205" s="3254"/>
      <c r="R205" s="3255"/>
      <c r="S205" s="3253">
        <f>SUMIF(J12:J191,"ES",S12:S191)</f>
        <v>0</v>
      </c>
      <c r="T205" s="3254"/>
      <c r="U205" s="3254"/>
      <c r="V205" s="3255"/>
      <c r="W205" s="42">
        <f>SUMIF(J12:J191,"ES",W12:W191)</f>
        <v>2629.6</v>
      </c>
      <c r="X205" s="42">
        <f>SUMIF(J12:J191,"ES",X12:X191)</f>
        <v>4445</v>
      </c>
      <c r="Y205" s="118"/>
    </row>
    <row r="206" spans="1:48" ht="14.25" customHeight="1" x14ac:dyDescent="0.2">
      <c r="A206" s="2800" t="s">
        <v>36</v>
      </c>
      <c r="B206" s="2801"/>
      <c r="C206" s="2801"/>
      <c r="D206" s="2801"/>
      <c r="E206" s="2801"/>
      <c r="F206" s="2801"/>
      <c r="G206" s="2801"/>
      <c r="H206" s="2801"/>
      <c r="I206" s="2801"/>
      <c r="J206" s="2802"/>
      <c r="K206" s="3253">
        <f>SUMIF(J12:J191,"KPP",K12:K191)</f>
        <v>9487</v>
      </c>
      <c r="L206" s="3254"/>
      <c r="M206" s="3254"/>
      <c r="N206" s="3255"/>
      <c r="O206" s="3253">
        <f>SUMIF(J12:J191,"KPP",O12:O191)</f>
        <v>9548.5</v>
      </c>
      <c r="P206" s="3254"/>
      <c r="Q206" s="3254"/>
      <c r="R206" s="3255"/>
      <c r="S206" s="3253">
        <f>SUMIF(J12:J191,"KPP",S12:S191)</f>
        <v>0</v>
      </c>
      <c r="T206" s="3254"/>
      <c r="U206" s="3254"/>
      <c r="V206" s="3255"/>
      <c r="W206" s="42">
        <f>SUMIF(J12:J191,"KPP",W12:W191)</f>
        <v>12499.2</v>
      </c>
      <c r="X206" s="42">
        <f>SUMIF(J12:J191,"KPP",X12:X191)</f>
        <v>13106.6</v>
      </c>
      <c r="Y206" s="118"/>
    </row>
    <row r="207" spans="1:48" ht="14.25" customHeight="1" x14ac:dyDescent="0.2">
      <c r="A207" s="2800" t="s">
        <v>37</v>
      </c>
      <c r="B207" s="2801"/>
      <c r="C207" s="2801"/>
      <c r="D207" s="2801"/>
      <c r="E207" s="2801"/>
      <c r="F207" s="2801"/>
      <c r="G207" s="2801"/>
      <c r="H207" s="2801"/>
      <c r="I207" s="2801"/>
      <c r="J207" s="2802"/>
      <c r="K207" s="3253">
        <f>SUMIF(J12:J191,"KVJUD",K12:K191)</f>
        <v>5186.3</v>
      </c>
      <c r="L207" s="3254"/>
      <c r="M207" s="3254"/>
      <c r="N207" s="3255"/>
      <c r="O207" s="3253">
        <f>SUMIF(J12:J191,"KVJUD",O12:O191)</f>
        <v>1701.8</v>
      </c>
      <c r="P207" s="3254"/>
      <c r="Q207" s="3254"/>
      <c r="R207" s="3255"/>
      <c r="S207" s="3253">
        <f>SUMIF(J12:J191,"KVJUD",S12:S191)</f>
        <v>0</v>
      </c>
      <c r="T207" s="3254"/>
      <c r="U207" s="3254"/>
      <c r="V207" s="3255"/>
      <c r="W207" s="42">
        <f>SUMIF(J12:J191,"KVJUD",W12:W191)</f>
        <v>0</v>
      </c>
      <c r="X207" s="42">
        <f>SUMIF(J12:J191,"KVJUD",X12:X191)</f>
        <v>1000</v>
      </c>
      <c r="Y207" s="130"/>
      <c r="Z207" s="6"/>
      <c r="AA207" s="6"/>
      <c r="AB207" s="6"/>
    </row>
    <row r="208" spans="1:48" ht="14.25" customHeight="1" x14ac:dyDescent="0.2">
      <c r="A208" s="2797" t="s">
        <v>38</v>
      </c>
      <c r="B208" s="2798"/>
      <c r="C208" s="2798"/>
      <c r="D208" s="2798"/>
      <c r="E208" s="2798"/>
      <c r="F208" s="2798"/>
      <c r="G208" s="2798"/>
      <c r="H208" s="2798"/>
      <c r="I208" s="2798"/>
      <c r="J208" s="2799"/>
      <c r="K208" s="3253">
        <f>SUMIF(J12:J191,"LRVB",K12:K191)</f>
        <v>69.3</v>
      </c>
      <c r="L208" s="3254"/>
      <c r="M208" s="3254"/>
      <c r="N208" s="3255"/>
      <c r="O208" s="3253">
        <f>SUMIF(J12:J191,"LRVB",O12:O191)</f>
        <v>0</v>
      </c>
      <c r="P208" s="3254"/>
      <c r="Q208" s="3254"/>
      <c r="R208" s="3255"/>
      <c r="S208" s="3253">
        <f>SUMIF(J12:J191,"LRVB",S12:S191)</f>
        <v>0</v>
      </c>
      <c r="T208" s="3254"/>
      <c r="U208" s="3254"/>
      <c r="V208" s="3255"/>
      <c r="W208" s="42">
        <f>SUMIF(J12:J191,"LRVB",W12:W191)</f>
        <v>0</v>
      </c>
      <c r="X208" s="42">
        <f>SUMIF(J12:J191,"LRVB",X12:X191)</f>
        <v>0</v>
      </c>
      <c r="Y208" s="130"/>
      <c r="Z208" s="6"/>
      <c r="AA208" s="6"/>
      <c r="AB208" s="6"/>
    </row>
    <row r="209" spans="1:28" ht="14.25" customHeight="1" x14ac:dyDescent="0.2">
      <c r="A209" s="2797" t="s">
        <v>39</v>
      </c>
      <c r="B209" s="2798"/>
      <c r="C209" s="2798"/>
      <c r="D209" s="2798"/>
      <c r="E209" s="2798"/>
      <c r="F209" s="2798"/>
      <c r="G209" s="2798"/>
      <c r="H209" s="2798"/>
      <c r="I209" s="2798"/>
      <c r="J209" s="2799"/>
      <c r="K209" s="3253">
        <f>SUMIF(J12:J191,"Kt",K12:K191)</f>
        <v>656.6</v>
      </c>
      <c r="L209" s="3254"/>
      <c r="M209" s="3254"/>
      <c r="N209" s="3255"/>
      <c r="O209" s="3253">
        <f>SUMIF(J12:J191,"Kt",O12:O191)</f>
        <v>505.7</v>
      </c>
      <c r="P209" s="3254"/>
      <c r="Q209" s="3254"/>
      <c r="R209" s="3255"/>
      <c r="S209" s="3253">
        <f>SUMIF(J12:J191,"Kt",S12:S191)</f>
        <v>0</v>
      </c>
      <c r="T209" s="3254"/>
      <c r="U209" s="3254"/>
      <c r="V209" s="3255"/>
      <c r="W209" s="42">
        <f>SUMIF(J12:J191,"Kt",W12:W191)</f>
        <v>650</v>
      </c>
      <c r="X209" s="42">
        <f>SUMIF(J12:J191,"Kt",X12:X191)</f>
        <v>1423</v>
      </c>
      <c r="Y209" s="130"/>
      <c r="Z209" s="6"/>
      <c r="AA209" s="6"/>
      <c r="AB209" s="6"/>
    </row>
    <row r="210" spans="1:28" ht="14.25" customHeight="1" thickBot="1" x14ac:dyDescent="0.25">
      <c r="A210" s="2793" t="s">
        <v>20</v>
      </c>
      <c r="B210" s="2794"/>
      <c r="C210" s="2794"/>
      <c r="D210" s="2794"/>
      <c r="E210" s="2794"/>
      <c r="F210" s="2794"/>
      <c r="G210" s="2794"/>
      <c r="H210" s="2794"/>
      <c r="I210" s="2794"/>
      <c r="J210" s="2795"/>
      <c r="K210" s="3264">
        <f>SUM(K196,K204)</f>
        <v>55548</v>
      </c>
      <c r="L210" s="3265"/>
      <c r="M210" s="3265"/>
      <c r="N210" s="3266"/>
      <c r="O210" s="3264">
        <f>SUM(O196,O204)</f>
        <v>42135.8</v>
      </c>
      <c r="P210" s="3265"/>
      <c r="Q210" s="3265"/>
      <c r="R210" s="3266"/>
      <c r="S210" s="3264">
        <f>SUM(S196,S204)</f>
        <v>0</v>
      </c>
      <c r="T210" s="3265"/>
      <c r="U210" s="3265"/>
      <c r="V210" s="3266"/>
      <c r="W210" s="158">
        <f>SUM(W196,W204)</f>
        <v>41160.1</v>
      </c>
      <c r="X210" s="158">
        <f>SUM(X196,X204)</f>
        <v>46141</v>
      </c>
      <c r="Y210" s="6"/>
      <c r="Z210" s="6"/>
      <c r="AA210" s="6"/>
      <c r="AB210" s="6"/>
    </row>
    <row r="211" spans="1:28" x14ac:dyDescent="0.2">
      <c r="L211" s="118"/>
      <c r="M211" s="200"/>
      <c r="O211" s="1426" t="s">
        <v>265</v>
      </c>
      <c r="P211" s="3289">
        <f>O210/3.4528*1000</f>
        <v>12203371</v>
      </c>
      <c r="Q211" s="3290"/>
      <c r="R211" s="1426"/>
      <c r="S211" s="1426"/>
      <c r="T211" s="1426"/>
      <c r="U211" s="1426"/>
      <c r="V211" s="1426"/>
      <c r="W211" s="1426">
        <f>W210/3.4528*1000</f>
        <v>11920789</v>
      </c>
      <c r="X211" s="1426">
        <f>X210/3.4528*1000</f>
        <v>13363357</v>
      </c>
    </row>
    <row r="212" spans="1:28" x14ac:dyDescent="0.2">
      <c r="P212" s="118"/>
      <c r="S212" s="118"/>
      <c r="T212" s="118"/>
      <c r="U212" s="118"/>
      <c r="V212" s="118"/>
    </row>
    <row r="213" spans="1:28" x14ac:dyDescent="0.2">
      <c r="N213" s="118"/>
      <c r="R213" s="326"/>
      <c r="S213" s="328"/>
      <c r="T213" s="328"/>
      <c r="U213" s="328"/>
      <c r="V213" s="328"/>
    </row>
    <row r="214" spans="1:28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200"/>
      <c r="U214" s="6"/>
      <c r="V214" s="6"/>
      <c r="W214" s="6"/>
      <c r="X214" s="6"/>
      <c r="Y214" s="6"/>
      <c r="Z214" s="6"/>
      <c r="AA214" s="6"/>
      <c r="AB214" s="6"/>
    </row>
    <row r="215" spans="1:28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327"/>
      <c r="T215" s="118"/>
      <c r="U215" s="6"/>
      <c r="V215" s="6"/>
      <c r="W215" s="130"/>
      <c r="X215" s="6"/>
      <c r="Y215" s="6"/>
      <c r="Z215" s="6"/>
      <c r="AA215" s="6"/>
      <c r="AB215" s="6"/>
    </row>
  </sheetData>
  <mergeCells count="480">
    <mergeCell ref="P211:Q211"/>
    <mergeCell ref="Y75:Y76"/>
    <mergeCell ref="Y20:Y21"/>
    <mergeCell ref="I84:J84"/>
    <mergeCell ref="I80:I83"/>
    <mergeCell ref="I57:I60"/>
    <mergeCell ref="F28:F29"/>
    <mergeCell ref="F73:F74"/>
    <mergeCell ref="H23:H24"/>
    <mergeCell ref="Y30:Y32"/>
    <mergeCell ref="I47:I49"/>
    <mergeCell ref="I44:I46"/>
    <mergeCell ref="E84:H84"/>
    <mergeCell ref="H64:H65"/>
    <mergeCell ref="I64:I65"/>
    <mergeCell ref="Y64:Y65"/>
    <mergeCell ref="I75:I76"/>
    <mergeCell ref="E80:E83"/>
    <mergeCell ref="I70:J70"/>
    <mergeCell ref="Y80:Y83"/>
    <mergeCell ref="F81:F83"/>
    <mergeCell ref="Y54:Y56"/>
    <mergeCell ref="I37:J37"/>
    <mergeCell ref="E25:E27"/>
    <mergeCell ref="Y176:Y177"/>
    <mergeCell ref="Y166:AB166"/>
    <mergeCell ref="H164:H165"/>
    <mergeCell ref="I164:I165"/>
    <mergeCell ref="G111:G112"/>
    <mergeCell ref="I39:I40"/>
    <mergeCell ref="G41:G43"/>
    <mergeCell ref="H41:H43"/>
    <mergeCell ref="I72:I74"/>
    <mergeCell ref="H66:H67"/>
    <mergeCell ref="I66:I67"/>
    <mergeCell ref="H68:H69"/>
    <mergeCell ref="I68:I69"/>
    <mergeCell ref="Y68:Y69"/>
    <mergeCell ref="I62:J62"/>
    <mergeCell ref="Y93:Y95"/>
    <mergeCell ref="G93:G96"/>
    <mergeCell ref="C116:J116"/>
    <mergeCell ref="Y111:Y112"/>
    <mergeCell ref="E161:E162"/>
    <mergeCell ref="I161:I162"/>
    <mergeCell ref="Y147:Y148"/>
    <mergeCell ref="Y72:Y74"/>
    <mergeCell ref="E89:E90"/>
    <mergeCell ref="A107:A108"/>
    <mergeCell ref="G107:G108"/>
    <mergeCell ref="H109:H110"/>
    <mergeCell ref="E107:E108"/>
    <mergeCell ref="E99:E101"/>
    <mergeCell ref="E93:E96"/>
    <mergeCell ref="F93:F96"/>
    <mergeCell ref="C107:C108"/>
    <mergeCell ref="C97:J97"/>
    <mergeCell ref="F107:F108"/>
    <mergeCell ref="I102:I105"/>
    <mergeCell ref="B107:B108"/>
    <mergeCell ref="D107:D108"/>
    <mergeCell ref="E103:E104"/>
    <mergeCell ref="C109:C110"/>
    <mergeCell ref="G109:G110"/>
    <mergeCell ref="F109:F110"/>
    <mergeCell ref="D109:D110"/>
    <mergeCell ref="B109:B110"/>
    <mergeCell ref="A93:A96"/>
    <mergeCell ref="B93:B96"/>
    <mergeCell ref="A109:A110"/>
    <mergeCell ref="C93:C96"/>
    <mergeCell ref="E109:E110"/>
    <mergeCell ref="E147:E149"/>
    <mergeCell ref="A151:A153"/>
    <mergeCell ref="A113:A114"/>
    <mergeCell ref="B113:B114"/>
    <mergeCell ref="A147:A150"/>
    <mergeCell ref="A154:A156"/>
    <mergeCell ref="B154:B156"/>
    <mergeCell ref="C154:C156"/>
    <mergeCell ref="D154:D156"/>
    <mergeCell ref="B147:B149"/>
    <mergeCell ref="C147:C149"/>
    <mergeCell ref="C118:C128"/>
    <mergeCell ref="B118:B128"/>
    <mergeCell ref="E129:E132"/>
    <mergeCell ref="A111:A112"/>
    <mergeCell ref="B111:B112"/>
    <mergeCell ref="C129:C135"/>
    <mergeCell ref="D129:D135"/>
    <mergeCell ref="D124:D125"/>
    <mergeCell ref="I143:I145"/>
    <mergeCell ref="D93:D96"/>
    <mergeCell ref="D143:D145"/>
    <mergeCell ref="E143:E145"/>
    <mergeCell ref="E136:E140"/>
    <mergeCell ref="I93:I96"/>
    <mergeCell ref="H93:H96"/>
    <mergeCell ref="C98:AB98"/>
    <mergeCell ref="Y103:Y104"/>
    <mergeCell ref="Y109:Y110"/>
    <mergeCell ref="AB107:AB108"/>
    <mergeCell ref="Y116:AB116"/>
    <mergeCell ref="AA129:AA130"/>
    <mergeCell ref="Y113:Y114"/>
    <mergeCell ref="F130:F133"/>
    <mergeCell ref="F99:F101"/>
    <mergeCell ref="I129:I131"/>
    <mergeCell ref="E115:H115"/>
    <mergeCell ref="C113:C114"/>
    <mergeCell ref="Z129:Z130"/>
    <mergeCell ref="D113:D114"/>
    <mergeCell ref="S199:V199"/>
    <mergeCell ref="A199:J199"/>
    <mergeCell ref="K195:N195"/>
    <mergeCell ref="S195:V195"/>
    <mergeCell ref="B186:B188"/>
    <mergeCell ref="H179:H182"/>
    <mergeCell ref="I179:I182"/>
    <mergeCell ref="D164:D165"/>
    <mergeCell ref="A183:A185"/>
    <mergeCell ref="E179:E182"/>
    <mergeCell ref="G179:G182"/>
    <mergeCell ref="A179:A182"/>
    <mergeCell ref="C179:C182"/>
    <mergeCell ref="D179:D182"/>
    <mergeCell ref="F179:F182"/>
    <mergeCell ref="B179:B182"/>
    <mergeCell ref="D183:D185"/>
    <mergeCell ref="C183:C185"/>
    <mergeCell ref="E184:E185"/>
    <mergeCell ref="A195:J195"/>
    <mergeCell ref="O197:R197"/>
    <mergeCell ref="A197:J197"/>
    <mergeCell ref="K197:N197"/>
    <mergeCell ref="A196:J196"/>
    <mergeCell ref="O200:R200"/>
    <mergeCell ref="S196:V196"/>
    <mergeCell ref="K200:N200"/>
    <mergeCell ref="H186:H188"/>
    <mergeCell ref="A186:A188"/>
    <mergeCell ref="S197:V197"/>
    <mergeCell ref="A194:X194"/>
    <mergeCell ref="K196:N196"/>
    <mergeCell ref="O196:R196"/>
    <mergeCell ref="O195:R195"/>
    <mergeCell ref="A193:AB193"/>
    <mergeCell ref="Y186:Y187"/>
    <mergeCell ref="Y190:AB190"/>
    <mergeCell ref="C186:C188"/>
    <mergeCell ref="G186:G188"/>
    <mergeCell ref="Y191:AB191"/>
    <mergeCell ref="D186:D188"/>
    <mergeCell ref="E186:E188"/>
    <mergeCell ref="B191:J191"/>
    <mergeCell ref="F186:F188"/>
    <mergeCell ref="Y189:AB189"/>
    <mergeCell ref="C189:J189"/>
    <mergeCell ref="A192:AB192"/>
    <mergeCell ref="S198:V198"/>
    <mergeCell ref="A210:J210"/>
    <mergeCell ref="K210:N210"/>
    <mergeCell ref="O210:R210"/>
    <mergeCell ref="S210:V210"/>
    <mergeCell ref="B190:J190"/>
    <mergeCell ref="A208:J208"/>
    <mergeCell ref="O203:R203"/>
    <mergeCell ref="K198:N198"/>
    <mergeCell ref="O198:R198"/>
    <mergeCell ref="K208:N208"/>
    <mergeCell ref="O208:R208"/>
    <mergeCell ref="A205:J205"/>
    <mergeCell ref="O205:R205"/>
    <mergeCell ref="A200:J200"/>
    <mergeCell ref="A198:J198"/>
    <mergeCell ref="O199:R199"/>
    <mergeCell ref="K199:N199"/>
    <mergeCell ref="K209:N209"/>
    <mergeCell ref="S200:V200"/>
    <mergeCell ref="S208:V208"/>
    <mergeCell ref="A209:J209"/>
    <mergeCell ref="K206:N206"/>
    <mergeCell ref="O206:R206"/>
    <mergeCell ref="S206:V206"/>
    <mergeCell ref="A207:J207"/>
    <mergeCell ref="K207:N207"/>
    <mergeCell ref="O207:R207"/>
    <mergeCell ref="S209:V209"/>
    <mergeCell ref="S207:V207"/>
    <mergeCell ref="O209:R209"/>
    <mergeCell ref="S205:V205"/>
    <mergeCell ref="A206:J206"/>
    <mergeCell ref="S204:V204"/>
    <mergeCell ref="K205:N205"/>
    <mergeCell ref="A202:J202"/>
    <mergeCell ref="O204:R204"/>
    <mergeCell ref="A204:J204"/>
    <mergeCell ref="S201:V201"/>
    <mergeCell ref="S202:V202"/>
    <mergeCell ref="S203:V203"/>
    <mergeCell ref="K202:N202"/>
    <mergeCell ref="O202:R202"/>
    <mergeCell ref="K204:N204"/>
    <mergeCell ref="A203:J203"/>
    <mergeCell ref="K203:N203"/>
    <mergeCell ref="A201:J201"/>
    <mergeCell ref="K201:N201"/>
    <mergeCell ref="O201:R201"/>
    <mergeCell ref="I186:I188"/>
    <mergeCell ref="I119:I123"/>
    <mergeCell ref="I136:I140"/>
    <mergeCell ref="B136:B140"/>
    <mergeCell ref="I178:J178"/>
    <mergeCell ref="C166:J166"/>
    <mergeCell ref="C172:C178"/>
    <mergeCell ref="E176:E177"/>
    <mergeCell ref="B172:B178"/>
    <mergeCell ref="I173:I177"/>
    <mergeCell ref="I158:I160"/>
    <mergeCell ref="C164:C165"/>
    <mergeCell ref="B151:B153"/>
    <mergeCell ref="H158:H160"/>
    <mergeCell ref="F159:F160"/>
    <mergeCell ref="E154:E156"/>
    <mergeCell ref="F154:F156"/>
    <mergeCell ref="G154:G156"/>
    <mergeCell ref="H154:H156"/>
    <mergeCell ref="H151:H153"/>
    <mergeCell ref="G158:G160"/>
    <mergeCell ref="F151:F153"/>
    <mergeCell ref="E151:E153"/>
    <mergeCell ref="F143:F145"/>
    <mergeCell ref="A172:A178"/>
    <mergeCell ref="A168:A171"/>
    <mergeCell ref="I154:I156"/>
    <mergeCell ref="D158:D160"/>
    <mergeCell ref="G143:G145"/>
    <mergeCell ref="I151:I152"/>
    <mergeCell ref="I184:I185"/>
    <mergeCell ref="B183:B185"/>
    <mergeCell ref="H143:H145"/>
    <mergeCell ref="E158:E160"/>
    <mergeCell ref="E173:E175"/>
    <mergeCell ref="I150:J150"/>
    <mergeCell ref="I147:I149"/>
    <mergeCell ref="B168:B171"/>
    <mergeCell ref="I171:J171"/>
    <mergeCell ref="C167:AB167"/>
    <mergeCell ref="Y152:Y153"/>
    <mergeCell ref="F164:F165"/>
    <mergeCell ref="E164:E165"/>
    <mergeCell ref="G151:G153"/>
    <mergeCell ref="C151:C153"/>
    <mergeCell ref="D151:D153"/>
    <mergeCell ref="G164:G165"/>
    <mergeCell ref="I163:J163"/>
    <mergeCell ref="I41:I43"/>
    <mergeCell ref="AB129:AB130"/>
    <mergeCell ref="A19:A21"/>
    <mergeCell ref="B19:B21"/>
    <mergeCell ref="C19:C21"/>
    <mergeCell ref="E19:E20"/>
    <mergeCell ref="F19:F21"/>
    <mergeCell ref="Y33:Y35"/>
    <mergeCell ref="E33:E36"/>
    <mergeCell ref="E37:H37"/>
    <mergeCell ref="D33:D35"/>
    <mergeCell ref="C39:C40"/>
    <mergeCell ref="G39:G40"/>
    <mergeCell ref="H39:H40"/>
    <mergeCell ref="B28:B29"/>
    <mergeCell ref="B30:B32"/>
    <mergeCell ref="I19:I22"/>
    <mergeCell ref="B59:B60"/>
    <mergeCell ref="E72:E74"/>
    <mergeCell ref="F89:F90"/>
    <mergeCell ref="I89:I90"/>
    <mergeCell ref="AA107:AA108"/>
    <mergeCell ref="I107:I110"/>
    <mergeCell ref="A41:A43"/>
    <mergeCell ref="I33:I36"/>
    <mergeCell ref="F33:F36"/>
    <mergeCell ref="A25:A27"/>
    <mergeCell ref="B25:B27"/>
    <mergeCell ref="C25:C27"/>
    <mergeCell ref="D25:D27"/>
    <mergeCell ref="G25:G27"/>
    <mergeCell ref="H25:H27"/>
    <mergeCell ref="I23:I27"/>
    <mergeCell ref="A23:A24"/>
    <mergeCell ref="B23:B24"/>
    <mergeCell ref="F25:F27"/>
    <mergeCell ref="Y23:Y24"/>
    <mergeCell ref="H28:H29"/>
    <mergeCell ref="I28:I32"/>
    <mergeCell ref="C28:C29"/>
    <mergeCell ref="E28:E29"/>
    <mergeCell ref="G28:G29"/>
    <mergeCell ref="F30:F32"/>
    <mergeCell ref="A17:A18"/>
    <mergeCell ref="A28:A29"/>
    <mergeCell ref="A30:A32"/>
    <mergeCell ref="Y25:Y27"/>
    <mergeCell ref="B17:B18"/>
    <mergeCell ref="C17:C18"/>
    <mergeCell ref="D17:D18"/>
    <mergeCell ref="E17:E18"/>
    <mergeCell ref="I17:I18"/>
    <mergeCell ref="F17:F18"/>
    <mergeCell ref="H30:H32"/>
    <mergeCell ref="G17:G18"/>
    <mergeCell ref="H17:H18"/>
    <mergeCell ref="F23:F24"/>
    <mergeCell ref="A1:AB1"/>
    <mergeCell ref="A2:AB2"/>
    <mergeCell ref="A3:AB3"/>
    <mergeCell ref="Z4:AB4"/>
    <mergeCell ref="H5:H7"/>
    <mergeCell ref="O6:O7"/>
    <mergeCell ref="A8:AB8"/>
    <mergeCell ref="A5:A7"/>
    <mergeCell ref="Y6:Y7"/>
    <mergeCell ref="Z6:AB6"/>
    <mergeCell ref="S6:S7"/>
    <mergeCell ref="T6:U6"/>
    <mergeCell ref="E5:E7"/>
    <mergeCell ref="I5:I7"/>
    <mergeCell ref="S5:V5"/>
    <mergeCell ref="L6:M6"/>
    <mergeCell ref="K6:K7"/>
    <mergeCell ref="N6:N7"/>
    <mergeCell ref="P6:Q6"/>
    <mergeCell ref="B5:B7"/>
    <mergeCell ref="C5:C7"/>
    <mergeCell ref="W5:W7"/>
    <mergeCell ref="F5:F7"/>
    <mergeCell ref="G5:G7"/>
    <mergeCell ref="J5:J7"/>
    <mergeCell ref="K5:N5"/>
    <mergeCell ref="O5:R5"/>
    <mergeCell ref="R6:R7"/>
    <mergeCell ref="A9:AB9"/>
    <mergeCell ref="F13:F15"/>
    <mergeCell ref="X5:X7"/>
    <mergeCell ref="Y5:AB5"/>
    <mergeCell ref="V6:V7"/>
    <mergeCell ref="B13:B15"/>
    <mergeCell ref="B10:AB10"/>
    <mergeCell ref="D13:D15"/>
    <mergeCell ref="C11:AB11"/>
    <mergeCell ref="I13:I15"/>
    <mergeCell ref="H13:H15"/>
    <mergeCell ref="G13:G15"/>
    <mergeCell ref="A13:A15"/>
    <mergeCell ref="C13:C15"/>
    <mergeCell ref="D64:D65"/>
    <mergeCell ref="E64:E65"/>
    <mergeCell ref="F64:F65"/>
    <mergeCell ref="G64:G65"/>
    <mergeCell ref="C59:C60"/>
    <mergeCell ref="D5:D7"/>
    <mergeCell ref="E41:E43"/>
    <mergeCell ref="F41:F43"/>
    <mergeCell ref="G23:G24"/>
    <mergeCell ref="E30:E32"/>
    <mergeCell ref="G30:G32"/>
    <mergeCell ref="D28:D29"/>
    <mergeCell ref="C23:C24"/>
    <mergeCell ref="D23:D24"/>
    <mergeCell ref="E23:E24"/>
    <mergeCell ref="C30:C32"/>
    <mergeCell ref="D30:D32"/>
    <mergeCell ref="C41:C43"/>
    <mergeCell ref="D41:D43"/>
    <mergeCell ref="D39:D40"/>
    <mergeCell ref="E39:E40"/>
    <mergeCell ref="E51:H51"/>
    <mergeCell ref="H54:H56"/>
    <mergeCell ref="F54:F56"/>
    <mergeCell ref="D68:D69"/>
    <mergeCell ref="B75:B77"/>
    <mergeCell ref="E66:E67"/>
    <mergeCell ref="E68:E69"/>
    <mergeCell ref="E70:H70"/>
    <mergeCell ref="A75:A77"/>
    <mergeCell ref="F66:F67"/>
    <mergeCell ref="G66:G67"/>
    <mergeCell ref="F68:F69"/>
    <mergeCell ref="G68:G69"/>
    <mergeCell ref="B66:B67"/>
    <mergeCell ref="C66:C67"/>
    <mergeCell ref="G86:G88"/>
    <mergeCell ref="Z86:Z88"/>
    <mergeCell ref="Y89:Y90"/>
    <mergeCell ref="I128:J128"/>
    <mergeCell ref="E113:E114"/>
    <mergeCell ref="F113:F114"/>
    <mergeCell ref="F111:F112"/>
    <mergeCell ref="I115:J115"/>
    <mergeCell ref="E124:E125"/>
    <mergeCell ref="Z107:Z108"/>
    <mergeCell ref="Y107:Y108"/>
    <mergeCell ref="I124:I125"/>
    <mergeCell ref="H107:H108"/>
    <mergeCell ref="F124:F125"/>
    <mergeCell ref="G124:G125"/>
    <mergeCell ref="H124:H125"/>
    <mergeCell ref="F120:F121"/>
    <mergeCell ref="I132:I134"/>
    <mergeCell ref="A86:A88"/>
    <mergeCell ref="B86:B88"/>
    <mergeCell ref="C89:C90"/>
    <mergeCell ref="C136:C140"/>
    <mergeCell ref="A129:A135"/>
    <mergeCell ref="B129:B135"/>
    <mergeCell ref="A118:A128"/>
    <mergeCell ref="A136:A140"/>
    <mergeCell ref="C111:C112"/>
    <mergeCell ref="C86:C88"/>
    <mergeCell ref="A89:A90"/>
    <mergeCell ref="B89:B90"/>
    <mergeCell ref="C117:AB117"/>
    <mergeCell ref="D111:D112"/>
    <mergeCell ref="E111:E112"/>
    <mergeCell ref="H113:H114"/>
    <mergeCell ref="H111:H112"/>
    <mergeCell ref="I111:I114"/>
    <mergeCell ref="G113:G114"/>
    <mergeCell ref="I86:I88"/>
    <mergeCell ref="H86:H88"/>
    <mergeCell ref="E86:E88"/>
    <mergeCell ref="E92:H92"/>
    <mergeCell ref="Y129:Y130"/>
    <mergeCell ref="E128:H128"/>
    <mergeCell ref="A54:A56"/>
    <mergeCell ref="A59:A60"/>
    <mergeCell ref="E44:E45"/>
    <mergeCell ref="G44:G45"/>
    <mergeCell ref="E54:E56"/>
    <mergeCell ref="E62:H62"/>
    <mergeCell ref="A44:A45"/>
    <mergeCell ref="B44:B45"/>
    <mergeCell ref="H44:H45"/>
    <mergeCell ref="E119:E122"/>
    <mergeCell ref="H89:H90"/>
    <mergeCell ref="Y86:Y88"/>
    <mergeCell ref="D86:D88"/>
    <mergeCell ref="Y47:Y48"/>
    <mergeCell ref="E59:E60"/>
    <mergeCell ref="I51:J51"/>
    <mergeCell ref="H47:H48"/>
    <mergeCell ref="E57:E58"/>
    <mergeCell ref="Y59:Y60"/>
    <mergeCell ref="G54:G56"/>
    <mergeCell ref="I92:J92"/>
    <mergeCell ref="G89:G90"/>
    <mergeCell ref="I77:I78"/>
    <mergeCell ref="B39:B40"/>
    <mergeCell ref="C44:C45"/>
    <mergeCell ref="D44:D45"/>
    <mergeCell ref="A47:A48"/>
    <mergeCell ref="C47:C48"/>
    <mergeCell ref="D47:D48"/>
    <mergeCell ref="D59:D60"/>
    <mergeCell ref="B54:B56"/>
    <mergeCell ref="B47:B48"/>
    <mergeCell ref="D54:D56"/>
    <mergeCell ref="C54:C56"/>
    <mergeCell ref="A39:A40"/>
    <mergeCell ref="B41:B43"/>
    <mergeCell ref="I54:I56"/>
    <mergeCell ref="E47:E48"/>
    <mergeCell ref="G47:G48"/>
    <mergeCell ref="C75:C77"/>
    <mergeCell ref="E75:E76"/>
    <mergeCell ref="A66:A67"/>
    <mergeCell ref="D66:D67"/>
    <mergeCell ref="A68:A69"/>
    <mergeCell ref="B68:B69"/>
    <mergeCell ref="C68:C69"/>
  </mergeCells>
  <phoneticPr fontId="16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75" orientation="landscape" r:id="rId1"/>
  <headerFooter alignWithMargins="0">
    <oddFooter>Puslapių &amp;P iš &amp;N</oddFooter>
  </headerFooter>
  <rowBreaks count="6" manualBreakCount="6">
    <brk id="32" max="27" man="1"/>
    <brk id="84" max="27" man="1"/>
    <brk id="115" max="27" man="1"/>
    <brk id="135" max="27" man="1"/>
    <brk id="163" max="27" man="1"/>
    <brk id="192" max="27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83"/>
  <sheetViews>
    <sheetView view="pageBreakPreview" topLeftCell="A157" zoomScaleNormal="100" zoomScaleSheetLayoutView="100" workbookViewId="0">
      <selection activeCell="M85" sqref="M85"/>
    </sheetView>
  </sheetViews>
  <sheetFormatPr defaultRowHeight="12.75" x14ac:dyDescent="0.2"/>
  <cols>
    <col min="1" max="4" width="2.7109375" style="9" customWidth="1"/>
    <col min="5" max="5" width="35.5703125" style="9" customWidth="1"/>
    <col min="6" max="6" width="2.7109375" style="68" customWidth="1"/>
    <col min="7" max="7" width="3.7109375" style="9" customWidth="1"/>
    <col min="8" max="8" width="2.7109375" style="114" customWidth="1"/>
    <col min="9" max="9" width="13.28515625" style="114" customWidth="1"/>
    <col min="10" max="10" width="7.7109375" style="10" customWidth="1"/>
    <col min="11" max="13" width="10.42578125" style="9" customWidth="1"/>
    <col min="14" max="16384" width="9.140625" style="6"/>
  </cols>
  <sheetData>
    <row r="1" spans="1:16" ht="18.75" customHeight="1" x14ac:dyDescent="0.2">
      <c r="F1" s="9"/>
      <c r="I1" s="3294"/>
      <c r="J1" s="3295"/>
      <c r="K1" s="3296" t="s">
        <v>384</v>
      </c>
      <c r="L1" s="3297"/>
      <c r="M1" s="3297"/>
    </row>
    <row r="2" spans="1:16" ht="15.75" customHeight="1" x14ac:dyDescent="0.2">
      <c r="F2" s="9"/>
      <c r="J2" s="1555"/>
      <c r="K2" s="10"/>
      <c r="L2" s="10"/>
      <c r="M2" s="10"/>
    </row>
    <row r="3" spans="1:16" ht="18" customHeight="1" x14ac:dyDescent="0.2">
      <c r="F3" s="9"/>
      <c r="J3" s="1555"/>
      <c r="K3" s="10"/>
      <c r="L3" s="10"/>
      <c r="M3" s="10"/>
    </row>
    <row r="4" spans="1:16" ht="18" customHeight="1" x14ac:dyDescent="0.2">
      <c r="A4" s="3095" t="s">
        <v>313</v>
      </c>
      <c r="B4" s="3095"/>
      <c r="C4" s="3095"/>
      <c r="D4" s="3095"/>
      <c r="E4" s="3095"/>
      <c r="F4" s="3095"/>
      <c r="G4" s="3095"/>
      <c r="H4" s="3095"/>
      <c r="I4" s="3095"/>
      <c r="J4" s="3095"/>
      <c r="K4" s="3095"/>
      <c r="L4" s="3095"/>
      <c r="M4" s="3095"/>
    </row>
    <row r="5" spans="1:16" ht="15" customHeight="1" x14ac:dyDescent="0.2">
      <c r="A5" s="2873" t="s">
        <v>46</v>
      </c>
      <c r="B5" s="2873"/>
      <c r="C5" s="2873"/>
      <c r="D5" s="2873"/>
      <c r="E5" s="2873"/>
      <c r="F5" s="2873"/>
      <c r="G5" s="2873"/>
      <c r="H5" s="2873"/>
      <c r="I5" s="2873"/>
      <c r="J5" s="2873"/>
      <c r="K5" s="2873"/>
      <c r="L5" s="2873"/>
      <c r="M5" s="2873"/>
    </row>
    <row r="6" spans="1:16" ht="20.25" customHeight="1" x14ac:dyDescent="0.2">
      <c r="A6" s="2874" t="s">
        <v>30</v>
      </c>
      <c r="B6" s="2874"/>
      <c r="C6" s="2874"/>
      <c r="D6" s="2874"/>
      <c r="E6" s="2874"/>
      <c r="F6" s="2874"/>
      <c r="G6" s="2874"/>
      <c r="H6" s="2874"/>
      <c r="I6" s="2874"/>
      <c r="J6" s="2874"/>
      <c r="K6" s="2874"/>
      <c r="L6" s="2874"/>
      <c r="M6" s="2874"/>
      <c r="N6" s="4"/>
      <c r="O6" s="4"/>
      <c r="P6" s="4"/>
    </row>
    <row r="7" spans="1:16" ht="15.75" customHeight="1" thickBot="1" x14ac:dyDescent="0.25">
      <c r="A7" s="329"/>
      <c r="B7" s="329"/>
      <c r="C7" s="329"/>
      <c r="D7" s="329"/>
      <c r="E7" s="329"/>
      <c r="F7" s="330"/>
      <c r="G7" s="329"/>
      <c r="H7" s="331"/>
      <c r="I7" s="331"/>
      <c r="J7" s="1940"/>
      <c r="K7" s="329"/>
      <c r="L7" s="329"/>
      <c r="M7" s="329"/>
    </row>
    <row r="8" spans="1:16" ht="63" customHeight="1" x14ac:dyDescent="0.2">
      <c r="A8" s="2876" t="s">
        <v>31</v>
      </c>
      <c r="B8" s="2879" t="s">
        <v>1</v>
      </c>
      <c r="C8" s="2879" t="s">
        <v>2</v>
      </c>
      <c r="D8" s="2879" t="s">
        <v>44</v>
      </c>
      <c r="E8" s="2882" t="s">
        <v>15</v>
      </c>
      <c r="F8" s="2885" t="s">
        <v>3</v>
      </c>
      <c r="G8" s="2879" t="s">
        <v>312</v>
      </c>
      <c r="H8" s="3099" t="s">
        <v>4</v>
      </c>
      <c r="I8" s="3102" t="s">
        <v>110</v>
      </c>
      <c r="J8" s="2906" t="s">
        <v>5</v>
      </c>
      <c r="K8" s="3105" t="s">
        <v>314</v>
      </c>
      <c r="L8" s="3105" t="s">
        <v>385</v>
      </c>
      <c r="M8" s="3105" t="s">
        <v>310</v>
      </c>
    </row>
    <row r="9" spans="1:16" ht="14.25" customHeight="1" x14ac:dyDescent="0.2">
      <c r="A9" s="2877"/>
      <c r="B9" s="2880"/>
      <c r="C9" s="2880"/>
      <c r="D9" s="2880"/>
      <c r="E9" s="2883"/>
      <c r="F9" s="2886"/>
      <c r="G9" s="3097"/>
      <c r="H9" s="3100"/>
      <c r="I9" s="3103"/>
      <c r="J9" s="2907"/>
      <c r="K9" s="3106"/>
      <c r="L9" s="3106"/>
      <c r="M9" s="3106"/>
    </row>
    <row r="10" spans="1:16" ht="38.25" customHeight="1" thickBot="1" x14ac:dyDescent="0.25">
      <c r="A10" s="2878"/>
      <c r="B10" s="2881"/>
      <c r="C10" s="2881"/>
      <c r="D10" s="2881"/>
      <c r="E10" s="2884"/>
      <c r="F10" s="2887"/>
      <c r="G10" s="3098"/>
      <c r="H10" s="3101"/>
      <c r="I10" s="3104"/>
      <c r="J10" s="2908"/>
      <c r="K10" s="3107"/>
      <c r="L10" s="3107"/>
      <c r="M10" s="3107"/>
    </row>
    <row r="11" spans="1:16" s="108" customFormat="1" ht="15.75" customHeight="1" x14ac:dyDescent="0.2">
      <c r="A11" s="2894" t="s">
        <v>109</v>
      </c>
      <c r="B11" s="2895"/>
      <c r="C11" s="2895"/>
      <c r="D11" s="2895"/>
      <c r="E11" s="2895"/>
      <c r="F11" s="2895"/>
      <c r="G11" s="2895"/>
      <c r="H11" s="2895"/>
      <c r="I11" s="2895"/>
      <c r="J11" s="2895"/>
      <c r="K11" s="2895"/>
      <c r="L11" s="2895"/>
      <c r="M11" s="2895"/>
    </row>
    <row r="12" spans="1:16" s="108" customFormat="1" ht="14.25" customHeight="1" x14ac:dyDescent="0.2">
      <c r="A12" s="2909" t="s">
        <v>43</v>
      </c>
      <c r="B12" s="2910"/>
      <c r="C12" s="2910"/>
      <c r="D12" s="2910"/>
      <c r="E12" s="2910"/>
      <c r="F12" s="2910"/>
      <c r="G12" s="2910"/>
      <c r="H12" s="2910"/>
      <c r="I12" s="2910"/>
      <c r="J12" s="2910"/>
      <c r="K12" s="2910"/>
      <c r="L12" s="2910"/>
      <c r="M12" s="2910"/>
    </row>
    <row r="13" spans="1:16" ht="15" customHeight="1" x14ac:dyDescent="0.2">
      <c r="A13" s="376" t="s">
        <v>8</v>
      </c>
      <c r="B13" s="2912" t="s">
        <v>47</v>
      </c>
      <c r="C13" s="2913"/>
      <c r="D13" s="2913"/>
      <c r="E13" s="2913"/>
      <c r="F13" s="2913"/>
      <c r="G13" s="2913"/>
      <c r="H13" s="2913"/>
      <c r="I13" s="2913"/>
      <c r="J13" s="2913"/>
      <c r="K13" s="2913"/>
      <c r="L13" s="2913"/>
      <c r="M13" s="2913"/>
    </row>
    <row r="14" spans="1:16" ht="14.25" customHeight="1" x14ac:dyDescent="0.2">
      <c r="A14" s="377" t="s">
        <v>8</v>
      </c>
      <c r="B14" s="177" t="s">
        <v>8</v>
      </c>
      <c r="C14" s="2920" t="s">
        <v>48</v>
      </c>
      <c r="D14" s="2921"/>
      <c r="E14" s="2921"/>
      <c r="F14" s="2921"/>
      <c r="G14" s="2921"/>
      <c r="H14" s="2921"/>
      <c r="I14" s="2921"/>
      <c r="J14" s="2921"/>
      <c r="K14" s="2921"/>
      <c r="L14" s="2921"/>
      <c r="M14" s="2921"/>
    </row>
    <row r="15" spans="1:16" ht="27" customHeight="1" x14ac:dyDescent="0.2">
      <c r="A15" s="1897" t="s">
        <v>8</v>
      </c>
      <c r="B15" s="1898" t="s">
        <v>8</v>
      </c>
      <c r="C15" s="1928" t="s">
        <v>8</v>
      </c>
      <c r="D15" s="146"/>
      <c r="E15" s="1721" t="s">
        <v>82</v>
      </c>
      <c r="F15" s="1691" t="s">
        <v>202</v>
      </c>
      <c r="G15" s="1937"/>
      <c r="H15" s="1905" t="s">
        <v>72</v>
      </c>
      <c r="I15" s="304"/>
      <c r="J15" s="12"/>
      <c r="K15" s="33"/>
      <c r="L15" s="33"/>
      <c r="M15" s="33"/>
    </row>
    <row r="16" spans="1:16" ht="41.25" customHeight="1" x14ac:dyDescent="0.2">
      <c r="A16" s="2757"/>
      <c r="B16" s="2727"/>
      <c r="C16" s="2991"/>
      <c r="D16" s="3063" t="s">
        <v>8</v>
      </c>
      <c r="E16" s="1917" t="s">
        <v>232</v>
      </c>
      <c r="F16" s="2869" t="s">
        <v>79</v>
      </c>
      <c r="G16" s="3110" t="s">
        <v>338</v>
      </c>
      <c r="H16" s="2710" t="s">
        <v>72</v>
      </c>
      <c r="I16" s="3112" t="s">
        <v>126</v>
      </c>
      <c r="J16" s="743"/>
      <c r="K16" s="1613"/>
      <c r="L16" s="1613"/>
      <c r="M16" s="1613"/>
    </row>
    <row r="17" spans="1:15" ht="22.5" customHeight="1" x14ac:dyDescent="0.2">
      <c r="A17" s="2757"/>
      <c r="B17" s="2727"/>
      <c r="C17" s="2991"/>
      <c r="D17" s="3065"/>
      <c r="E17" s="1685" t="s">
        <v>233</v>
      </c>
      <c r="F17" s="2893"/>
      <c r="G17" s="3111"/>
      <c r="H17" s="2715"/>
      <c r="I17" s="3122"/>
      <c r="J17" s="1033" t="s">
        <v>330</v>
      </c>
      <c r="K17" s="1578">
        <f>457.2/3.4528*1000</f>
        <v>132414</v>
      </c>
      <c r="L17" s="1578">
        <f>457.2/3.4528*1000</f>
        <v>132414</v>
      </c>
      <c r="M17" s="1578"/>
    </row>
    <row r="18" spans="1:15" ht="52.5" customHeight="1" x14ac:dyDescent="0.2">
      <c r="A18" s="1897"/>
      <c r="B18" s="1898"/>
      <c r="C18" s="1928"/>
      <c r="D18" s="1931" t="s">
        <v>10</v>
      </c>
      <c r="E18" s="879" t="s">
        <v>238</v>
      </c>
      <c r="F18" s="1927"/>
      <c r="G18" s="1953" t="s">
        <v>337</v>
      </c>
      <c r="H18" s="1905" t="s">
        <v>72</v>
      </c>
      <c r="I18" s="3112" t="s">
        <v>125</v>
      </c>
      <c r="J18" s="17" t="s">
        <v>330</v>
      </c>
      <c r="K18" s="1579">
        <f>20/3.4528*1000</f>
        <v>5792</v>
      </c>
      <c r="L18" s="1579">
        <f>20/3.4528*1000</f>
        <v>5792</v>
      </c>
      <c r="M18" s="1578"/>
    </row>
    <row r="19" spans="1:15" ht="29.25" customHeight="1" x14ac:dyDescent="0.2">
      <c r="A19" s="1897"/>
      <c r="B19" s="1898"/>
      <c r="C19" s="1928"/>
      <c r="D19" s="1929" t="s">
        <v>45</v>
      </c>
      <c r="E19" s="1917" t="s">
        <v>193</v>
      </c>
      <c r="F19" s="1910"/>
      <c r="G19" s="1950" t="s">
        <v>339</v>
      </c>
      <c r="H19" s="1911" t="s">
        <v>72</v>
      </c>
      <c r="I19" s="3113"/>
      <c r="J19" s="740" t="s">
        <v>330</v>
      </c>
      <c r="K19" s="1615">
        <f>50/3.4528*1000</f>
        <v>14481</v>
      </c>
      <c r="L19" s="1615">
        <f>50/3.4528*1000</f>
        <v>14481</v>
      </c>
      <c r="M19" s="1578"/>
    </row>
    <row r="20" spans="1:15" ht="24.75" customHeight="1" x14ac:dyDescent="0.2">
      <c r="A20" s="2757"/>
      <c r="B20" s="2727"/>
      <c r="C20" s="2991"/>
      <c r="D20" s="1929" t="s">
        <v>50</v>
      </c>
      <c r="E20" s="2760" t="s">
        <v>239</v>
      </c>
      <c r="F20" s="3114" t="s">
        <v>79</v>
      </c>
      <c r="G20" s="3117" t="s">
        <v>340</v>
      </c>
      <c r="H20" s="1078" t="s">
        <v>72</v>
      </c>
      <c r="I20" s="3120" t="s">
        <v>125</v>
      </c>
      <c r="J20" s="1079" t="s">
        <v>330</v>
      </c>
      <c r="K20" s="1617">
        <f>50/3.4528*1000</f>
        <v>14481</v>
      </c>
      <c r="L20" s="1617">
        <f>50/3.4528*1000</f>
        <v>14481</v>
      </c>
      <c r="M20" s="1579"/>
    </row>
    <row r="21" spans="1:15" ht="38.25" customHeight="1" x14ac:dyDescent="0.2">
      <c r="A21" s="2757"/>
      <c r="B21" s="2727"/>
      <c r="C21" s="2991"/>
      <c r="D21" s="1931"/>
      <c r="E21" s="2702"/>
      <c r="F21" s="3115"/>
      <c r="G21" s="3118"/>
      <c r="H21" s="1081"/>
      <c r="I21" s="3121"/>
      <c r="J21" s="721" t="s">
        <v>58</v>
      </c>
      <c r="K21" s="2055"/>
      <c r="L21" s="1618"/>
      <c r="M21" s="1618"/>
    </row>
    <row r="22" spans="1:15" ht="14.25" customHeight="1" x14ac:dyDescent="0.2">
      <c r="A22" s="2757"/>
      <c r="B22" s="2727"/>
      <c r="C22" s="2991"/>
      <c r="D22" s="1930"/>
      <c r="E22" s="1157"/>
      <c r="F22" s="3116"/>
      <c r="G22" s="3119"/>
      <c r="H22" s="1084"/>
      <c r="I22" s="3093"/>
      <c r="J22" s="1085" t="s">
        <v>42</v>
      </c>
      <c r="K22" s="1578"/>
      <c r="L22" s="1578"/>
      <c r="M22" s="1578"/>
    </row>
    <row r="23" spans="1:15" ht="42" customHeight="1" x14ac:dyDescent="0.2">
      <c r="A23" s="1897"/>
      <c r="B23" s="1898"/>
      <c r="C23" s="451"/>
      <c r="D23" s="311" t="s">
        <v>52</v>
      </c>
      <c r="E23" s="1202" t="s">
        <v>240</v>
      </c>
      <c r="F23" s="1688"/>
      <c r="G23" s="1716" t="s">
        <v>341</v>
      </c>
      <c r="H23" s="1689" t="s">
        <v>72</v>
      </c>
      <c r="I23" s="3093"/>
      <c r="J23" s="552" t="s">
        <v>58</v>
      </c>
      <c r="K23" s="1580">
        <f>210.9/3.4528*1000</f>
        <v>61081</v>
      </c>
      <c r="L23" s="1580">
        <f>210.9/3.4528*1000</f>
        <v>61081</v>
      </c>
      <c r="M23" s="1578"/>
      <c r="O23" s="14"/>
    </row>
    <row r="24" spans="1:15" ht="21.75" customHeight="1" x14ac:dyDescent="0.2">
      <c r="A24" s="2757"/>
      <c r="B24" s="2727"/>
      <c r="C24" s="2991"/>
      <c r="D24" s="2855" t="s">
        <v>54</v>
      </c>
      <c r="E24" s="2704" t="s">
        <v>143</v>
      </c>
      <c r="F24" s="2695" t="s">
        <v>79</v>
      </c>
      <c r="G24" s="3091" t="s">
        <v>339</v>
      </c>
      <c r="H24" s="2711" t="s">
        <v>72</v>
      </c>
      <c r="I24" s="3093"/>
      <c r="J24" s="783" t="s">
        <v>330</v>
      </c>
      <c r="K24" s="1614">
        <f>66.3/3.4528*1000</f>
        <v>19202</v>
      </c>
      <c r="L24" s="1614">
        <f>66.3/3.4528*1000</f>
        <v>19202</v>
      </c>
      <c r="M24" s="1578"/>
    </row>
    <row r="25" spans="1:15" ht="21" customHeight="1" x14ac:dyDescent="0.2">
      <c r="A25" s="2757"/>
      <c r="B25" s="2727"/>
      <c r="C25" s="2991"/>
      <c r="D25" s="2855"/>
      <c r="E25" s="2844"/>
      <c r="F25" s="2695"/>
      <c r="G25" s="3092"/>
      <c r="H25" s="2711"/>
      <c r="I25" s="3094"/>
      <c r="J25" s="40" t="s">
        <v>58</v>
      </c>
      <c r="K25" s="1620">
        <f>358/3.4528*1000</f>
        <v>103684</v>
      </c>
      <c r="L25" s="1620">
        <f>358/3.4528*1000</f>
        <v>103684</v>
      </c>
      <c r="M25" s="1578"/>
    </row>
    <row r="26" spans="1:15" ht="14.25" customHeight="1" thickBot="1" x14ac:dyDescent="0.25">
      <c r="A26" s="1897"/>
      <c r="B26" s="1898"/>
      <c r="C26" s="1944"/>
      <c r="D26" s="399"/>
      <c r="E26" s="3049"/>
      <c r="F26" s="3049"/>
      <c r="G26" s="3049"/>
      <c r="H26" s="3049"/>
      <c r="I26" s="3060" t="s">
        <v>112</v>
      </c>
      <c r="J26" s="3123"/>
      <c r="K26" s="1621">
        <f>SUM(K16:K25)</f>
        <v>351135</v>
      </c>
      <c r="L26" s="1621">
        <f>SUM(L16:L25)</f>
        <v>351135</v>
      </c>
      <c r="M26" s="1621">
        <f>SUM(M16:M25)</f>
        <v>0</v>
      </c>
    </row>
    <row r="27" spans="1:15" ht="29.25" customHeight="1" x14ac:dyDescent="0.2">
      <c r="A27" s="1918" t="s">
        <v>8</v>
      </c>
      <c r="B27" s="1919" t="s">
        <v>8</v>
      </c>
      <c r="C27" s="1943" t="s">
        <v>10</v>
      </c>
      <c r="D27" s="148"/>
      <c r="E27" s="1722" t="s">
        <v>83</v>
      </c>
      <c r="F27" s="834" t="s">
        <v>205</v>
      </c>
      <c r="G27" s="1942"/>
      <c r="H27" s="1904"/>
      <c r="I27" s="144"/>
      <c r="J27" s="74"/>
      <c r="K27" s="1622"/>
      <c r="L27" s="1622"/>
      <c r="M27" s="1622"/>
      <c r="O27" s="14"/>
    </row>
    <row r="28" spans="1:15" ht="20.25" customHeight="1" x14ac:dyDescent="0.2">
      <c r="A28" s="2759"/>
      <c r="B28" s="2727"/>
      <c r="C28" s="2991"/>
      <c r="D28" s="3063" t="s">
        <v>8</v>
      </c>
      <c r="E28" s="2703" t="s">
        <v>105</v>
      </c>
      <c r="F28" s="129" t="s">
        <v>79</v>
      </c>
      <c r="G28" s="3066" t="s">
        <v>342</v>
      </c>
      <c r="H28" s="2710" t="s">
        <v>72</v>
      </c>
      <c r="I28" s="3037" t="s">
        <v>125</v>
      </c>
      <c r="J28" s="740" t="s">
        <v>42</v>
      </c>
      <c r="K28" s="1615"/>
      <c r="L28" s="1615"/>
      <c r="M28" s="658"/>
    </row>
    <row r="29" spans="1:15" ht="16.5" customHeight="1" x14ac:dyDescent="0.2">
      <c r="A29" s="2759"/>
      <c r="B29" s="2727"/>
      <c r="C29" s="2991"/>
      <c r="D29" s="3065"/>
      <c r="E29" s="2705"/>
      <c r="F29" s="813"/>
      <c r="G29" s="3054"/>
      <c r="H29" s="2715"/>
      <c r="I29" s="3067"/>
      <c r="J29" s="40" t="s">
        <v>58</v>
      </c>
      <c r="K29" s="1578">
        <f>83.7/3.4528*1000</f>
        <v>24241</v>
      </c>
      <c r="L29" s="1578">
        <f>83.7/3.4528*1000</f>
        <v>24241</v>
      </c>
      <c r="M29" s="1614"/>
    </row>
    <row r="30" spans="1:15" ht="27" customHeight="1" x14ac:dyDescent="0.2">
      <c r="A30" s="2759"/>
      <c r="B30" s="2727"/>
      <c r="C30" s="2991"/>
      <c r="D30" s="3063" t="s">
        <v>10</v>
      </c>
      <c r="E30" s="2703" t="s">
        <v>241</v>
      </c>
      <c r="F30" s="2694" t="s">
        <v>79</v>
      </c>
      <c r="G30" s="3130" t="s">
        <v>343</v>
      </c>
      <c r="H30" s="2710" t="s">
        <v>72</v>
      </c>
      <c r="I30" s="3112" t="s">
        <v>125</v>
      </c>
      <c r="J30" s="13" t="s">
        <v>58</v>
      </c>
      <c r="K30" s="1617">
        <f>535.9/3.4528*1000</f>
        <v>155207</v>
      </c>
      <c r="L30" s="1617">
        <f>535.9/3.4528*1000</f>
        <v>155207</v>
      </c>
      <c r="M30" s="1617"/>
    </row>
    <row r="31" spans="1:15" ht="15" customHeight="1" x14ac:dyDescent="0.2">
      <c r="A31" s="2759"/>
      <c r="B31" s="2727"/>
      <c r="C31" s="2991"/>
      <c r="D31" s="3064"/>
      <c r="E31" s="2704"/>
      <c r="F31" s="2695"/>
      <c r="G31" s="3131"/>
      <c r="H31" s="2711"/>
      <c r="I31" s="3124"/>
      <c r="J31" s="723" t="s">
        <v>330</v>
      </c>
      <c r="K31" s="1618">
        <f>142.9/3.4528*1000</f>
        <v>41387</v>
      </c>
      <c r="L31" s="1618">
        <f>41387+57400</f>
        <v>98787</v>
      </c>
      <c r="M31" s="2056">
        <f>L31-K31</f>
        <v>57400</v>
      </c>
    </row>
    <row r="32" spans="1:15" ht="39" customHeight="1" x14ac:dyDescent="0.2">
      <c r="A32" s="2759"/>
      <c r="B32" s="2727"/>
      <c r="C32" s="2991"/>
      <c r="D32" s="3065"/>
      <c r="E32" s="2705"/>
      <c r="F32" s="2696"/>
      <c r="G32" s="3132"/>
      <c r="H32" s="2715"/>
      <c r="I32" s="3122"/>
      <c r="J32" s="40"/>
      <c r="K32" s="1992"/>
      <c r="L32" s="1988"/>
      <c r="M32" s="1614"/>
    </row>
    <row r="33" spans="1:15" ht="28.5" customHeight="1" x14ac:dyDescent="0.2">
      <c r="A33" s="2759"/>
      <c r="B33" s="2727"/>
      <c r="C33" s="2991"/>
      <c r="D33" s="3063" t="s">
        <v>45</v>
      </c>
      <c r="E33" s="2760" t="s">
        <v>196</v>
      </c>
      <c r="F33" s="129" t="s">
        <v>79</v>
      </c>
      <c r="G33" s="3127" t="s">
        <v>344</v>
      </c>
      <c r="H33" s="2710" t="s">
        <v>72</v>
      </c>
      <c r="I33" s="3112" t="s">
        <v>125</v>
      </c>
      <c r="J33" s="740" t="s">
        <v>58</v>
      </c>
      <c r="K33" s="2053">
        <f>320/3.4528*1000</f>
        <v>92678</v>
      </c>
      <c r="L33" s="2015">
        <f>320/3.4528*1000</f>
        <v>92678</v>
      </c>
      <c r="M33" s="1617"/>
    </row>
    <row r="34" spans="1:15" ht="38.25" customHeight="1" x14ac:dyDescent="0.2">
      <c r="A34" s="2759"/>
      <c r="B34" s="2727"/>
      <c r="C34" s="2991"/>
      <c r="D34" s="3125"/>
      <c r="E34" s="3126"/>
      <c r="F34" s="1094"/>
      <c r="G34" s="3128"/>
      <c r="H34" s="2924"/>
      <c r="I34" s="3124"/>
      <c r="J34" s="783" t="s">
        <v>42</v>
      </c>
      <c r="K34" s="2054"/>
      <c r="L34" s="2029"/>
      <c r="M34" s="650"/>
    </row>
    <row r="35" spans="1:15" ht="27" customHeight="1" x14ac:dyDescent="0.2">
      <c r="A35" s="1897"/>
      <c r="B35" s="1898"/>
      <c r="C35" s="451"/>
      <c r="D35" s="1935"/>
      <c r="E35" s="1093" t="s">
        <v>242</v>
      </c>
      <c r="F35" s="253"/>
      <c r="G35" s="3129"/>
      <c r="H35" s="1913" t="s">
        <v>72</v>
      </c>
      <c r="I35" s="3113"/>
      <c r="J35" s="246" t="s">
        <v>58</v>
      </c>
      <c r="K35" s="2019">
        <f>131.2/3.4528*1000</f>
        <v>37998</v>
      </c>
      <c r="L35" s="2016">
        <f>131.2/3.4528*1000</f>
        <v>37998</v>
      </c>
      <c r="M35" s="1614"/>
      <c r="O35" s="14"/>
    </row>
    <row r="36" spans="1:15" ht="32.25" customHeight="1" x14ac:dyDescent="0.2">
      <c r="A36" s="2759"/>
      <c r="B36" s="2727"/>
      <c r="C36" s="2991"/>
      <c r="D36" s="3063" t="s">
        <v>50</v>
      </c>
      <c r="E36" s="2760" t="s">
        <v>210</v>
      </c>
      <c r="F36" s="1099" t="s">
        <v>79</v>
      </c>
      <c r="G36" s="3066" t="s">
        <v>345</v>
      </c>
      <c r="H36" s="2710" t="s">
        <v>72</v>
      </c>
      <c r="I36" s="3112" t="s">
        <v>125</v>
      </c>
      <c r="J36" s="740" t="s">
        <v>58</v>
      </c>
      <c r="K36" s="2053">
        <f>550/3.4528*1000</f>
        <v>159291</v>
      </c>
      <c r="L36" s="2015">
        <f>550/3.4528*1000</f>
        <v>159291</v>
      </c>
      <c r="M36" s="1617"/>
    </row>
    <row r="37" spans="1:15" ht="20.25" customHeight="1" x14ac:dyDescent="0.2">
      <c r="A37" s="2759"/>
      <c r="B37" s="2727"/>
      <c r="C37" s="2991"/>
      <c r="D37" s="3065"/>
      <c r="E37" s="2761"/>
      <c r="F37" s="813"/>
      <c r="G37" s="3054"/>
      <c r="H37" s="2715"/>
      <c r="I37" s="3124"/>
      <c r="J37" s="40" t="s">
        <v>330</v>
      </c>
      <c r="K37" s="1616">
        <f>85/3.4528*1000</f>
        <v>24618</v>
      </c>
      <c r="L37" s="1616">
        <f>85/3.4528*1000</f>
        <v>24618</v>
      </c>
      <c r="M37" s="1988"/>
    </row>
    <row r="38" spans="1:15" ht="28.5" customHeight="1" x14ac:dyDescent="0.2">
      <c r="A38" s="1897"/>
      <c r="B38" s="1898"/>
      <c r="C38" s="451"/>
      <c r="D38" s="311" t="s">
        <v>52</v>
      </c>
      <c r="E38" s="1063" t="s">
        <v>243</v>
      </c>
      <c r="F38" s="457"/>
      <c r="G38" s="1717" t="s">
        <v>346</v>
      </c>
      <c r="H38" s="1941" t="s">
        <v>72</v>
      </c>
      <c r="I38" s="3113"/>
      <c r="J38" s="246" t="s">
        <v>58</v>
      </c>
      <c r="K38" s="1578">
        <f>34.7/3.4528*1000</f>
        <v>10050</v>
      </c>
      <c r="L38" s="1578">
        <f>34.7/3.4528*1000</f>
        <v>10050</v>
      </c>
      <c r="M38" s="1614"/>
      <c r="O38" s="14"/>
    </row>
    <row r="39" spans="1:15" ht="14.25" customHeight="1" thickBot="1" x14ac:dyDescent="0.25">
      <c r="A39" s="1946"/>
      <c r="B39" s="1902"/>
      <c r="C39" s="1945"/>
      <c r="D39" s="399"/>
      <c r="E39" s="3049"/>
      <c r="F39" s="3049"/>
      <c r="G39" s="3049"/>
      <c r="H39" s="3134"/>
      <c r="I39" s="3060" t="s">
        <v>112</v>
      </c>
      <c r="J39" s="3061"/>
      <c r="K39" s="1621">
        <f>SUM(K28:K38)</f>
        <v>545470</v>
      </c>
      <c r="L39" s="1621">
        <f>SUM(L28:L38)</f>
        <v>602870</v>
      </c>
      <c r="M39" s="2057">
        <f>SUM(M28:M38)</f>
        <v>57400</v>
      </c>
    </row>
    <row r="40" spans="1:15" ht="30" customHeight="1" x14ac:dyDescent="0.2">
      <c r="A40" s="1918" t="s">
        <v>8</v>
      </c>
      <c r="B40" s="1919" t="s">
        <v>8</v>
      </c>
      <c r="C40" s="1943" t="s">
        <v>45</v>
      </c>
      <c r="D40" s="148"/>
      <c r="E40" s="1723" t="s">
        <v>290</v>
      </c>
      <c r="F40" s="833" t="s">
        <v>209</v>
      </c>
      <c r="G40" s="148"/>
      <c r="H40" s="236"/>
      <c r="I40" s="239"/>
      <c r="J40" s="237"/>
      <c r="K40" s="1625"/>
      <c r="L40" s="1625"/>
      <c r="M40" s="1625"/>
    </row>
    <row r="41" spans="1:15" ht="53.25" customHeight="1" x14ac:dyDescent="0.2">
      <c r="A41" s="1897"/>
      <c r="B41" s="1898"/>
      <c r="C41" s="1928"/>
      <c r="D41" s="654" t="s">
        <v>8</v>
      </c>
      <c r="E41" s="1712" t="s">
        <v>100</v>
      </c>
      <c r="F41" s="567" t="s">
        <v>79</v>
      </c>
      <c r="G41" s="1718" t="s">
        <v>324</v>
      </c>
      <c r="H41" s="1442" t="s">
        <v>72</v>
      </c>
      <c r="I41" s="1713" t="s">
        <v>125</v>
      </c>
      <c r="J41" s="238" t="s">
        <v>58</v>
      </c>
      <c r="K41" s="2043">
        <f>165.1/3.4528*1000</f>
        <v>47816</v>
      </c>
      <c r="L41" s="2042">
        <f>165.1/3.4528*1000</f>
        <v>47816</v>
      </c>
      <c r="M41" s="1626"/>
    </row>
    <row r="42" spans="1:15" ht="16.5" customHeight="1" x14ac:dyDescent="0.2">
      <c r="A42" s="2757"/>
      <c r="B42" s="2727"/>
      <c r="C42" s="2991"/>
      <c r="D42" s="3064" t="s">
        <v>10</v>
      </c>
      <c r="E42" s="2734" t="s">
        <v>291</v>
      </c>
      <c r="F42" s="2698" t="s">
        <v>79</v>
      </c>
      <c r="G42" s="3128" t="s">
        <v>325</v>
      </c>
      <c r="H42" s="2766" t="s">
        <v>72</v>
      </c>
      <c r="I42" s="3012" t="s">
        <v>125</v>
      </c>
      <c r="J42" s="1711" t="s">
        <v>58</v>
      </c>
      <c r="K42" s="1709">
        <f>119.9/3.4528*1000</f>
        <v>34725</v>
      </c>
      <c r="L42" s="2013">
        <v>34725</v>
      </c>
      <c r="M42" s="1627"/>
    </row>
    <row r="43" spans="1:15" ht="16.5" customHeight="1" x14ac:dyDescent="0.2">
      <c r="A43" s="2757"/>
      <c r="B43" s="2727"/>
      <c r="C43" s="2991"/>
      <c r="D43" s="3064"/>
      <c r="E43" s="2734"/>
      <c r="F43" s="2698"/>
      <c r="G43" s="3128"/>
      <c r="H43" s="2766"/>
      <c r="I43" s="3012"/>
      <c r="J43" s="992"/>
      <c r="K43" s="1966"/>
      <c r="L43" s="210"/>
      <c r="M43" s="2013"/>
    </row>
    <row r="44" spans="1:15" ht="21.75" customHeight="1" x14ac:dyDescent="0.2">
      <c r="A44" s="2757"/>
      <c r="B44" s="2727"/>
      <c r="C44" s="2991"/>
      <c r="D44" s="3065"/>
      <c r="E44" s="2764"/>
      <c r="F44" s="2765"/>
      <c r="G44" s="3129"/>
      <c r="H44" s="2767"/>
      <c r="I44" s="3067"/>
      <c r="J44" s="794"/>
      <c r="K44" s="1967"/>
      <c r="L44" s="1982"/>
      <c r="M44" s="1616"/>
    </row>
    <row r="45" spans="1:15" ht="15.75" customHeight="1" thickBot="1" x14ac:dyDescent="0.25">
      <c r="A45" s="1914"/>
      <c r="B45" s="1902"/>
      <c r="C45" s="1945"/>
      <c r="D45" s="432"/>
      <c r="E45" s="3062"/>
      <c r="F45" s="3062"/>
      <c r="G45" s="3062"/>
      <c r="H45" s="3068"/>
      <c r="I45" s="3005" t="s">
        <v>112</v>
      </c>
      <c r="J45" s="3006"/>
      <c r="K45" s="2044">
        <f>SUM(K41:K44)</f>
        <v>82541</v>
      </c>
      <c r="L45" s="2049">
        <f>SUM(L41:L44)</f>
        <v>82541</v>
      </c>
      <c r="M45" s="1629"/>
      <c r="O45" s="14"/>
    </row>
    <row r="46" spans="1:15" ht="29.25" customHeight="1" x14ac:dyDescent="0.2">
      <c r="A46" s="1918" t="s">
        <v>8</v>
      </c>
      <c r="B46" s="1919" t="s">
        <v>8</v>
      </c>
      <c r="C46" s="1943" t="s">
        <v>50</v>
      </c>
      <c r="D46" s="178"/>
      <c r="E46" s="619" t="s">
        <v>85</v>
      </c>
      <c r="F46" s="820" t="s">
        <v>204</v>
      </c>
      <c r="G46" s="180"/>
      <c r="H46" s="181"/>
      <c r="I46" s="729"/>
      <c r="J46" s="231"/>
      <c r="K46" s="2045"/>
      <c r="L46" s="2050"/>
      <c r="M46" s="2051"/>
      <c r="O46" s="14"/>
    </row>
    <row r="47" spans="1:15" ht="21" customHeight="1" x14ac:dyDescent="0.2">
      <c r="A47" s="1897"/>
      <c r="B47" s="1898"/>
      <c r="C47" s="1928"/>
      <c r="D47" s="3088" t="s">
        <v>8</v>
      </c>
      <c r="E47" s="2704" t="s">
        <v>107</v>
      </c>
      <c r="F47" s="2716" t="s">
        <v>79</v>
      </c>
      <c r="G47" s="3084" t="s">
        <v>347</v>
      </c>
      <c r="H47" s="2708" t="s">
        <v>72</v>
      </c>
      <c r="I47" s="3085" t="s">
        <v>125</v>
      </c>
      <c r="J47" s="1693" t="s">
        <v>58</v>
      </c>
      <c r="K47" s="2046">
        <f>340/3.4528*1000</f>
        <v>98471</v>
      </c>
      <c r="L47" s="586">
        <f>340/3.4528*1000</f>
        <v>98471</v>
      </c>
      <c r="M47" s="1725"/>
      <c r="O47" s="14"/>
    </row>
    <row r="48" spans="1:15" ht="21.75" customHeight="1" x14ac:dyDescent="0.2">
      <c r="A48" s="1897"/>
      <c r="B48" s="1898"/>
      <c r="C48" s="1928"/>
      <c r="D48" s="3088"/>
      <c r="E48" s="2704"/>
      <c r="F48" s="2716"/>
      <c r="G48" s="3084"/>
      <c r="H48" s="2708"/>
      <c r="I48" s="3085"/>
      <c r="J48" s="1696"/>
      <c r="K48" s="2047"/>
      <c r="L48" s="439"/>
      <c r="M48" s="2052"/>
      <c r="O48" s="14"/>
    </row>
    <row r="49" spans="1:15" ht="19.5" customHeight="1" x14ac:dyDescent="0.2">
      <c r="A49" s="2757"/>
      <c r="B49" s="2727"/>
      <c r="C49" s="2991"/>
      <c r="D49" s="3063" t="s">
        <v>10</v>
      </c>
      <c r="E49" s="2703" t="s">
        <v>292</v>
      </c>
      <c r="F49" s="2694" t="s">
        <v>79</v>
      </c>
      <c r="G49" s="3086" t="s">
        <v>348</v>
      </c>
      <c r="H49" s="2710" t="s">
        <v>72</v>
      </c>
      <c r="I49" s="3003" t="s">
        <v>125</v>
      </c>
      <c r="J49" s="1693" t="s">
        <v>58</v>
      </c>
      <c r="K49" s="2041">
        <f>100/3.4528*1000</f>
        <v>28962</v>
      </c>
      <c r="L49" s="2028">
        <f>100/3.4528*1000</f>
        <v>28962</v>
      </c>
      <c r="M49" s="2038"/>
    </row>
    <row r="50" spans="1:15" ht="27" customHeight="1" x14ac:dyDescent="0.2">
      <c r="A50" s="2757"/>
      <c r="B50" s="2727"/>
      <c r="C50" s="2991"/>
      <c r="D50" s="3064"/>
      <c r="E50" s="2704"/>
      <c r="F50" s="2695"/>
      <c r="G50" s="3087"/>
      <c r="H50" s="2711"/>
      <c r="I50" s="3058"/>
      <c r="J50" s="1697"/>
      <c r="K50" s="2047"/>
      <c r="L50" s="439"/>
      <c r="M50" s="2052"/>
    </row>
    <row r="51" spans="1:15" ht="17.25" customHeight="1" x14ac:dyDescent="0.2">
      <c r="A51" s="2757"/>
      <c r="B51" s="2727"/>
      <c r="C51" s="2991"/>
      <c r="D51" s="3063" t="s">
        <v>45</v>
      </c>
      <c r="E51" s="2760" t="s">
        <v>212</v>
      </c>
      <c r="F51" s="2694" t="s">
        <v>79</v>
      </c>
      <c r="G51" s="3086" t="s">
        <v>349</v>
      </c>
      <c r="H51" s="2710" t="s">
        <v>72</v>
      </c>
      <c r="I51" s="3003" t="s">
        <v>125</v>
      </c>
      <c r="J51" s="1693" t="s">
        <v>58</v>
      </c>
      <c r="K51" s="2041">
        <f>88/3.4528*1000</f>
        <v>25487</v>
      </c>
      <c r="L51" s="2028">
        <f>88/3.4528*1000</f>
        <v>25487</v>
      </c>
      <c r="M51" s="2038"/>
    </row>
    <row r="52" spans="1:15" ht="21" customHeight="1" x14ac:dyDescent="0.2">
      <c r="A52" s="2757"/>
      <c r="B52" s="2727"/>
      <c r="C52" s="2991"/>
      <c r="D52" s="3065"/>
      <c r="E52" s="2761"/>
      <c r="F52" s="2696"/>
      <c r="G52" s="3087"/>
      <c r="H52" s="2715"/>
      <c r="I52" s="3059"/>
      <c r="J52" s="1697"/>
      <c r="K52" s="2047"/>
      <c r="L52" s="439"/>
      <c r="M52" s="2052"/>
    </row>
    <row r="53" spans="1:15" ht="14.25" customHeight="1" thickBot="1" x14ac:dyDescent="0.25">
      <c r="A53" s="1914"/>
      <c r="B53" s="1902"/>
      <c r="C53" s="433"/>
      <c r="D53" s="432"/>
      <c r="E53" s="3062"/>
      <c r="F53" s="3062"/>
      <c r="G53" s="3062"/>
      <c r="H53" s="3068"/>
      <c r="I53" s="3005" t="s">
        <v>112</v>
      </c>
      <c r="J53" s="3069"/>
      <c r="K53" s="1970">
        <f>SUM(K47:K52)</f>
        <v>152920</v>
      </c>
      <c r="L53" s="1984">
        <f>SUM(L47:L52)</f>
        <v>152920</v>
      </c>
      <c r="M53" s="2039"/>
      <c r="O53" s="14"/>
    </row>
    <row r="54" spans="1:15" ht="29.25" customHeight="1" x14ac:dyDescent="0.2">
      <c r="A54" s="1918" t="s">
        <v>8</v>
      </c>
      <c r="B54" s="1919" t="s">
        <v>8</v>
      </c>
      <c r="C54" s="1943" t="s">
        <v>52</v>
      </c>
      <c r="D54" s="700"/>
      <c r="E54" s="1920" t="s">
        <v>274</v>
      </c>
      <c r="F54" s="820" t="s">
        <v>192</v>
      </c>
      <c r="G54" s="682"/>
      <c r="H54" s="622"/>
      <c r="I54" s="1186"/>
      <c r="J54" s="684"/>
      <c r="K54" s="2048"/>
      <c r="L54" s="2050"/>
      <c r="M54" s="1625"/>
    </row>
    <row r="55" spans="1:15" ht="15" customHeight="1" x14ac:dyDescent="0.2">
      <c r="A55" s="1897"/>
      <c r="B55" s="1898"/>
      <c r="C55" s="1928"/>
      <c r="D55" s="1929" t="s">
        <v>8</v>
      </c>
      <c r="E55" s="3070" t="s">
        <v>275</v>
      </c>
      <c r="F55" s="128" t="s">
        <v>79</v>
      </c>
      <c r="G55" s="3066" t="s">
        <v>350</v>
      </c>
      <c r="H55" s="1911" t="s">
        <v>72</v>
      </c>
      <c r="I55" s="3037" t="s">
        <v>126</v>
      </c>
      <c r="J55" s="305" t="s">
        <v>58</v>
      </c>
      <c r="K55" s="1636">
        <f>50/3.4528*1000</f>
        <v>14481</v>
      </c>
      <c r="L55" s="1636">
        <v>14481</v>
      </c>
      <c r="M55" s="1636">
        <f>L55-K55</f>
        <v>0</v>
      </c>
    </row>
    <row r="56" spans="1:15" ht="18.75" customHeight="1" x14ac:dyDescent="0.2">
      <c r="A56" s="1897"/>
      <c r="B56" s="1898"/>
      <c r="C56" s="1928"/>
      <c r="D56" s="1931"/>
      <c r="E56" s="2734"/>
      <c r="F56" s="3075"/>
      <c r="G56" s="3072"/>
      <c r="H56" s="1905"/>
      <c r="I56" s="3074"/>
      <c r="J56" s="721" t="s">
        <v>74</v>
      </c>
      <c r="K56" s="1618"/>
      <c r="L56" s="1618"/>
      <c r="M56" s="1618"/>
    </row>
    <row r="57" spans="1:15" ht="21.75" customHeight="1" x14ac:dyDescent="0.2">
      <c r="A57" s="1897"/>
      <c r="B57" s="1898"/>
      <c r="C57" s="1928"/>
      <c r="D57" s="1930"/>
      <c r="E57" s="3071"/>
      <c r="F57" s="3076"/>
      <c r="G57" s="3073"/>
      <c r="H57" s="1913"/>
      <c r="I57" s="3004"/>
      <c r="J57" s="40" t="s">
        <v>77</v>
      </c>
      <c r="K57" s="1637"/>
      <c r="L57" s="1637"/>
      <c r="M57" s="1637"/>
    </row>
    <row r="58" spans="1:15" ht="18" customHeight="1" x14ac:dyDescent="0.2">
      <c r="A58" s="2757"/>
      <c r="B58" s="2727"/>
      <c r="C58" s="2991"/>
      <c r="D58" s="1934" t="s">
        <v>10</v>
      </c>
      <c r="E58" s="2866" t="s">
        <v>293</v>
      </c>
      <c r="F58" s="1926" t="s">
        <v>79</v>
      </c>
      <c r="G58" s="3078" t="s">
        <v>351</v>
      </c>
      <c r="H58" s="1911" t="s">
        <v>72</v>
      </c>
      <c r="I58" s="3082" t="s">
        <v>126</v>
      </c>
      <c r="J58" s="258" t="s">
        <v>75</v>
      </c>
      <c r="K58" s="1627">
        <f>32.2/3.4528*1000</f>
        <v>9326</v>
      </c>
      <c r="L58" s="1627">
        <f>32.2/3.4528*1000</f>
        <v>9326</v>
      </c>
      <c r="M58" s="1627"/>
      <c r="O58" s="14"/>
    </row>
    <row r="59" spans="1:15" ht="24.75" customHeight="1" x14ac:dyDescent="0.2">
      <c r="A59" s="2757"/>
      <c r="B59" s="2727"/>
      <c r="C59" s="2991"/>
      <c r="D59" s="1922"/>
      <c r="E59" s="3077"/>
      <c r="F59" s="1915"/>
      <c r="G59" s="3079"/>
      <c r="H59" s="1905"/>
      <c r="I59" s="3083"/>
      <c r="J59" s="20" t="s">
        <v>108</v>
      </c>
      <c r="K59" s="1638">
        <v>5257</v>
      </c>
      <c r="L59" s="1638">
        <v>5257</v>
      </c>
      <c r="M59" s="1638"/>
      <c r="O59" s="14"/>
    </row>
    <row r="60" spans="1:15" ht="29.25" customHeight="1" x14ac:dyDescent="0.2">
      <c r="A60" s="2757"/>
      <c r="B60" s="2727"/>
      <c r="C60" s="2991"/>
      <c r="D60" s="1922"/>
      <c r="E60" s="1032" t="s">
        <v>380</v>
      </c>
      <c r="F60" s="1915"/>
      <c r="G60" s="3079"/>
      <c r="H60" s="1905"/>
      <c r="I60" s="3081" t="s">
        <v>125</v>
      </c>
      <c r="J60" s="676" t="s">
        <v>58</v>
      </c>
      <c r="K60" s="1628">
        <f>50/3.4528*1000</f>
        <v>14481</v>
      </c>
      <c r="L60" s="1628">
        <f>50/3.4528*1000</f>
        <v>14481</v>
      </c>
      <c r="M60" s="1628"/>
      <c r="O60" s="14"/>
    </row>
    <row r="61" spans="1:15" ht="15" customHeight="1" x14ac:dyDescent="0.2">
      <c r="A61" s="1897"/>
      <c r="B61" s="1898"/>
      <c r="C61" s="1944"/>
      <c r="D61" s="1935"/>
      <c r="E61" s="1184" t="s">
        <v>307</v>
      </c>
      <c r="F61" s="1432"/>
      <c r="G61" s="3080"/>
      <c r="H61" s="1913"/>
      <c r="I61" s="3004"/>
      <c r="J61" s="246" t="s">
        <v>58</v>
      </c>
      <c r="K61" s="1616">
        <f>472.1/3.4528*1000</f>
        <v>136730</v>
      </c>
      <c r="L61" s="1616">
        <f>472.1/3.4528*1000</f>
        <v>136730</v>
      </c>
      <c r="M61" s="1616"/>
      <c r="O61" s="14"/>
    </row>
    <row r="62" spans="1:15" ht="39.75" customHeight="1" x14ac:dyDescent="0.2">
      <c r="A62" s="1897"/>
      <c r="B62" s="1898"/>
      <c r="C62" s="1944"/>
      <c r="D62" s="654" t="s">
        <v>45</v>
      </c>
      <c r="E62" s="565" t="s">
        <v>257</v>
      </c>
      <c r="F62" s="1185"/>
      <c r="G62" s="1953" t="s">
        <v>352</v>
      </c>
      <c r="H62" s="1941" t="s">
        <v>57</v>
      </c>
      <c r="I62" s="1201" t="s">
        <v>129</v>
      </c>
      <c r="J62" s="38" t="s">
        <v>42</v>
      </c>
      <c r="K62" s="1639">
        <f>10/3.4528*1000</f>
        <v>2896</v>
      </c>
      <c r="L62" s="1639">
        <f>10/3.4528*1000</f>
        <v>2896</v>
      </c>
      <c r="M62" s="1639"/>
    </row>
    <row r="63" spans="1:15" ht="15.75" customHeight="1" thickBot="1" x14ac:dyDescent="0.25">
      <c r="A63" s="1897"/>
      <c r="B63" s="1898"/>
      <c r="C63" s="1944"/>
      <c r="D63" s="754"/>
      <c r="E63" s="3062"/>
      <c r="F63" s="3062"/>
      <c r="G63" s="3062"/>
      <c r="H63" s="3062"/>
      <c r="I63" s="3005" t="s">
        <v>112</v>
      </c>
      <c r="J63" s="3006"/>
      <c r="K63" s="1640">
        <f>SUM(K55:K62)</f>
        <v>183171</v>
      </c>
      <c r="L63" s="1640">
        <f>SUM(L55:L62)</f>
        <v>183171</v>
      </c>
      <c r="M63" s="1640">
        <f>SUM(M55:M62)</f>
        <v>0</v>
      </c>
    </row>
    <row r="64" spans="1:15" ht="32.25" customHeight="1" x14ac:dyDescent="0.2">
      <c r="A64" s="1918" t="s">
        <v>8</v>
      </c>
      <c r="B64" s="1919" t="s">
        <v>8</v>
      </c>
      <c r="C64" s="1943" t="s">
        <v>54</v>
      </c>
      <c r="D64" s="700"/>
      <c r="E64" s="1722" t="s">
        <v>127</v>
      </c>
      <c r="F64" s="820" t="s">
        <v>206</v>
      </c>
      <c r="G64" s="682"/>
      <c r="H64" s="622"/>
      <c r="I64" s="683"/>
      <c r="J64" s="74"/>
      <c r="K64" s="1625"/>
      <c r="L64" s="1625"/>
      <c r="M64" s="1625"/>
    </row>
    <row r="65" spans="1:15" ht="16.5" customHeight="1" x14ac:dyDescent="0.2">
      <c r="A65" s="2757"/>
      <c r="B65" s="2727"/>
      <c r="C65" s="2991"/>
      <c r="D65" s="3063" t="s">
        <v>8</v>
      </c>
      <c r="E65" s="2703" t="s">
        <v>278</v>
      </c>
      <c r="F65" s="777" t="s">
        <v>79</v>
      </c>
      <c r="G65" s="3066" t="s">
        <v>353</v>
      </c>
      <c r="H65" s="2710" t="s">
        <v>72</v>
      </c>
      <c r="I65" s="3037" t="s">
        <v>126</v>
      </c>
      <c r="J65" s="740" t="s">
        <v>77</v>
      </c>
      <c r="K65" s="1619">
        <f>(199.4+217.8)/3.4528*1000</f>
        <v>120829</v>
      </c>
      <c r="L65" s="1619">
        <f>(199.4+217.8)/3.4528*1000</f>
        <v>120829</v>
      </c>
      <c r="M65" s="1619"/>
      <c r="O65" s="775"/>
    </row>
    <row r="66" spans="1:15" ht="21" customHeight="1" x14ac:dyDescent="0.2">
      <c r="A66" s="2757"/>
      <c r="B66" s="2727"/>
      <c r="C66" s="2991"/>
      <c r="D66" s="3064"/>
      <c r="E66" s="2704"/>
      <c r="F66" s="1497"/>
      <c r="G66" s="3053"/>
      <c r="H66" s="2711"/>
      <c r="I66" s="3012"/>
      <c r="J66" s="1746" t="s">
        <v>75</v>
      </c>
      <c r="K66" s="1991">
        <v>191149</v>
      </c>
      <c r="L66" s="650">
        <v>191149</v>
      </c>
      <c r="M66" s="1747"/>
      <c r="O66" s="775"/>
    </row>
    <row r="67" spans="1:15" ht="30.75" customHeight="1" x14ac:dyDescent="0.2">
      <c r="A67" s="2757"/>
      <c r="B67" s="2727"/>
      <c r="C67" s="2991"/>
      <c r="D67" s="3065"/>
      <c r="E67" s="2705"/>
      <c r="F67" s="1698"/>
      <c r="G67" s="3054"/>
      <c r="H67" s="2715"/>
      <c r="I67" s="3067"/>
      <c r="J67" s="40" t="s">
        <v>80</v>
      </c>
      <c r="K67" s="1967">
        <v>23199</v>
      </c>
      <c r="L67" s="1982">
        <v>23199</v>
      </c>
      <c r="M67" s="1616"/>
      <c r="O67" s="775"/>
    </row>
    <row r="68" spans="1:15" ht="27" customHeight="1" x14ac:dyDescent="0.2">
      <c r="A68" s="2757"/>
      <c r="B68" s="2727"/>
      <c r="C68" s="2991"/>
      <c r="D68" s="1939" t="s">
        <v>10</v>
      </c>
      <c r="E68" s="2704" t="s">
        <v>294</v>
      </c>
      <c r="F68" s="2716" t="s">
        <v>79</v>
      </c>
      <c r="G68" s="3053" t="s">
        <v>354</v>
      </c>
      <c r="H68" s="2711" t="s">
        <v>72</v>
      </c>
      <c r="I68" s="3058" t="s">
        <v>126</v>
      </c>
      <c r="J68" s="783" t="s">
        <v>74</v>
      </c>
      <c r="K68" s="1975">
        <f>6842.4/3.4528*1000</f>
        <v>1981696</v>
      </c>
      <c r="L68" s="1987">
        <f>6842.4/3.4528*1000</f>
        <v>1981696</v>
      </c>
      <c r="M68" s="1614"/>
    </row>
    <row r="69" spans="1:15" ht="26.25" customHeight="1" x14ac:dyDescent="0.2">
      <c r="A69" s="2757"/>
      <c r="B69" s="2727"/>
      <c r="C69" s="2991"/>
      <c r="D69" s="773"/>
      <c r="E69" s="2705"/>
      <c r="F69" s="2707"/>
      <c r="G69" s="3054"/>
      <c r="H69" s="2715"/>
      <c r="I69" s="3059"/>
      <c r="J69" s="40" t="s">
        <v>80</v>
      </c>
      <c r="K69" s="1992">
        <f>1701.8/3.4528*1000</f>
        <v>492875</v>
      </c>
      <c r="L69" s="439">
        <f>1701.8/3.4528*1000</f>
        <v>492875</v>
      </c>
      <c r="M69" s="1578"/>
    </row>
    <row r="70" spans="1:15" ht="14.25" customHeight="1" thickBot="1" x14ac:dyDescent="0.25">
      <c r="A70" s="1897"/>
      <c r="B70" s="1898"/>
      <c r="C70" s="1944"/>
      <c r="D70" s="441"/>
      <c r="E70" s="3049"/>
      <c r="F70" s="3049"/>
      <c r="G70" s="3049"/>
      <c r="H70" s="3049"/>
      <c r="I70" s="3060" t="s">
        <v>112</v>
      </c>
      <c r="J70" s="3061"/>
      <c r="K70" s="1710">
        <f>SUM(K65:K69)</f>
        <v>2809748</v>
      </c>
      <c r="L70" s="1980">
        <f>SUM(L65:L69)</f>
        <v>2809748</v>
      </c>
      <c r="M70" s="1647">
        <f>SUM(M65:M69)</f>
        <v>0</v>
      </c>
    </row>
    <row r="71" spans="1:15" s="73" customFormat="1" ht="17.25" customHeight="1" x14ac:dyDescent="0.2">
      <c r="A71" s="2755" t="s">
        <v>8</v>
      </c>
      <c r="B71" s="2847" t="s">
        <v>8</v>
      </c>
      <c r="C71" s="2854" t="s">
        <v>55</v>
      </c>
      <c r="D71" s="2854"/>
      <c r="E71" s="2857" t="s">
        <v>144</v>
      </c>
      <c r="F71" s="2781"/>
      <c r="G71" s="3138" t="s">
        <v>355</v>
      </c>
      <c r="H71" s="2738" t="s">
        <v>72</v>
      </c>
      <c r="I71" s="3140" t="s">
        <v>125</v>
      </c>
      <c r="J71" s="1700" t="s">
        <v>42</v>
      </c>
      <c r="K71" s="1993">
        <f>10/3.4528*1000</f>
        <v>2896</v>
      </c>
      <c r="L71" s="1994">
        <f>10/3.4528*1000</f>
        <v>2896</v>
      </c>
      <c r="M71" s="1699"/>
    </row>
    <row r="72" spans="1:15" ht="18.75" customHeight="1" x14ac:dyDescent="0.2">
      <c r="A72" s="2757"/>
      <c r="B72" s="2727"/>
      <c r="C72" s="2855"/>
      <c r="D72" s="2855"/>
      <c r="E72" s="2704"/>
      <c r="F72" s="2782"/>
      <c r="G72" s="3053"/>
      <c r="H72" s="2711"/>
      <c r="I72" s="3141"/>
      <c r="J72" s="40"/>
      <c r="K72" s="1992"/>
      <c r="L72" s="439"/>
      <c r="M72" s="1578"/>
    </row>
    <row r="73" spans="1:15" ht="16.5" customHeight="1" thickBot="1" x14ac:dyDescent="0.25">
      <c r="A73" s="2756"/>
      <c r="B73" s="2728"/>
      <c r="C73" s="2856"/>
      <c r="D73" s="2856"/>
      <c r="E73" s="2858"/>
      <c r="F73" s="2783"/>
      <c r="G73" s="3139"/>
      <c r="H73" s="2739"/>
      <c r="I73" s="3142"/>
      <c r="J73" s="1556" t="s">
        <v>9</v>
      </c>
      <c r="K73" s="1710">
        <f>SUM(K71:K72)</f>
        <v>2896</v>
      </c>
      <c r="L73" s="1980">
        <f>SUM(L71:L72)</f>
        <v>2896</v>
      </c>
      <c r="M73" s="1647">
        <f>SUM(M71:M72)</f>
        <v>0</v>
      </c>
    </row>
    <row r="74" spans="1:15" ht="17.25" customHeight="1" thickBot="1" x14ac:dyDescent="0.25">
      <c r="A74" s="382" t="s">
        <v>8</v>
      </c>
      <c r="B74" s="11" t="s">
        <v>8</v>
      </c>
      <c r="C74" s="2730" t="s">
        <v>11</v>
      </c>
      <c r="D74" s="2730"/>
      <c r="E74" s="2730"/>
      <c r="F74" s="2730"/>
      <c r="G74" s="2730"/>
      <c r="H74" s="2730"/>
      <c r="I74" s="2730"/>
      <c r="J74" s="2731"/>
      <c r="K74" s="1979">
        <f>K73+K70+K45+K39+K26+K63+K53</f>
        <v>4127881</v>
      </c>
      <c r="L74" s="1989">
        <f>L73+L70+L45+L39+L26+L63+L53</f>
        <v>4185281</v>
      </c>
      <c r="M74" s="1641">
        <f>M73+M70+M45+M39+M26+M63+M53</f>
        <v>57400</v>
      </c>
    </row>
    <row r="75" spans="1:15" ht="19.5" customHeight="1" thickBot="1" x14ac:dyDescent="0.25">
      <c r="A75" s="382" t="s">
        <v>8</v>
      </c>
      <c r="B75" s="11" t="s">
        <v>10</v>
      </c>
      <c r="C75" s="2770" t="s">
        <v>49</v>
      </c>
      <c r="D75" s="2770"/>
      <c r="E75" s="2770"/>
      <c r="F75" s="2770"/>
      <c r="G75" s="2770"/>
      <c r="H75" s="2770"/>
      <c r="I75" s="2770"/>
      <c r="J75" s="2770"/>
      <c r="K75" s="2771"/>
      <c r="L75" s="2771"/>
      <c r="M75" s="2771"/>
    </row>
    <row r="76" spans="1:15" ht="28.5" customHeight="1" x14ac:dyDescent="0.2">
      <c r="A76" s="1897" t="s">
        <v>8</v>
      </c>
      <c r="B76" s="1898" t="s">
        <v>10</v>
      </c>
      <c r="C76" s="1928" t="s">
        <v>8</v>
      </c>
      <c r="D76" s="682"/>
      <c r="E76" s="630" t="s">
        <v>99</v>
      </c>
      <c r="F76" s="1557" t="s">
        <v>316</v>
      </c>
      <c r="G76" s="1558"/>
      <c r="H76" s="622"/>
      <c r="I76" s="832"/>
      <c r="J76" s="1559"/>
      <c r="K76" s="1995"/>
      <c r="L76" s="2012"/>
      <c r="M76" s="2004"/>
      <c r="O76" s="14"/>
    </row>
    <row r="77" spans="1:15" ht="12" customHeight="1" x14ac:dyDescent="0.2">
      <c r="A77" s="1897"/>
      <c r="B77" s="1898"/>
      <c r="C77" s="1928"/>
      <c r="D77" s="1922" t="s">
        <v>8</v>
      </c>
      <c r="E77" s="1908" t="s">
        <v>87</v>
      </c>
      <c r="F77" s="1909"/>
      <c r="G77" s="3144">
        <v>6010303</v>
      </c>
      <c r="H77" s="1905"/>
      <c r="I77" s="3058" t="s">
        <v>128</v>
      </c>
      <c r="J77" s="242"/>
      <c r="K77" s="466"/>
      <c r="L77" s="132"/>
      <c r="M77" s="1307"/>
      <c r="O77" s="14"/>
    </row>
    <row r="78" spans="1:15" ht="18.75" customHeight="1" x14ac:dyDescent="0.2">
      <c r="A78" s="1897"/>
      <c r="B78" s="1898"/>
      <c r="C78" s="1928"/>
      <c r="D78" s="1922"/>
      <c r="E78" s="2703" t="s">
        <v>148</v>
      </c>
      <c r="F78" s="1701"/>
      <c r="G78" s="3145"/>
      <c r="H78" s="1905" t="s">
        <v>57</v>
      </c>
      <c r="I78" s="3058"/>
      <c r="J78" s="590" t="s">
        <v>42</v>
      </c>
      <c r="K78" s="1996">
        <f>16592.9/3.4528*1000</f>
        <v>4805636</v>
      </c>
      <c r="L78" s="2013">
        <f>16592.9/3.4528*1000</f>
        <v>4805636</v>
      </c>
      <c r="M78" s="2005"/>
      <c r="O78" s="14"/>
    </row>
    <row r="79" spans="1:15" ht="14.25" customHeight="1" x14ac:dyDescent="0.2">
      <c r="A79" s="1897"/>
      <c r="B79" s="1898"/>
      <c r="C79" s="1928"/>
      <c r="D79" s="1922"/>
      <c r="E79" s="2705"/>
      <c r="F79" s="1701"/>
      <c r="G79" s="3145"/>
      <c r="H79" s="1905"/>
      <c r="I79" s="3058"/>
      <c r="J79" s="592" t="s">
        <v>108</v>
      </c>
      <c r="K79" s="1997"/>
      <c r="L79" s="2014"/>
      <c r="M79" s="2006"/>
      <c r="O79" s="14"/>
    </row>
    <row r="80" spans="1:15" ht="27.75" customHeight="1" x14ac:dyDescent="0.2">
      <c r="A80" s="1897"/>
      <c r="B80" s="1898"/>
      <c r="C80" s="1928"/>
      <c r="D80" s="1922"/>
      <c r="E80" s="1916" t="s">
        <v>149</v>
      </c>
      <c r="F80" s="1701"/>
      <c r="G80" s="3145"/>
      <c r="H80" s="1905"/>
      <c r="I80" s="3058"/>
      <c r="J80" s="240" t="s">
        <v>42</v>
      </c>
      <c r="K80" s="1998">
        <f>45/3.4528*1000</f>
        <v>13033</v>
      </c>
      <c r="L80" s="588">
        <f>45/3.4528*1000</f>
        <v>13033</v>
      </c>
      <c r="M80" s="2007"/>
      <c r="O80" s="14"/>
    </row>
    <row r="81" spans="1:15" ht="28.5" customHeight="1" x14ac:dyDescent="0.2">
      <c r="A81" s="1897"/>
      <c r="B81" s="1898"/>
      <c r="C81" s="1928"/>
      <c r="D81" s="1922"/>
      <c r="E81" s="1900" t="s">
        <v>150</v>
      </c>
      <c r="F81" s="1909"/>
      <c r="G81" s="3146"/>
      <c r="H81" s="1905"/>
      <c r="I81" s="465"/>
      <c r="J81" s="240" t="s">
        <v>42</v>
      </c>
      <c r="K81" s="1998">
        <f>500/3.4528*1000</f>
        <v>144810</v>
      </c>
      <c r="L81" s="588">
        <f>144810-2823</f>
        <v>141987</v>
      </c>
      <c r="M81" s="2076">
        <f>L81-K81</f>
        <v>-2823</v>
      </c>
      <c r="N81" s="1731"/>
      <c r="O81" s="14"/>
    </row>
    <row r="82" spans="1:15" ht="16.5" customHeight="1" x14ac:dyDescent="0.2">
      <c r="A82" s="2757"/>
      <c r="B82" s="2727"/>
      <c r="C82" s="2991"/>
      <c r="D82" s="3030" t="s">
        <v>10</v>
      </c>
      <c r="E82" s="2926" t="s">
        <v>68</v>
      </c>
      <c r="F82" s="3055"/>
      <c r="G82" s="3056">
        <v>6010301</v>
      </c>
      <c r="H82" s="2710" t="s">
        <v>57</v>
      </c>
      <c r="I82" s="3003" t="s">
        <v>128</v>
      </c>
      <c r="J82" s="601" t="s">
        <v>42</v>
      </c>
      <c r="K82" s="1999">
        <f>189/3.4528*1000</f>
        <v>54738</v>
      </c>
      <c r="L82" s="2015">
        <f>189/3.4528*1000</f>
        <v>54738</v>
      </c>
      <c r="M82" s="2008"/>
      <c r="O82" s="14"/>
    </row>
    <row r="83" spans="1:15" ht="29.25" customHeight="1" x14ac:dyDescent="0.2">
      <c r="A83" s="2757"/>
      <c r="B83" s="2727"/>
      <c r="C83" s="2991"/>
      <c r="D83" s="3031"/>
      <c r="E83" s="2965"/>
      <c r="F83" s="3041"/>
      <c r="G83" s="3057"/>
      <c r="H83" s="2715"/>
      <c r="I83" s="3004"/>
      <c r="J83" s="242" t="s">
        <v>108</v>
      </c>
      <c r="K83" s="2000"/>
      <c r="L83" s="1982"/>
      <c r="M83" s="1708"/>
      <c r="O83" s="14"/>
    </row>
    <row r="84" spans="1:15" ht="29.25" customHeight="1" x14ac:dyDescent="0.2">
      <c r="A84" s="2757"/>
      <c r="B84" s="2727"/>
      <c r="C84" s="2991"/>
      <c r="D84" s="2855" t="s">
        <v>45</v>
      </c>
      <c r="E84" s="2786" t="s">
        <v>279</v>
      </c>
      <c r="F84" s="2748"/>
      <c r="G84" s="3149">
        <v>6010303</v>
      </c>
      <c r="H84" s="2711" t="s">
        <v>57</v>
      </c>
      <c r="I84" s="3058" t="s">
        <v>128</v>
      </c>
      <c r="J84" s="885" t="s">
        <v>108</v>
      </c>
      <c r="K84" s="2001">
        <v>3717</v>
      </c>
      <c r="L84" s="2016">
        <v>3717</v>
      </c>
      <c r="M84" s="2009"/>
      <c r="O84" s="14"/>
    </row>
    <row r="85" spans="1:15" ht="21" customHeight="1" x14ac:dyDescent="0.2">
      <c r="A85" s="2757"/>
      <c r="B85" s="2727"/>
      <c r="C85" s="2991"/>
      <c r="D85" s="3031"/>
      <c r="E85" s="2965"/>
      <c r="F85" s="3041"/>
      <c r="G85" s="3057"/>
      <c r="H85" s="2715"/>
      <c r="I85" s="3074"/>
      <c r="J85" s="242" t="s">
        <v>42</v>
      </c>
      <c r="K85" s="2000"/>
      <c r="L85" s="1982">
        <v>2823</v>
      </c>
      <c r="M85" s="2077">
        <f>L85-K85</f>
        <v>2823</v>
      </c>
      <c r="N85" s="130"/>
      <c r="O85" s="130"/>
    </row>
    <row r="86" spans="1:15" ht="14.25" customHeight="1" x14ac:dyDescent="0.2">
      <c r="A86" s="2757"/>
      <c r="B86" s="2727"/>
      <c r="C86" s="2991"/>
      <c r="D86" s="3030" t="s">
        <v>50</v>
      </c>
      <c r="E86" s="2926" t="s">
        <v>145</v>
      </c>
      <c r="F86" s="3055"/>
      <c r="G86" s="3056">
        <v>6010308</v>
      </c>
      <c r="H86" s="2710" t="s">
        <v>57</v>
      </c>
      <c r="I86" s="3058"/>
      <c r="J86" s="601" t="s">
        <v>122</v>
      </c>
      <c r="K86" s="2002">
        <f>500/3.4528*1000</f>
        <v>144810</v>
      </c>
      <c r="L86" s="806">
        <f>500/3.4528*1000</f>
        <v>144810</v>
      </c>
      <c r="M86" s="2010"/>
      <c r="O86" s="14"/>
    </row>
    <row r="87" spans="1:15" ht="30" customHeight="1" x14ac:dyDescent="0.2">
      <c r="A87" s="2757"/>
      <c r="B87" s="2727"/>
      <c r="C87" s="2991"/>
      <c r="D87" s="3031"/>
      <c r="E87" s="2965"/>
      <c r="F87" s="3041"/>
      <c r="G87" s="3057"/>
      <c r="H87" s="2715"/>
      <c r="I87" s="3059"/>
      <c r="J87" s="242" t="s">
        <v>133</v>
      </c>
      <c r="K87" s="2000"/>
      <c r="L87" s="1982"/>
      <c r="M87" s="1708"/>
      <c r="O87" s="14"/>
    </row>
    <row r="88" spans="1:15" ht="14.25" customHeight="1" thickBot="1" x14ac:dyDescent="0.25">
      <c r="A88" s="1897"/>
      <c r="B88" s="1898"/>
      <c r="C88" s="1944"/>
      <c r="D88" s="441"/>
      <c r="E88" s="3049"/>
      <c r="F88" s="3049"/>
      <c r="G88" s="3049"/>
      <c r="H88" s="3049"/>
      <c r="I88" s="3060" t="s">
        <v>112</v>
      </c>
      <c r="J88" s="3123"/>
      <c r="K88" s="1710">
        <f>SUM(K78:K87)</f>
        <v>5166744</v>
      </c>
      <c r="L88" s="1980">
        <f>SUM(L78:L87)</f>
        <v>5166744</v>
      </c>
      <c r="M88" s="2011">
        <f>SUM(M78:M87)</f>
        <v>0</v>
      </c>
      <c r="O88" s="14"/>
    </row>
    <row r="89" spans="1:15" ht="17.25" customHeight="1" thickBot="1" x14ac:dyDescent="0.25">
      <c r="A89" s="383" t="s">
        <v>8</v>
      </c>
      <c r="B89" s="11" t="s">
        <v>10</v>
      </c>
      <c r="C89" s="2730" t="s">
        <v>11</v>
      </c>
      <c r="D89" s="2730"/>
      <c r="E89" s="2730"/>
      <c r="F89" s="2730"/>
      <c r="G89" s="2730"/>
      <c r="H89" s="2730"/>
      <c r="I89" s="2730"/>
      <c r="J89" s="2731"/>
      <c r="K89" s="2003">
        <f t="shared" ref="K89:M89" si="0">K88</f>
        <v>5166744</v>
      </c>
      <c r="L89" s="1989">
        <f t="shared" ref="L89" si="1">L88</f>
        <v>5166744</v>
      </c>
      <c r="M89" s="1641">
        <f t="shared" si="0"/>
        <v>0</v>
      </c>
    </row>
    <row r="90" spans="1:15" ht="16.5" customHeight="1" thickBot="1" x14ac:dyDescent="0.25">
      <c r="A90" s="382" t="s">
        <v>8</v>
      </c>
      <c r="B90" s="11" t="s">
        <v>45</v>
      </c>
      <c r="C90" s="2820" t="s">
        <v>51</v>
      </c>
      <c r="D90" s="2821"/>
      <c r="E90" s="2821"/>
      <c r="F90" s="2821"/>
      <c r="G90" s="2821"/>
      <c r="H90" s="2821"/>
      <c r="I90" s="2821"/>
      <c r="J90" s="2821"/>
      <c r="K90" s="2821"/>
      <c r="L90" s="2821"/>
      <c r="M90" s="2821"/>
    </row>
    <row r="91" spans="1:15" ht="25.5" customHeight="1" x14ac:dyDescent="0.2">
      <c r="A91" s="2755" t="s">
        <v>8</v>
      </c>
      <c r="B91" s="2847" t="s">
        <v>45</v>
      </c>
      <c r="C91" s="2990" t="s">
        <v>8</v>
      </c>
      <c r="D91" s="1921"/>
      <c r="E91" s="630" t="s">
        <v>317</v>
      </c>
      <c r="F91" s="1564" t="s">
        <v>141</v>
      </c>
      <c r="G91" s="621"/>
      <c r="H91" s="1172"/>
      <c r="I91" s="631"/>
      <c r="J91" s="19"/>
      <c r="K91" s="2018"/>
      <c r="L91" s="24"/>
      <c r="M91" s="2017"/>
      <c r="O91" s="14"/>
    </row>
    <row r="92" spans="1:15" ht="13.5" customHeight="1" x14ac:dyDescent="0.2">
      <c r="A92" s="2757"/>
      <c r="B92" s="2727"/>
      <c r="C92" s="2991"/>
      <c r="D92" s="1922" t="s">
        <v>8</v>
      </c>
      <c r="E92" s="2704" t="s">
        <v>116</v>
      </c>
      <c r="F92" s="1719"/>
      <c r="G92" s="3001" t="s">
        <v>356</v>
      </c>
      <c r="H92" s="1911" t="s">
        <v>57</v>
      </c>
      <c r="I92" s="3151" t="s">
        <v>132</v>
      </c>
      <c r="J92" s="512" t="s">
        <v>58</v>
      </c>
      <c r="K92" s="2019">
        <f>525.9/3.4528*1000</f>
        <v>152311</v>
      </c>
      <c r="L92" s="2016">
        <f>525.9/3.4528*1000</f>
        <v>152311</v>
      </c>
      <c r="M92" s="1624"/>
      <c r="O92" s="14"/>
    </row>
    <row r="93" spans="1:15" ht="26.25" customHeight="1" x14ac:dyDescent="0.2">
      <c r="A93" s="2757"/>
      <c r="B93" s="2727"/>
      <c r="C93" s="2991"/>
      <c r="D93" s="1922"/>
      <c r="E93" s="2704"/>
      <c r="F93" s="3154" t="s">
        <v>137</v>
      </c>
      <c r="G93" s="3014"/>
      <c r="H93" s="1905"/>
      <c r="I93" s="3152"/>
      <c r="J93" s="836" t="s">
        <v>122</v>
      </c>
      <c r="K93" s="2019">
        <f>364.8/3.4528*1000</f>
        <v>105653</v>
      </c>
      <c r="L93" s="2016">
        <f>364.8/3.4528*1000</f>
        <v>105653</v>
      </c>
      <c r="M93" s="1624"/>
      <c r="O93" s="14"/>
    </row>
    <row r="94" spans="1:15" ht="14.25" customHeight="1" x14ac:dyDescent="0.2">
      <c r="A94" s="2757"/>
      <c r="B94" s="2727"/>
      <c r="C94" s="2991"/>
      <c r="D94" s="1922"/>
      <c r="E94" s="2704"/>
      <c r="F94" s="2995"/>
      <c r="G94" s="3014"/>
      <c r="H94" s="1905"/>
      <c r="I94" s="3152"/>
      <c r="J94" s="1463"/>
      <c r="K94" s="2020"/>
      <c r="L94" s="2021"/>
      <c r="M94" s="1776"/>
      <c r="O94" s="14"/>
    </row>
    <row r="95" spans="1:15" ht="15" customHeight="1" x14ac:dyDescent="0.2">
      <c r="A95" s="2757"/>
      <c r="B95" s="2727"/>
      <c r="C95" s="2991"/>
      <c r="D95" s="1922"/>
      <c r="E95" s="1901"/>
      <c r="F95" s="1952"/>
      <c r="G95" s="1951"/>
      <c r="H95" s="982"/>
      <c r="I95" s="3152"/>
      <c r="J95" s="1463" t="s">
        <v>133</v>
      </c>
      <c r="K95" s="2020">
        <v>65825</v>
      </c>
      <c r="L95" s="2021">
        <v>65825</v>
      </c>
      <c r="M95" s="1776"/>
      <c r="O95" s="14"/>
    </row>
    <row r="96" spans="1:15" ht="15" customHeight="1" x14ac:dyDescent="0.2">
      <c r="A96" s="2757"/>
      <c r="B96" s="2727"/>
      <c r="C96" s="2991"/>
      <c r="D96" s="1934" t="s">
        <v>10</v>
      </c>
      <c r="E96" s="3301" t="s">
        <v>117</v>
      </c>
      <c r="F96" s="3042" t="s">
        <v>137</v>
      </c>
      <c r="G96" s="3019" t="s">
        <v>357</v>
      </c>
      <c r="H96" s="710" t="s">
        <v>57</v>
      </c>
      <c r="I96" s="3153"/>
      <c r="J96" s="1079" t="s">
        <v>58</v>
      </c>
      <c r="K96" s="1969">
        <f>600.1/3.4528*1000</f>
        <v>173801</v>
      </c>
      <c r="L96" s="586">
        <f>173801+1110</f>
        <v>174911</v>
      </c>
      <c r="M96" s="2066">
        <f>L96-K96</f>
        <v>1110</v>
      </c>
      <c r="O96" s="14"/>
    </row>
    <row r="97" spans="1:15" ht="21.75" customHeight="1" x14ac:dyDescent="0.2">
      <c r="A97" s="2757"/>
      <c r="B97" s="2727"/>
      <c r="C97" s="2991"/>
      <c r="D97" s="1922"/>
      <c r="E97" s="3302"/>
      <c r="F97" s="3043"/>
      <c r="G97" s="3044"/>
      <c r="H97" s="982"/>
      <c r="I97" s="1933"/>
      <c r="J97" s="20"/>
      <c r="K97" s="1709"/>
      <c r="L97" s="2013"/>
      <c r="M97" s="1651"/>
      <c r="O97" s="14"/>
    </row>
    <row r="98" spans="1:15" ht="23.25" customHeight="1" x14ac:dyDescent="0.2">
      <c r="A98" s="2757"/>
      <c r="B98" s="2727"/>
      <c r="C98" s="2991"/>
      <c r="D98" s="3063" t="s">
        <v>45</v>
      </c>
      <c r="E98" s="3070" t="s">
        <v>328</v>
      </c>
      <c r="F98" s="2960" t="s">
        <v>79</v>
      </c>
      <c r="G98" s="3155" t="s">
        <v>358</v>
      </c>
      <c r="H98" s="2961" t="s">
        <v>72</v>
      </c>
      <c r="I98" s="3016" t="s">
        <v>125</v>
      </c>
      <c r="J98" s="740" t="s">
        <v>58</v>
      </c>
      <c r="K98" s="1974">
        <f>30/3.4528*1000</f>
        <v>8689</v>
      </c>
      <c r="L98" s="658">
        <f>30/3.4528*1000</f>
        <v>8689</v>
      </c>
      <c r="M98" s="1615"/>
    </row>
    <row r="99" spans="1:15" ht="21" customHeight="1" x14ac:dyDescent="0.2">
      <c r="A99" s="2757"/>
      <c r="B99" s="2727"/>
      <c r="C99" s="2991"/>
      <c r="D99" s="3065"/>
      <c r="E99" s="2764"/>
      <c r="F99" s="2765"/>
      <c r="G99" s="3156"/>
      <c r="H99" s="2767"/>
      <c r="I99" s="3113"/>
      <c r="J99" s="40" t="s">
        <v>75</v>
      </c>
      <c r="K99" s="1578"/>
      <c r="L99" s="1578"/>
      <c r="M99" s="1578"/>
      <c r="O99" s="14"/>
    </row>
    <row r="100" spans="1:15" ht="42.75" customHeight="1" x14ac:dyDescent="0.2">
      <c r="A100" s="2757"/>
      <c r="B100" s="2727"/>
      <c r="C100" s="2991"/>
      <c r="D100" s="663" t="s">
        <v>50</v>
      </c>
      <c r="E100" s="1932" t="s">
        <v>296</v>
      </c>
      <c r="F100" s="813"/>
      <c r="G100" s="1720" t="s">
        <v>359</v>
      </c>
      <c r="H100" s="1913" t="s">
        <v>57</v>
      </c>
      <c r="I100" s="1111" t="s">
        <v>129</v>
      </c>
      <c r="J100" s="666" t="s">
        <v>42</v>
      </c>
      <c r="K100" s="1616">
        <f>18/3.4528*1000</f>
        <v>5213</v>
      </c>
      <c r="L100" s="1616">
        <f>18/3.4528*1000</f>
        <v>5213</v>
      </c>
      <c r="M100" s="1616"/>
    </row>
    <row r="101" spans="1:15" ht="15" customHeight="1" thickBot="1" x14ac:dyDescent="0.25">
      <c r="A101" s="2756"/>
      <c r="B101" s="2728"/>
      <c r="C101" s="2993"/>
      <c r="D101" s="441"/>
      <c r="E101" s="3049"/>
      <c r="F101" s="3049"/>
      <c r="G101" s="3049"/>
      <c r="H101" s="3049"/>
      <c r="I101" s="3060" t="s">
        <v>112</v>
      </c>
      <c r="J101" s="3061"/>
      <c r="K101" s="1647">
        <f>SUM(K91:K100)</f>
        <v>511492</v>
      </c>
      <c r="L101" s="1647">
        <f>SUM(L91:L100)</f>
        <v>512602</v>
      </c>
      <c r="M101" s="1647">
        <f>SUM(M91:M100)</f>
        <v>1110</v>
      </c>
      <c r="O101" s="14"/>
    </row>
    <row r="102" spans="1:15" ht="20.25" customHeight="1" x14ac:dyDescent="0.2">
      <c r="A102" s="2755" t="s">
        <v>8</v>
      </c>
      <c r="B102" s="2847" t="s">
        <v>45</v>
      </c>
      <c r="C102" s="2990" t="s">
        <v>10</v>
      </c>
      <c r="D102" s="1921"/>
      <c r="E102" s="2743" t="s">
        <v>60</v>
      </c>
      <c r="F102" s="1704"/>
      <c r="G102" s="3046" t="s">
        <v>360</v>
      </c>
      <c r="H102" s="1702" t="s">
        <v>57</v>
      </c>
      <c r="I102" s="3165" t="s">
        <v>166</v>
      </c>
      <c r="J102" s="841" t="s">
        <v>122</v>
      </c>
      <c r="K102" s="1577">
        <f>1110/3.4528*1000</f>
        <v>321478</v>
      </c>
      <c r="L102" s="1577">
        <f>1110/3.4528*1000</f>
        <v>321478</v>
      </c>
      <c r="M102" s="1577"/>
      <c r="O102" s="14"/>
    </row>
    <row r="103" spans="1:15" ht="21" customHeight="1" x14ac:dyDescent="0.2">
      <c r="A103" s="2757"/>
      <c r="B103" s="2727"/>
      <c r="C103" s="2991"/>
      <c r="D103" s="1922"/>
      <c r="E103" s="3045"/>
      <c r="F103" s="3159"/>
      <c r="G103" s="3047"/>
      <c r="H103" s="1703"/>
      <c r="I103" s="3074"/>
      <c r="J103" s="842" t="s">
        <v>133</v>
      </c>
      <c r="K103" s="1578">
        <v>6482</v>
      </c>
      <c r="L103" s="1578">
        <v>6482</v>
      </c>
      <c r="M103" s="1578"/>
      <c r="O103" s="14"/>
    </row>
    <row r="104" spans="1:15" ht="28.5" customHeight="1" x14ac:dyDescent="0.2">
      <c r="A104" s="2757"/>
      <c r="B104" s="2727"/>
      <c r="C104" s="2991"/>
      <c r="D104" s="1922"/>
      <c r="E104" s="3045"/>
      <c r="F104" s="3159"/>
      <c r="G104" s="3047"/>
      <c r="H104" s="1703"/>
      <c r="I104" s="3004"/>
      <c r="J104" s="840" t="s">
        <v>122</v>
      </c>
      <c r="K104" s="1579">
        <f>40/3.4528*1000</f>
        <v>11585</v>
      </c>
      <c r="L104" s="1579">
        <f>40/3.4528*1000</f>
        <v>11585</v>
      </c>
      <c r="M104" s="1579"/>
      <c r="O104" s="14"/>
    </row>
    <row r="105" spans="1:15" ht="27.75" customHeight="1" x14ac:dyDescent="0.2">
      <c r="A105" s="2757"/>
      <c r="B105" s="2727"/>
      <c r="C105" s="2991"/>
      <c r="D105" s="1922"/>
      <c r="E105" s="2935"/>
      <c r="F105" s="3160"/>
      <c r="G105" s="3047"/>
      <c r="H105" s="1703"/>
      <c r="I105" s="3161" t="s">
        <v>132</v>
      </c>
      <c r="J105" s="840" t="s">
        <v>122</v>
      </c>
      <c r="K105" s="1964">
        <f>50/3.4528*1000</f>
        <v>14481</v>
      </c>
      <c r="L105" s="588">
        <f>50/3.4528*1000</f>
        <v>14481</v>
      </c>
      <c r="M105" s="1580"/>
      <c r="O105" s="14"/>
    </row>
    <row r="106" spans="1:15" ht="17.25" customHeight="1" x14ac:dyDescent="0.2">
      <c r="A106" s="2757"/>
      <c r="B106" s="2727"/>
      <c r="C106" s="2991"/>
      <c r="D106" s="1922"/>
      <c r="E106" s="1916"/>
      <c r="F106" s="3160"/>
      <c r="G106" s="3047"/>
      <c r="H106" s="1703"/>
      <c r="I106" s="3074"/>
      <c r="J106" s="840" t="s">
        <v>122</v>
      </c>
      <c r="K106" s="1964">
        <f>480.2/3.4528*1000</f>
        <v>139076</v>
      </c>
      <c r="L106" s="588">
        <f>480.2/3.4528*1000</f>
        <v>139076</v>
      </c>
      <c r="M106" s="1580"/>
      <c r="O106" s="14"/>
    </row>
    <row r="107" spans="1:15" ht="25.5" customHeight="1" x14ac:dyDescent="0.2">
      <c r="A107" s="2757"/>
      <c r="B107" s="2727"/>
      <c r="C107" s="2991"/>
      <c r="D107" s="1935"/>
      <c r="E107" s="1936"/>
      <c r="F107" s="1705"/>
      <c r="G107" s="3048"/>
      <c r="H107" s="1572"/>
      <c r="I107" s="3004"/>
      <c r="J107" s="840" t="s">
        <v>122</v>
      </c>
      <c r="K107" s="1964">
        <f>50/3.4528*1000</f>
        <v>14481</v>
      </c>
      <c r="L107" s="588">
        <f>50/3.4528*1000</f>
        <v>14481</v>
      </c>
      <c r="M107" s="1580"/>
      <c r="O107" s="14"/>
    </row>
    <row r="108" spans="1:15" ht="15.75" customHeight="1" thickBot="1" x14ac:dyDescent="0.25">
      <c r="A108" s="2757"/>
      <c r="B108" s="2727"/>
      <c r="C108" s="2992"/>
      <c r="D108" s="446"/>
      <c r="E108" s="1569"/>
      <c r="F108" s="1570"/>
      <c r="G108" s="1571"/>
      <c r="H108" s="754"/>
      <c r="I108" s="3060" t="s">
        <v>112</v>
      </c>
      <c r="J108" s="3061"/>
      <c r="K108" s="1710">
        <f>SUM(K102:K107)</f>
        <v>507583</v>
      </c>
      <c r="L108" s="1980">
        <f>SUM(L102:L107)</f>
        <v>507583</v>
      </c>
      <c r="M108" s="1647">
        <f>SUM(M102:M107)</f>
        <v>0</v>
      </c>
      <c r="O108" s="14"/>
    </row>
    <row r="109" spans="1:15" ht="27.75" customHeight="1" x14ac:dyDescent="0.2">
      <c r="A109" s="2755" t="s">
        <v>8</v>
      </c>
      <c r="B109" s="2847" t="s">
        <v>45</v>
      </c>
      <c r="C109" s="1943" t="s">
        <v>45</v>
      </c>
      <c r="D109" s="1903"/>
      <c r="E109" s="1907" t="s">
        <v>172</v>
      </c>
      <c r="F109" s="1706" t="s">
        <v>79</v>
      </c>
      <c r="G109" s="3162" t="s">
        <v>361</v>
      </c>
      <c r="H109" s="1904" t="s">
        <v>57</v>
      </c>
      <c r="I109" s="3164" t="s">
        <v>167</v>
      </c>
      <c r="J109" s="94" t="s">
        <v>122</v>
      </c>
      <c r="K109" s="1965">
        <f>200/3.4528*1000</f>
        <v>57924</v>
      </c>
      <c r="L109" s="1981">
        <f>200/3.4528*1000</f>
        <v>57924</v>
      </c>
      <c r="M109" s="1648"/>
      <c r="O109" s="14"/>
    </row>
    <row r="110" spans="1:15" ht="30" customHeight="1" x14ac:dyDescent="0.2">
      <c r="A110" s="2757"/>
      <c r="B110" s="2727"/>
      <c r="C110" s="1928"/>
      <c r="D110" s="1899"/>
      <c r="E110" s="1908"/>
      <c r="F110" s="1707"/>
      <c r="G110" s="3163"/>
      <c r="H110" s="1905"/>
      <c r="I110" s="3074"/>
      <c r="J110" s="992"/>
      <c r="K110" s="1966"/>
      <c r="L110" s="210"/>
      <c r="M110" s="1692"/>
      <c r="O110" s="14"/>
    </row>
    <row r="111" spans="1:15" ht="27" customHeight="1" x14ac:dyDescent="0.2">
      <c r="A111" s="2757"/>
      <c r="B111" s="2727"/>
      <c r="C111" s="1928"/>
      <c r="D111" s="1935"/>
      <c r="E111" s="1575"/>
      <c r="F111" s="1938"/>
      <c r="G111" s="3002"/>
      <c r="H111" s="1913"/>
      <c r="I111" s="3004"/>
      <c r="J111" s="246"/>
      <c r="K111" s="1967"/>
      <c r="L111" s="1982"/>
      <c r="M111" s="1616"/>
      <c r="O111" s="14"/>
    </row>
    <row r="112" spans="1:15" ht="15" customHeight="1" thickBot="1" x14ac:dyDescent="0.25">
      <c r="A112" s="2756"/>
      <c r="B112" s="2728"/>
      <c r="C112" s="1945"/>
      <c r="D112" s="446"/>
      <c r="E112" s="1573"/>
      <c r="F112" s="1574"/>
      <c r="G112" s="1571"/>
      <c r="H112" s="446"/>
      <c r="I112" s="3060" t="s">
        <v>112</v>
      </c>
      <c r="J112" s="3061"/>
      <c r="K112" s="1710">
        <f>SUM(K109:K111)</f>
        <v>57924</v>
      </c>
      <c r="L112" s="1980">
        <f>SUM(L109:L111)</f>
        <v>57924</v>
      </c>
      <c r="M112" s="1647">
        <f>SUM(M109:M111)</f>
        <v>0</v>
      </c>
      <c r="O112" s="14"/>
    </row>
    <row r="113" spans="1:15" ht="28.5" customHeight="1" x14ac:dyDescent="0.2">
      <c r="A113" s="1897" t="s">
        <v>8</v>
      </c>
      <c r="B113" s="1898" t="s">
        <v>45</v>
      </c>
      <c r="C113" s="1928" t="s">
        <v>50</v>
      </c>
      <c r="D113" s="1930"/>
      <c r="E113" s="1724" t="s">
        <v>228</v>
      </c>
      <c r="F113" s="1909"/>
      <c r="G113" s="1937"/>
      <c r="H113" s="1905"/>
      <c r="I113" s="566"/>
      <c r="J113" s="246"/>
      <c r="K113" s="1968"/>
      <c r="L113" s="1983"/>
      <c r="M113" s="1649"/>
      <c r="O113" s="14"/>
    </row>
    <row r="114" spans="1:15" ht="30.75" customHeight="1" x14ac:dyDescent="0.2">
      <c r="A114" s="1925"/>
      <c r="B114" s="1898"/>
      <c r="C114" s="1928"/>
      <c r="D114" s="1930" t="s">
        <v>8</v>
      </c>
      <c r="E114" s="565" t="s">
        <v>219</v>
      </c>
      <c r="F114" s="567"/>
      <c r="G114" s="1953" t="s">
        <v>362</v>
      </c>
      <c r="H114" s="1941" t="s">
        <v>57</v>
      </c>
      <c r="I114" s="563" t="s">
        <v>167</v>
      </c>
      <c r="J114" s="840" t="s">
        <v>122</v>
      </c>
      <c r="K114" s="1964">
        <f>20/3.4528*1000</f>
        <v>5792</v>
      </c>
      <c r="L114" s="588">
        <f>20/3.4528*1000</f>
        <v>5792</v>
      </c>
      <c r="M114" s="1580"/>
      <c r="O114" s="14"/>
    </row>
    <row r="115" spans="1:15" ht="17.25" customHeight="1" x14ac:dyDescent="0.2">
      <c r="A115" s="1925"/>
      <c r="B115" s="1898"/>
      <c r="C115" s="1928"/>
      <c r="D115" s="2961" t="s">
        <v>10</v>
      </c>
      <c r="E115" s="3299" t="s">
        <v>388</v>
      </c>
      <c r="F115" s="3023" t="s">
        <v>214</v>
      </c>
      <c r="G115" s="3025" t="s">
        <v>363</v>
      </c>
      <c r="H115" s="3026" t="s">
        <v>57</v>
      </c>
      <c r="I115" s="3027" t="s">
        <v>132</v>
      </c>
      <c r="J115" s="1079" t="s">
        <v>122</v>
      </c>
      <c r="K115" s="2073">
        <f>50/3.4528*1000</f>
        <v>14481</v>
      </c>
      <c r="L115" s="586">
        <f>14181+71556</f>
        <v>85737</v>
      </c>
      <c r="M115" s="1725">
        <f>L115-K115</f>
        <v>71256</v>
      </c>
      <c r="O115" s="14"/>
    </row>
    <row r="116" spans="1:15" ht="75.75" customHeight="1" x14ac:dyDescent="0.2">
      <c r="A116" s="1925"/>
      <c r="B116" s="1898"/>
      <c r="C116" s="1928"/>
      <c r="D116" s="2767"/>
      <c r="E116" s="3300"/>
      <c r="F116" s="3024"/>
      <c r="G116" s="3025"/>
      <c r="H116" s="3026"/>
      <c r="I116" s="3028"/>
      <c r="J116" s="246"/>
      <c r="K116" s="1967"/>
      <c r="L116" s="1982"/>
      <c r="M116" s="1616"/>
      <c r="O116" s="14"/>
    </row>
    <row r="117" spans="1:15" ht="15.75" customHeight="1" thickBot="1" x14ac:dyDescent="0.25">
      <c r="A117" s="1946"/>
      <c r="B117" s="1902"/>
      <c r="C117" s="446"/>
      <c r="D117" s="448"/>
      <c r="E117" s="448"/>
      <c r="F117" s="453"/>
      <c r="G117" s="453"/>
      <c r="H117" s="453"/>
      <c r="I117" s="3005" t="s">
        <v>112</v>
      </c>
      <c r="J117" s="3006"/>
      <c r="K117" s="1970">
        <f>SUM(K114:K116)</f>
        <v>20273</v>
      </c>
      <c r="L117" s="1984">
        <f>SUM(L114:L116)</f>
        <v>91529</v>
      </c>
      <c r="M117" s="1640">
        <f>SUM(M114:M116)</f>
        <v>71256</v>
      </c>
      <c r="O117" s="14"/>
    </row>
    <row r="118" spans="1:15" ht="14.25" customHeight="1" x14ac:dyDescent="0.2">
      <c r="A118" s="2755" t="s">
        <v>8</v>
      </c>
      <c r="B118" s="2847" t="s">
        <v>45</v>
      </c>
      <c r="C118" s="2732" t="s">
        <v>52</v>
      </c>
      <c r="D118" s="2854"/>
      <c r="E118" s="2743" t="s">
        <v>81</v>
      </c>
      <c r="F118" s="3166" t="s">
        <v>135</v>
      </c>
      <c r="G118" s="3169" t="s">
        <v>364</v>
      </c>
      <c r="H118" s="2738" t="s">
        <v>98</v>
      </c>
      <c r="I118" s="3170" t="s">
        <v>113</v>
      </c>
      <c r="J118" s="94" t="s">
        <v>42</v>
      </c>
      <c r="K118" s="1969">
        <f>340/3.4528*1000</f>
        <v>98471</v>
      </c>
      <c r="L118" s="586">
        <f>340/3.4528*1000</f>
        <v>98471</v>
      </c>
      <c r="M118" s="1617"/>
      <c r="O118" s="14"/>
    </row>
    <row r="119" spans="1:15" ht="14.25" customHeight="1" x14ac:dyDescent="0.2">
      <c r="A119" s="2757"/>
      <c r="B119" s="2727"/>
      <c r="C119" s="2709"/>
      <c r="D119" s="2855"/>
      <c r="E119" s="2786"/>
      <c r="F119" s="3167"/>
      <c r="G119" s="3010"/>
      <c r="H119" s="2711"/>
      <c r="I119" s="3012"/>
      <c r="J119" s="1091"/>
      <c r="K119" s="1967"/>
      <c r="L119" s="1982"/>
      <c r="M119" s="1708"/>
      <c r="O119" s="14"/>
    </row>
    <row r="120" spans="1:15" ht="16.5" customHeight="1" thickBot="1" x14ac:dyDescent="0.25">
      <c r="A120" s="2756"/>
      <c r="B120" s="2728"/>
      <c r="C120" s="2729"/>
      <c r="D120" s="2856"/>
      <c r="E120" s="2787"/>
      <c r="F120" s="3168"/>
      <c r="G120" s="3011"/>
      <c r="H120" s="2739"/>
      <c r="I120" s="145"/>
      <c r="J120" s="1556" t="s">
        <v>9</v>
      </c>
      <c r="K120" s="1971">
        <f>SUM(K118:K119)</f>
        <v>98471</v>
      </c>
      <c r="L120" s="1985">
        <f>SUM(L118:L119)</f>
        <v>98471</v>
      </c>
      <c r="M120" s="1990">
        <f>SUM(M118:M119)</f>
        <v>0</v>
      </c>
      <c r="O120" s="14"/>
    </row>
    <row r="121" spans="1:15" ht="15" customHeight="1" x14ac:dyDescent="0.2">
      <c r="A121" s="2755" t="s">
        <v>8</v>
      </c>
      <c r="B121" s="2847" t="s">
        <v>45</v>
      </c>
      <c r="C121" s="2732" t="s">
        <v>54</v>
      </c>
      <c r="D121" s="2854"/>
      <c r="E121" s="2743" t="s">
        <v>91</v>
      </c>
      <c r="F121" s="2747" t="s">
        <v>79</v>
      </c>
      <c r="G121" s="3171" t="s">
        <v>365</v>
      </c>
      <c r="H121" s="2738" t="s">
        <v>72</v>
      </c>
      <c r="I121" s="3170" t="s">
        <v>125</v>
      </c>
      <c r="J121" s="19" t="s">
        <v>58</v>
      </c>
      <c r="K121" s="1972">
        <f>250/3.4528*1000</f>
        <v>72405</v>
      </c>
      <c r="L121" s="727">
        <f>250/3.4528*1000</f>
        <v>72405</v>
      </c>
      <c r="M121" s="1653"/>
      <c r="O121" s="14"/>
    </row>
    <row r="122" spans="1:15" ht="22.5" customHeight="1" x14ac:dyDescent="0.2">
      <c r="A122" s="2757"/>
      <c r="B122" s="2727"/>
      <c r="C122" s="2709"/>
      <c r="D122" s="2855"/>
      <c r="E122" s="2786"/>
      <c r="F122" s="2748"/>
      <c r="G122" s="3172"/>
      <c r="H122" s="2711"/>
      <c r="I122" s="3012"/>
      <c r="J122" s="88" t="s">
        <v>122</v>
      </c>
      <c r="K122" s="1973">
        <f>50/3.4528*1000</f>
        <v>14481</v>
      </c>
      <c r="L122" s="1986">
        <f>50/3.4528*1000</f>
        <v>14481</v>
      </c>
      <c r="M122" s="1639"/>
      <c r="O122" s="14"/>
    </row>
    <row r="123" spans="1:15" ht="17.25" customHeight="1" thickBot="1" x14ac:dyDescent="0.25">
      <c r="A123" s="2756"/>
      <c r="B123" s="2728"/>
      <c r="C123" s="2729"/>
      <c r="D123" s="2856"/>
      <c r="E123" s="2787"/>
      <c r="F123" s="2749"/>
      <c r="G123" s="3173"/>
      <c r="H123" s="2739"/>
      <c r="I123" s="3174"/>
      <c r="J123" s="1556" t="s">
        <v>9</v>
      </c>
      <c r="K123" s="1710">
        <f>K121+K122</f>
        <v>86886</v>
      </c>
      <c r="L123" s="1980">
        <f>L121+L122</f>
        <v>86886</v>
      </c>
      <c r="M123" s="1647">
        <f>M121+M122</f>
        <v>0</v>
      </c>
      <c r="O123" s="14"/>
    </row>
    <row r="124" spans="1:15" ht="17.25" customHeight="1" x14ac:dyDescent="0.2">
      <c r="A124" s="1918" t="s">
        <v>8</v>
      </c>
      <c r="B124" s="1919" t="s">
        <v>45</v>
      </c>
      <c r="C124" s="1943" t="s">
        <v>55</v>
      </c>
      <c r="D124" s="178"/>
      <c r="E124" s="899" t="s">
        <v>221</v>
      </c>
      <c r="F124" s="1958" t="s">
        <v>206</v>
      </c>
      <c r="G124" s="1949"/>
      <c r="H124" s="1904"/>
      <c r="I124" s="1959"/>
      <c r="J124" s="19"/>
      <c r="K124" s="1968"/>
      <c r="L124" s="1983"/>
      <c r="M124" s="1649"/>
      <c r="O124" s="14"/>
    </row>
    <row r="125" spans="1:15" ht="17.25" customHeight="1" x14ac:dyDescent="0.2">
      <c r="A125" s="1897"/>
      <c r="B125" s="1898"/>
      <c r="C125" s="1928"/>
      <c r="D125" s="3030" t="s">
        <v>8</v>
      </c>
      <c r="E125" s="2850" t="s">
        <v>329</v>
      </c>
      <c r="F125" s="1910" t="s">
        <v>79</v>
      </c>
      <c r="G125" s="3001" t="s">
        <v>366</v>
      </c>
      <c r="H125" s="2710" t="s">
        <v>72</v>
      </c>
      <c r="I125" s="3037" t="s">
        <v>131</v>
      </c>
      <c r="J125" s="512" t="s">
        <v>122</v>
      </c>
      <c r="K125" s="1974">
        <f>30/3.4528*1000</f>
        <v>8689</v>
      </c>
      <c r="L125" s="658">
        <f>30/3.4528*1000</f>
        <v>8689</v>
      </c>
      <c r="M125" s="1615"/>
      <c r="O125" s="14"/>
    </row>
    <row r="126" spans="1:15" ht="24" customHeight="1" x14ac:dyDescent="0.2">
      <c r="A126" s="1897"/>
      <c r="B126" s="1898"/>
      <c r="C126" s="1928"/>
      <c r="D126" s="2855"/>
      <c r="E126" s="3235"/>
      <c r="F126" s="3039"/>
      <c r="G126" s="3035"/>
      <c r="H126" s="2711"/>
      <c r="I126" s="3012"/>
      <c r="J126" s="836" t="s">
        <v>58</v>
      </c>
      <c r="K126" s="1975">
        <f>250/3.4528*1000</f>
        <v>72405</v>
      </c>
      <c r="L126" s="1987">
        <f>250/3.4528*1000</f>
        <v>72405</v>
      </c>
      <c r="M126" s="1614"/>
      <c r="O126" s="14"/>
    </row>
    <row r="127" spans="1:15" ht="18.75" customHeight="1" x14ac:dyDescent="0.2">
      <c r="A127" s="1897"/>
      <c r="B127" s="1898"/>
      <c r="C127" s="1928"/>
      <c r="D127" s="3031"/>
      <c r="E127" s="3236"/>
      <c r="F127" s="3040"/>
      <c r="G127" s="3036"/>
      <c r="H127" s="2715"/>
      <c r="I127" s="3038"/>
      <c r="J127" s="246" t="s">
        <v>75</v>
      </c>
      <c r="K127" s="1976">
        <f>163.5/3.4528*1000</f>
        <v>47353</v>
      </c>
      <c r="L127" s="1988">
        <f>163.5/3.4528*1000</f>
        <v>47353</v>
      </c>
      <c r="M127" s="1620"/>
      <c r="O127" s="14"/>
    </row>
    <row r="128" spans="1:15" ht="17.25" customHeight="1" x14ac:dyDescent="0.2">
      <c r="A128" s="1925"/>
      <c r="B128" s="1898"/>
      <c r="C128" s="1928"/>
      <c r="D128" s="1934" t="s">
        <v>10</v>
      </c>
      <c r="E128" s="2850" t="s">
        <v>305</v>
      </c>
      <c r="F128" s="1267"/>
      <c r="G128" s="3001" t="s">
        <v>367</v>
      </c>
      <c r="H128" s="1911" t="s">
        <v>57</v>
      </c>
      <c r="I128" s="3003" t="s">
        <v>132</v>
      </c>
      <c r="J128" s="836" t="s">
        <v>122</v>
      </c>
      <c r="K128" s="1975">
        <f>140/3.4528*1000</f>
        <v>40547</v>
      </c>
      <c r="L128" s="1987">
        <f>140/3.4528*1000</f>
        <v>40547</v>
      </c>
      <c r="M128" s="1614"/>
      <c r="O128" s="14"/>
    </row>
    <row r="129" spans="1:16" ht="30.75" customHeight="1" x14ac:dyDescent="0.2">
      <c r="A129" s="1925"/>
      <c r="B129" s="1898"/>
      <c r="C129" s="1928"/>
      <c r="D129" s="1930"/>
      <c r="E129" s="2931"/>
      <c r="F129" s="1912"/>
      <c r="G129" s="3002"/>
      <c r="H129" s="961"/>
      <c r="I129" s="3004"/>
      <c r="J129" s="842" t="s">
        <v>122</v>
      </c>
      <c r="K129" s="1976">
        <f>614.9/3.4528*1000</f>
        <v>178087</v>
      </c>
      <c r="L129" s="1988">
        <f>178087-71556</f>
        <v>106531</v>
      </c>
      <c r="M129" s="2074">
        <f>L129-K129</f>
        <v>-71556</v>
      </c>
      <c r="O129" s="14"/>
    </row>
    <row r="130" spans="1:16" ht="17.25" customHeight="1" thickBot="1" x14ac:dyDescent="0.25">
      <c r="A130" s="1946"/>
      <c r="B130" s="1902"/>
      <c r="C130" s="446"/>
      <c r="D130" s="453"/>
      <c r="E130" s="453"/>
      <c r="F130" s="453"/>
      <c r="G130" s="1960"/>
      <c r="H130" s="453"/>
      <c r="I130" s="3005" t="s">
        <v>112</v>
      </c>
      <c r="J130" s="3006"/>
      <c r="K130" s="1970">
        <f>SUM(K125:K129)</f>
        <v>347081</v>
      </c>
      <c r="L130" s="1984">
        <f>SUM(L125:L129)</f>
        <v>275525</v>
      </c>
      <c r="M130" s="1640">
        <f>SUM(M125:M129)</f>
        <v>-71556</v>
      </c>
      <c r="O130" s="14"/>
    </row>
    <row r="131" spans="1:16" ht="17.25" customHeight="1" x14ac:dyDescent="0.2">
      <c r="A131" s="1897" t="s">
        <v>8</v>
      </c>
      <c r="B131" s="1751" t="s">
        <v>45</v>
      </c>
      <c r="C131" s="2709" t="s">
        <v>218</v>
      </c>
      <c r="D131" s="3007"/>
      <c r="E131" s="2697" t="s">
        <v>102</v>
      </c>
      <c r="F131" s="2716"/>
      <c r="G131" s="3010" t="s">
        <v>368</v>
      </c>
      <c r="H131" s="2711" t="s">
        <v>57</v>
      </c>
      <c r="I131" s="3012" t="s">
        <v>130</v>
      </c>
      <c r="J131" s="246" t="s">
        <v>58</v>
      </c>
      <c r="K131" s="1977">
        <f>100.3/3.4528*1000</f>
        <v>29049</v>
      </c>
      <c r="L131" s="364">
        <f>29049+64522</f>
        <v>93571</v>
      </c>
      <c r="M131" s="2067">
        <f>L131-K131</f>
        <v>64522</v>
      </c>
      <c r="O131" s="14"/>
    </row>
    <row r="132" spans="1:16" ht="14.25" customHeight="1" x14ac:dyDescent="0.2">
      <c r="A132" s="1897"/>
      <c r="B132" s="1751"/>
      <c r="C132" s="2709"/>
      <c r="D132" s="3007"/>
      <c r="E132" s="2697"/>
      <c r="F132" s="2716"/>
      <c r="G132" s="3010"/>
      <c r="H132" s="2711"/>
      <c r="I132" s="3012"/>
      <c r="J132" s="552" t="s">
        <v>133</v>
      </c>
      <c r="K132" s="1978"/>
      <c r="L132" s="542"/>
      <c r="M132" s="1766"/>
      <c r="O132" s="14"/>
    </row>
    <row r="133" spans="1:16" ht="14.25" customHeight="1" thickBot="1" x14ac:dyDescent="0.25">
      <c r="A133" s="1914"/>
      <c r="B133" s="122"/>
      <c r="C133" s="2729"/>
      <c r="D133" s="3008"/>
      <c r="E133" s="3009"/>
      <c r="F133" s="2737"/>
      <c r="G133" s="3011"/>
      <c r="H133" s="2739"/>
      <c r="I133" s="3013"/>
      <c r="J133" s="1568" t="s">
        <v>9</v>
      </c>
      <c r="K133" s="1970">
        <f>K131+K132</f>
        <v>29049</v>
      </c>
      <c r="L133" s="1984">
        <f>L131+L132</f>
        <v>93571</v>
      </c>
      <c r="M133" s="1640">
        <f>M131+M132</f>
        <v>64522</v>
      </c>
      <c r="O133" s="14"/>
    </row>
    <row r="134" spans="1:16" ht="18" customHeight="1" thickBot="1" x14ac:dyDescent="0.25">
      <c r="A134" s="383" t="s">
        <v>8</v>
      </c>
      <c r="B134" s="11" t="s">
        <v>45</v>
      </c>
      <c r="C134" s="2730" t="s">
        <v>11</v>
      </c>
      <c r="D134" s="2730"/>
      <c r="E134" s="2730"/>
      <c r="F134" s="2730"/>
      <c r="G134" s="2730"/>
      <c r="H134" s="2730"/>
      <c r="I134" s="2730"/>
      <c r="J134" s="2731"/>
      <c r="K134" s="1979">
        <f>K133+K130+K123+K120+K117+K112+K108+K101</f>
        <v>1658759</v>
      </c>
      <c r="L134" s="1989">
        <f>L133+L130+L123+L120+L117+L112+L108+L101</f>
        <v>1724091</v>
      </c>
      <c r="M134" s="1641">
        <f>M133+M130+M123+M120+M117+M112+M108+M101</f>
        <v>65332</v>
      </c>
    </row>
    <row r="135" spans="1:16" ht="18.75" customHeight="1" thickBot="1" x14ac:dyDescent="0.25">
      <c r="A135" s="382" t="s">
        <v>8</v>
      </c>
      <c r="B135" s="11" t="s">
        <v>50</v>
      </c>
      <c r="C135" s="2820" t="s">
        <v>53</v>
      </c>
      <c r="D135" s="2821"/>
      <c r="E135" s="2821"/>
      <c r="F135" s="2821"/>
      <c r="G135" s="2821"/>
      <c r="H135" s="2821"/>
      <c r="I135" s="2821"/>
      <c r="J135" s="2821"/>
      <c r="K135" s="2821"/>
      <c r="L135" s="2821"/>
      <c r="M135" s="2821"/>
    </row>
    <row r="136" spans="1:16" ht="28.5" customHeight="1" x14ac:dyDescent="0.2">
      <c r="A136" s="2757" t="s">
        <v>8</v>
      </c>
      <c r="B136" s="2727" t="s">
        <v>50</v>
      </c>
      <c r="C136" s="451" t="s">
        <v>8</v>
      </c>
      <c r="D136" s="632"/>
      <c r="E136" s="1757" t="s">
        <v>182</v>
      </c>
      <c r="F136" s="620"/>
      <c r="G136" s="1727"/>
      <c r="H136" s="622"/>
      <c r="I136" s="631"/>
      <c r="J136" s="1755" t="s">
        <v>42</v>
      </c>
      <c r="K136" s="2018"/>
      <c r="L136" s="24"/>
      <c r="M136" s="2036"/>
      <c r="O136" s="14"/>
    </row>
    <row r="137" spans="1:16" ht="43.5" customHeight="1" x14ac:dyDescent="0.2">
      <c r="A137" s="2757"/>
      <c r="B137" s="2727"/>
      <c r="C137" s="451"/>
      <c r="D137" s="311" t="s">
        <v>8</v>
      </c>
      <c r="E137" s="1758" t="s">
        <v>184</v>
      </c>
      <c r="F137" s="457"/>
      <c r="G137" s="1953" t="s">
        <v>369</v>
      </c>
      <c r="H137" s="1941" t="s">
        <v>72</v>
      </c>
      <c r="I137" s="1759" t="s">
        <v>125</v>
      </c>
      <c r="J137" s="1760" t="s">
        <v>58</v>
      </c>
      <c r="K137" s="2040">
        <f>10/3.4528*1000</f>
        <v>2896</v>
      </c>
      <c r="L137" s="2042">
        <f>10/3.4528*1000</f>
        <v>2896</v>
      </c>
      <c r="M137" s="2037"/>
      <c r="O137" s="14"/>
    </row>
    <row r="138" spans="1:16" ht="15" customHeight="1" x14ac:dyDescent="0.2">
      <c r="A138" s="2757"/>
      <c r="B138" s="2727"/>
      <c r="C138" s="451"/>
      <c r="D138" s="1934" t="s">
        <v>10</v>
      </c>
      <c r="E138" s="3175" t="s">
        <v>322</v>
      </c>
      <c r="F138" s="896"/>
      <c r="G138" s="3019" t="s">
        <v>326</v>
      </c>
      <c r="H138" s="1762" t="s">
        <v>57</v>
      </c>
      <c r="I138" s="3003" t="s">
        <v>318</v>
      </c>
      <c r="J138" s="590" t="s">
        <v>58</v>
      </c>
      <c r="K138" s="2041">
        <f>1200/3.4528*1000</f>
        <v>347544</v>
      </c>
      <c r="L138" s="2028">
        <f>347544+447907</f>
        <v>795451</v>
      </c>
      <c r="M138" s="2071">
        <f>L138-K138</f>
        <v>447907</v>
      </c>
      <c r="N138" s="130"/>
      <c r="O138" s="14"/>
    </row>
    <row r="139" spans="1:16" ht="30.75" customHeight="1" x14ac:dyDescent="0.2">
      <c r="A139" s="2757"/>
      <c r="B139" s="2727"/>
      <c r="C139" s="451"/>
      <c r="D139" s="1935"/>
      <c r="E139" s="3176"/>
      <c r="F139" s="253"/>
      <c r="G139" s="3177"/>
      <c r="H139" s="1763"/>
      <c r="I139" s="3004"/>
      <c r="J139" s="1764"/>
      <c r="K139" s="2000"/>
      <c r="L139" s="1982"/>
      <c r="M139" s="1708"/>
      <c r="N139" s="130"/>
      <c r="O139" s="14"/>
    </row>
    <row r="140" spans="1:16" ht="14.25" customHeight="1" thickBot="1" x14ac:dyDescent="0.25">
      <c r="A140" s="2756"/>
      <c r="B140" s="2728"/>
      <c r="C140" s="452"/>
      <c r="D140" s="453"/>
      <c r="E140" s="453"/>
      <c r="F140" s="453"/>
      <c r="G140" s="1726"/>
      <c r="H140" s="453"/>
      <c r="I140" s="3005" t="s">
        <v>112</v>
      </c>
      <c r="J140" s="3069"/>
      <c r="K140" s="1970">
        <f t="shared" ref="K140:M140" si="2">SUM(K137:K138)</f>
        <v>350440</v>
      </c>
      <c r="L140" s="1984">
        <f t="shared" ref="L140" si="3">SUM(L137:L138)</f>
        <v>798347</v>
      </c>
      <c r="M140" s="2039">
        <f t="shared" si="2"/>
        <v>447907</v>
      </c>
      <c r="N140" s="167"/>
      <c r="O140" s="14"/>
      <c r="P140" s="130"/>
    </row>
    <row r="141" spans="1:16" ht="27" customHeight="1" x14ac:dyDescent="0.2">
      <c r="A141" s="2755" t="s">
        <v>8</v>
      </c>
      <c r="B141" s="2847" t="s">
        <v>50</v>
      </c>
      <c r="C141" s="2990" t="s">
        <v>10</v>
      </c>
      <c r="D141" s="618"/>
      <c r="E141" s="619" t="s">
        <v>90</v>
      </c>
      <c r="F141" s="620"/>
      <c r="G141" s="1727"/>
      <c r="H141" s="622"/>
      <c r="I141" s="832"/>
      <c r="J141" s="94"/>
      <c r="K141" s="1965"/>
      <c r="L141" s="1983"/>
      <c r="M141" s="1648"/>
      <c r="N141" s="15"/>
      <c r="O141" s="14"/>
    </row>
    <row r="142" spans="1:16" ht="14.25" customHeight="1" x14ac:dyDescent="0.2">
      <c r="A142" s="2757"/>
      <c r="B142" s="2727"/>
      <c r="C142" s="2991"/>
      <c r="D142" s="664" t="s">
        <v>8</v>
      </c>
      <c r="E142" s="2703" t="s">
        <v>89</v>
      </c>
      <c r="F142" s="2994"/>
      <c r="G142" s="3001" t="s">
        <v>327</v>
      </c>
      <c r="H142" s="1911" t="s">
        <v>54</v>
      </c>
      <c r="I142" s="3016" t="s">
        <v>132</v>
      </c>
      <c r="J142" s="258" t="s">
        <v>58</v>
      </c>
      <c r="K142" s="2022">
        <f>2170/3.4528*1000</f>
        <v>628475</v>
      </c>
      <c r="L142" s="2028">
        <f>628475+152138</f>
        <v>780613</v>
      </c>
      <c r="M142" s="1627">
        <f>L142-K142</f>
        <v>152138</v>
      </c>
    </row>
    <row r="143" spans="1:16" ht="27" customHeight="1" x14ac:dyDescent="0.2">
      <c r="A143" s="2757"/>
      <c r="B143" s="2727"/>
      <c r="C143" s="2991"/>
      <c r="D143" s="664"/>
      <c r="E143" s="2704"/>
      <c r="F143" s="2995"/>
      <c r="G143" s="3014"/>
      <c r="H143" s="1081"/>
      <c r="I143" s="3017"/>
      <c r="J143" s="92"/>
      <c r="K143" s="2023"/>
      <c r="L143" s="134"/>
      <c r="M143" s="1654"/>
    </row>
    <row r="144" spans="1:16" ht="17.25" customHeight="1" x14ac:dyDescent="0.2">
      <c r="A144" s="2757"/>
      <c r="B144" s="2727"/>
      <c r="C144" s="2991"/>
      <c r="D144" s="664"/>
      <c r="E144" s="2704"/>
      <c r="F144" s="2996"/>
      <c r="G144" s="3015"/>
      <c r="H144" s="1084"/>
      <c r="I144" s="3017"/>
      <c r="J144" s="92"/>
      <c r="K144" s="2023"/>
      <c r="L144" s="134"/>
      <c r="M144" s="1654"/>
    </row>
    <row r="145" spans="1:34" ht="17.25" customHeight="1" x14ac:dyDescent="0.2">
      <c r="A145" s="2757"/>
      <c r="B145" s="2727"/>
      <c r="C145" s="2991"/>
      <c r="D145" s="665" t="s">
        <v>10</v>
      </c>
      <c r="E145" s="2703" t="s">
        <v>88</v>
      </c>
      <c r="F145" s="2994"/>
      <c r="G145" s="3019" t="s">
        <v>370</v>
      </c>
      <c r="H145" s="1081"/>
      <c r="I145" s="3017"/>
      <c r="J145" s="258" t="s">
        <v>42</v>
      </c>
      <c r="K145" s="2022">
        <f>500/3.4528*1000</f>
        <v>144810</v>
      </c>
      <c r="L145" s="2028">
        <f>500/3.4528*1000</f>
        <v>144810</v>
      </c>
      <c r="M145" s="1627"/>
    </row>
    <row r="146" spans="1:34" ht="14.25" customHeight="1" x14ac:dyDescent="0.2">
      <c r="A146" s="2757"/>
      <c r="B146" s="2727"/>
      <c r="C146" s="2992"/>
      <c r="D146" s="663"/>
      <c r="E146" s="2705"/>
      <c r="F146" s="2996"/>
      <c r="G146" s="3020"/>
      <c r="H146" s="1913"/>
      <c r="I146" s="3018"/>
      <c r="J146" s="246"/>
      <c r="K146" s="1967"/>
      <c r="L146" s="1982"/>
      <c r="M146" s="1616"/>
    </row>
    <row r="147" spans="1:34" ht="16.5" customHeight="1" thickBot="1" x14ac:dyDescent="0.25">
      <c r="A147" s="2756"/>
      <c r="B147" s="2728"/>
      <c r="C147" s="2993"/>
      <c r="D147" s="448"/>
      <c r="E147" s="448"/>
      <c r="F147" s="448"/>
      <c r="G147" s="448"/>
      <c r="H147" s="453"/>
      <c r="I147" s="3005" t="s">
        <v>112</v>
      </c>
      <c r="J147" s="3006"/>
      <c r="K147" s="1970">
        <f t="shared" ref="K147:M147" si="4">SUM(K141:K146)</f>
        <v>773285</v>
      </c>
      <c r="L147" s="1984">
        <f t="shared" ref="L147" si="5">SUM(L141:L146)</f>
        <v>925423</v>
      </c>
      <c r="M147" s="1640">
        <f t="shared" si="4"/>
        <v>152138</v>
      </c>
      <c r="O147" s="14"/>
    </row>
    <row r="148" spans="1:34" ht="15" customHeight="1" x14ac:dyDescent="0.2">
      <c r="A148" s="2755" t="s">
        <v>8</v>
      </c>
      <c r="B148" s="2847" t="s">
        <v>50</v>
      </c>
      <c r="C148" s="2732" t="s">
        <v>45</v>
      </c>
      <c r="D148" s="2854"/>
      <c r="E148" s="2743" t="s">
        <v>281</v>
      </c>
      <c r="F148" s="2852"/>
      <c r="G148" s="3171" t="s">
        <v>371</v>
      </c>
      <c r="H148" s="2738" t="s">
        <v>57</v>
      </c>
      <c r="I148" s="3165" t="s">
        <v>132</v>
      </c>
      <c r="J148" s="676" t="s">
        <v>122</v>
      </c>
      <c r="K148" s="2024">
        <f>45/3.4528*1000</f>
        <v>13033</v>
      </c>
      <c r="L148" s="2029">
        <f>45/3.4528*1000</f>
        <v>13033</v>
      </c>
      <c r="M148" s="1628"/>
      <c r="O148" s="14"/>
    </row>
    <row r="149" spans="1:34" ht="21" customHeight="1" x14ac:dyDescent="0.2">
      <c r="A149" s="2757"/>
      <c r="B149" s="2727"/>
      <c r="C149" s="2709"/>
      <c r="D149" s="2855"/>
      <c r="E149" s="2786"/>
      <c r="F149" s="2863"/>
      <c r="G149" s="3172"/>
      <c r="H149" s="2711"/>
      <c r="I149" s="3058"/>
      <c r="J149" s="246" t="s">
        <v>58</v>
      </c>
      <c r="K149" s="1709">
        <f>455/3.4528*1000</f>
        <v>131777</v>
      </c>
      <c r="L149" s="2013">
        <f>131777+319443</f>
        <v>451220</v>
      </c>
      <c r="M149" s="2072">
        <f>L149-K149</f>
        <v>319443</v>
      </c>
      <c r="O149" s="14"/>
    </row>
    <row r="150" spans="1:34" ht="13.5" customHeight="1" thickBot="1" x14ac:dyDescent="0.25">
      <c r="A150" s="2756"/>
      <c r="B150" s="2728"/>
      <c r="C150" s="2729"/>
      <c r="D150" s="2856"/>
      <c r="E150" s="2787"/>
      <c r="F150" s="2853"/>
      <c r="G150" s="3173"/>
      <c r="H150" s="2739"/>
      <c r="I150" s="3000"/>
      <c r="J150" s="1556" t="s">
        <v>9</v>
      </c>
      <c r="K150" s="1971">
        <f>SUM(K148:K149)</f>
        <v>144810</v>
      </c>
      <c r="L150" s="1985">
        <f>SUM(L148:L149)</f>
        <v>464253</v>
      </c>
      <c r="M150" s="1990">
        <f>SUM(M148:M149)</f>
        <v>319443</v>
      </c>
      <c r="O150" s="14"/>
    </row>
    <row r="151" spans="1:34" ht="42.75" customHeight="1" x14ac:dyDescent="0.2">
      <c r="A151" s="2755" t="s">
        <v>8</v>
      </c>
      <c r="B151" s="2847" t="s">
        <v>50</v>
      </c>
      <c r="C151" s="2732" t="s">
        <v>50</v>
      </c>
      <c r="D151" s="2854"/>
      <c r="E151" s="1180" t="s">
        <v>298</v>
      </c>
      <c r="F151" s="968"/>
      <c r="G151" s="1728" t="s">
        <v>372</v>
      </c>
      <c r="H151" s="970" t="s">
        <v>57</v>
      </c>
      <c r="I151" s="971" t="s">
        <v>132</v>
      </c>
      <c r="J151" s="908" t="s">
        <v>42</v>
      </c>
      <c r="K151" s="2025">
        <f>182/3.4528*1000</f>
        <v>52711</v>
      </c>
      <c r="L151" s="2030">
        <f>182/3.4528*1000</f>
        <v>52711</v>
      </c>
      <c r="M151" s="1655"/>
      <c r="O151" s="14"/>
    </row>
    <row r="152" spans="1:34" ht="24.75" customHeight="1" x14ac:dyDescent="0.2">
      <c r="A152" s="2757"/>
      <c r="B152" s="2727"/>
      <c r="C152" s="2709"/>
      <c r="D152" s="2855"/>
      <c r="E152" s="2845" t="s">
        <v>299</v>
      </c>
      <c r="F152" s="1924"/>
      <c r="G152" s="2997" t="s">
        <v>373</v>
      </c>
      <c r="H152" s="1905" t="s">
        <v>72</v>
      </c>
      <c r="I152" s="2999" t="s">
        <v>125</v>
      </c>
      <c r="J152" s="20" t="s">
        <v>58</v>
      </c>
      <c r="K152" s="1992">
        <f>30/3.4528*1000</f>
        <v>8689</v>
      </c>
      <c r="L152" s="439">
        <f>30/3.4528*1000</f>
        <v>8689</v>
      </c>
      <c r="M152" s="1578"/>
      <c r="O152" s="14"/>
    </row>
    <row r="153" spans="1:34" ht="19.5" customHeight="1" thickBot="1" x14ac:dyDescent="0.25">
      <c r="A153" s="2756"/>
      <c r="B153" s="2728"/>
      <c r="C153" s="2729"/>
      <c r="D153" s="2856"/>
      <c r="E153" s="2846"/>
      <c r="F153" s="1923"/>
      <c r="G153" s="2998"/>
      <c r="H153" s="1906"/>
      <c r="I153" s="3000"/>
      <c r="J153" s="1556" t="s">
        <v>9</v>
      </c>
      <c r="K153" s="1710">
        <f>SUM(K151:K152)</f>
        <v>61400</v>
      </c>
      <c r="L153" s="1980">
        <f>SUM(L151:L152)</f>
        <v>61400</v>
      </c>
      <c r="M153" s="1647">
        <f>SUM(M151:M152)</f>
        <v>0</v>
      </c>
      <c r="O153" s="14"/>
    </row>
    <row r="154" spans="1:34" ht="26.25" customHeight="1" x14ac:dyDescent="0.2">
      <c r="A154" s="2755" t="s">
        <v>8</v>
      </c>
      <c r="B154" s="2847" t="s">
        <v>50</v>
      </c>
      <c r="C154" s="2732" t="s">
        <v>52</v>
      </c>
      <c r="D154" s="2854"/>
      <c r="E154" s="2743" t="s">
        <v>61</v>
      </c>
      <c r="F154" s="2852"/>
      <c r="G154" s="3171" t="s">
        <v>374</v>
      </c>
      <c r="H154" s="2738" t="s">
        <v>57</v>
      </c>
      <c r="I154" s="3185" t="s">
        <v>318</v>
      </c>
      <c r="J154" s="94" t="s">
        <v>58</v>
      </c>
      <c r="K154" s="1709">
        <f>317.7/3.4528*1000</f>
        <v>92012</v>
      </c>
      <c r="L154" s="2013">
        <f>317.7/3.4528*1000</f>
        <v>92012</v>
      </c>
      <c r="M154" s="1709"/>
      <c r="O154" s="14"/>
    </row>
    <row r="155" spans="1:34" ht="14.25" customHeight="1" thickBot="1" x14ac:dyDescent="0.25">
      <c r="A155" s="2756"/>
      <c r="B155" s="2728"/>
      <c r="C155" s="2729"/>
      <c r="D155" s="2856"/>
      <c r="E155" s="2787"/>
      <c r="F155" s="2853"/>
      <c r="G155" s="3173"/>
      <c r="H155" s="2739"/>
      <c r="I155" s="3186"/>
      <c r="J155" s="1556" t="s">
        <v>9</v>
      </c>
      <c r="K155" s="1710">
        <f>SUM(K154:K154)</f>
        <v>92012</v>
      </c>
      <c r="L155" s="1980">
        <f>SUM(L154:L154)</f>
        <v>92012</v>
      </c>
      <c r="M155" s="2033">
        <f>SUM(M154:M154)</f>
        <v>0</v>
      </c>
      <c r="O155" s="14"/>
    </row>
    <row r="156" spans="1:34" ht="14.25" customHeight="1" thickBot="1" x14ac:dyDescent="0.25">
      <c r="A156" s="383" t="s">
        <v>8</v>
      </c>
      <c r="B156" s="11" t="s">
        <v>50</v>
      </c>
      <c r="C156" s="2730" t="s">
        <v>11</v>
      </c>
      <c r="D156" s="2730"/>
      <c r="E156" s="2730"/>
      <c r="F156" s="2730"/>
      <c r="G156" s="2730"/>
      <c r="H156" s="2730"/>
      <c r="I156" s="2730"/>
      <c r="J156" s="2731"/>
      <c r="K156" s="2003">
        <f>SUM(K155,K150,K147,K140,,K153)</f>
        <v>1421947</v>
      </c>
      <c r="L156" s="1989">
        <f>SUM(L155,L150,L147,L140,,L153)</f>
        <v>2341435</v>
      </c>
      <c r="M156" s="1641">
        <f>SUM(M155,M150,M147,M140,,M153)</f>
        <v>919488</v>
      </c>
    </row>
    <row r="157" spans="1:34" ht="14.25" customHeight="1" thickBot="1" x14ac:dyDescent="0.25">
      <c r="A157" s="383" t="s">
        <v>8</v>
      </c>
      <c r="B157" s="2830" t="s">
        <v>12</v>
      </c>
      <c r="C157" s="2831"/>
      <c r="D157" s="2831"/>
      <c r="E157" s="2831"/>
      <c r="F157" s="2831"/>
      <c r="G157" s="2831"/>
      <c r="H157" s="2831"/>
      <c r="I157" s="2831"/>
      <c r="J157" s="2832"/>
      <c r="K157" s="2026">
        <f>K156+K134+K89+K74</f>
        <v>12375331</v>
      </c>
      <c r="L157" s="2031">
        <f>L156+L134+L89+L74</f>
        <v>13417551</v>
      </c>
      <c r="M157" s="2034">
        <f>M156+M134+M89+M74</f>
        <v>1042220</v>
      </c>
    </row>
    <row r="158" spans="1:34" ht="14.25" customHeight="1" thickBot="1" x14ac:dyDescent="0.25">
      <c r="A158" s="154" t="s">
        <v>54</v>
      </c>
      <c r="B158" s="2836" t="s">
        <v>101</v>
      </c>
      <c r="C158" s="2837"/>
      <c r="D158" s="2837"/>
      <c r="E158" s="2837"/>
      <c r="F158" s="2837"/>
      <c r="G158" s="2837"/>
      <c r="H158" s="2837"/>
      <c r="I158" s="2837"/>
      <c r="J158" s="2838"/>
      <c r="K158" s="2027">
        <f t="shared" ref="K158:M158" si="6">SUM(K157)</f>
        <v>12375331</v>
      </c>
      <c r="L158" s="2032">
        <f t="shared" ref="L158" si="7">SUM(L157)</f>
        <v>13417551</v>
      </c>
      <c r="M158" s="2035">
        <f t="shared" si="6"/>
        <v>1042220</v>
      </c>
    </row>
    <row r="159" spans="1:34" s="22" customFormat="1" ht="14.25" customHeight="1" x14ac:dyDescent="0.2">
      <c r="A159" s="3298" t="s">
        <v>382</v>
      </c>
      <c r="B159" s="3298"/>
      <c r="C159" s="3298"/>
      <c r="D159" s="3298"/>
      <c r="E159" s="3298"/>
      <c r="F159" s="3298"/>
      <c r="G159" s="3298"/>
      <c r="H159" s="3298"/>
      <c r="I159" s="3298"/>
      <c r="J159" s="3298"/>
      <c r="K159" s="3298"/>
      <c r="L159" s="3298"/>
      <c r="M159" s="3298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</row>
    <row r="160" spans="1:34" s="22" customFormat="1" ht="13.5" customHeight="1" x14ac:dyDescent="0.2">
      <c r="A160" s="3181"/>
      <c r="B160" s="3181"/>
      <c r="C160" s="3181"/>
      <c r="D160" s="3181"/>
      <c r="E160" s="3181"/>
      <c r="F160" s="3181"/>
      <c r="G160" s="3181"/>
      <c r="H160" s="3181"/>
      <c r="I160" s="3181"/>
      <c r="J160" s="3181"/>
      <c r="K160" s="3181"/>
      <c r="L160" s="3181"/>
      <c r="M160" s="318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</row>
    <row r="161" spans="1:34" s="22" customFormat="1" ht="15" customHeight="1" thickBot="1" x14ac:dyDescent="0.25">
      <c r="A161" s="2754" t="s">
        <v>17</v>
      </c>
      <c r="B161" s="2754"/>
      <c r="C161" s="2754"/>
      <c r="D161" s="2754"/>
      <c r="E161" s="2754"/>
      <c r="F161" s="2754"/>
      <c r="G161" s="2754"/>
      <c r="H161" s="2754"/>
      <c r="I161" s="2754"/>
      <c r="J161" s="2754"/>
      <c r="K161" s="2754"/>
      <c r="L161" s="2754"/>
      <c r="M161" s="2754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</row>
    <row r="162" spans="1:34" ht="63" customHeight="1" thickBot="1" x14ac:dyDescent="0.25">
      <c r="A162" s="2827" t="s">
        <v>13</v>
      </c>
      <c r="B162" s="2828"/>
      <c r="C162" s="2828"/>
      <c r="D162" s="2828"/>
      <c r="E162" s="2828"/>
      <c r="F162" s="2828"/>
      <c r="G162" s="2828"/>
      <c r="H162" s="2828"/>
      <c r="I162" s="2828"/>
      <c r="J162" s="2829"/>
      <c r="K162" s="1554" t="s">
        <v>314</v>
      </c>
      <c r="L162" s="1554" t="s">
        <v>385</v>
      </c>
      <c r="M162" s="1554" t="s">
        <v>310</v>
      </c>
    </row>
    <row r="163" spans="1:34" ht="14.25" customHeight="1" x14ac:dyDescent="0.2">
      <c r="A163" s="2817" t="s">
        <v>18</v>
      </c>
      <c r="B163" s="2818"/>
      <c r="C163" s="2818"/>
      <c r="D163" s="2818"/>
      <c r="E163" s="2818"/>
      <c r="F163" s="2818"/>
      <c r="G163" s="2818"/>
      <c r="H163" s="2818"/>
      <c r="I163" s="2818"/>
      <c r="J163" s="2819"/>
      <c r="K163" s="1581">
        <f>K164+K170+K171+K172</f>
        <v>9629733</v>
      </c>
      <c r="L163" s="1581">
        <f>L164+L170+L171+L172</f>
        <v>10671953</v>
      </c>
      <c r="M163" s="1581">
        <f>M164+M170+M171+M172</f>
        <v>57100</v>
      </c>
    </row>
    <row r="164" spans="1:34" ht="14.25" customHeight="1" x14ac:dyDescent="0.2">
      <c r="A164" s="2823" t="s">
        <v>217</v>
      </c>
      <c r="B164" s="2988"/>
      <c r="C164" s="2988"/>
      <c r="D164" s="2988"/>
      <c r="E164" s="2988"/>
      <c r="F164" s="2988"/>
      <c r="G164" s="2988"/>
      <c r="H164" s="2988"/>
      <c r="I164" s="2988"/>
      <c r="J164" s="2989"/>
      <c r="K164" s="1961">
        <f>SUM(K165:K169)</f>
        <v>9305051</v>
      </c>
      <c r="L164" s="1961">
        <f>SUM(L165:L169)</f>
        <v>10289871</v>
      </c>
      <c r="M164" s="1961">
        <f>SUM(M165:M168)</f>
        <v>-300</v>
      </c>
    </row>
    <row r="165" spans="1:34" ht="14.25" customHeight="1" x14ac:dyDescent="0.2">
      <c r="A165" s="2814" t="s">
        <v>33</v>
      </c>
      <c r="B165" s="2815"/>
      <c r="C165" s="2815"/>
      <c r="D165" s="2815"/>
      <c r="E165" s="2815"/>
      <c r="F165" s="2815"/>
      <c r="G165" s="2815"/>
      <c r="H165" s="2815"/>
      <c r="I165" s="2815"/>
      <c r="J165" s="2816"/>
      <c r="K165" s="1582">
        <f>SUMIF(J15:J158,"SB",K15:K158)</f>
        <v>5325214</v>
      </c>
      <c r="L165" s="1582">
        <f>SUMIF(J15:J158,"SB",L15:L158)</f>
        <v>5325214</v>
      </c>
      <c r="M165" s="1582">
        <f>L165-K165</f>
        <v>0</v>
      </c>
    </row>
    <row r="166" spans="1:34" ht="14.25" customHeight="1" x14ac:dyDescent="0.2">
      <c r="A166" s="2811" t="s">
        <v>34</v>
      </c>
      <c r="B166" s="2812"/>
      <c r="C166" s="2812"/>
      <c r="D166" s="2812"/>
      <c r="E166" s="2812"/>
      <c r="F166" s="2812"/>
      <c r="G166" s="2812"/>
      <c r="H166" s="2812"/>
      <c r="I166" s="2812"/>
      <c r="J166" s="2813"/>
      <c r="K166" s="1582">
        <f>SUMIF(J15:J158,"SB(P)",K15:K158)</f>
        <v>120829</v>
      </c>
      <c r="L166" s="1582">
        <f>SUMIF(J15:J158,"SB(P)",L15:L158)</f>
        <v>120829</v>
      </c>
      <c r="M166" s="1582">
        <f t="shared" ref="M166:M171" si="8">L166-K166</f>
        <v>0</v>
      </c>
    </row>
    <row r="167" spans="1:34" ht="14.25" customHeight="1" x14ac:dyDescent="0.2">
      <c r="A167" s="2811" t="s">
        <v>123</v>
      </c>
      <c r="B167" s="2812"/>
      <c r="C167" s="2812"/>
      <c r="D167" s="2812"/>
      <c r="E167" s="2812"/>
      <c r="F167" s="2812"/>
      <c r="G167" s="2812"/>
      <c r="H167" s="2812"/>
      <c r="I167" s="2812"/>
      <c r="J167" s="2813"/>
      <c r="K167" s="1582">
        <f>SUMIF(J15:J158,"SB(VR)",K15:K158)</f>
        <v>1084598</v>
      </c>
      <c r="L167" s="1582">
        <f>SUMIF(J15:J158,"SB(VR)",L15:L158)</f>
        <v>1084298</v>
      </c>
      <c r="M167" s="1582">
        <f t="shared" si="8"/>
        <v>-300</v>
      </c>
    </row>
    <row r="168" spans="1:34" ht="14.25" customHeight="1" x14ac:dyDescent="0.2">
      <c r="A168" s="2811" t="s">
        <v>146</v>
      </c>
      <c r="B168" s="2812"/>
      <c r="C168" s="2812"/>
      <c r="D168" s="2812"/>
      <c r="E168" s="2812"/>
      <c r="F168" s="2812"/>
      <c r="G168" s="2812"/>
      <c r="H168" s="2812"/>
      <c r="I168" s="2812"/>
      <c r="J168" s="2813"/>
      <c r="K168" s="1582">
        <f>SUMIF(J13:J156,"SB(L)",K13:K156)</f>
        <v>8974</v>
      </c>
      <c r="L168" s="1582">
        <f>SUMIF(J13:J156,"SB(L)",L13:L156)</f>
        <v>8974</v>
      </c>
      <c r="M168" s="1582">
        <f t="shared" si="8"/>
        <v>0</v>
      </c>
    </row>
    <row r="169" spans="1:34" ht="14.25" customHeight="1" x14ac:dyDescent="0.2">
      <c r="A169" s="2800" t="s">
        <v>36</v>
      </c>
      <c r="B169" s="2801"/>
      <c r="C169" s="2801"/>
      <c r="D169" s="2801"/>
      <c r="E169" s="2801"/>
      <c r="F169" s="2801"/>
      <c r="G169" s="2801"/>
      <c r="H169" s="2801"/>
      <c r="I169" s="2801"/>
      <c r="J169" s="2802"/>
      <c r="K169" s="1583">
        <f>SUMIF(J13:J156,"KPP",K13:K156)</f>
        <v>2765436</v>
      </c>
      <c r="L169" s="1583">
        <f>SUMIF(J13:J156,"KPP",L13:L156)</f>
        <v>3750556</v>
      </c>
      <c r="M169" s="1583">
        <f t="shared" si="8"/>
        <v>985120</v>
      </c>
    </row>
    <row r="170" spans="1:34" ht="14.25" customHeight="1" x14ac:dyDescent="0.2">
      <c r="A170" s="3187" t="s">
        <v>333</v>
      </c>
      <c r="B170" s="3190"/>
      <c r="C170" s="3190"/>
      <c r="D170" s="3190"/>
      <c r="E170" s="3190"/>
      <c r="F170" s="3190"/>
      <c r="G170" s="3190"/>
      <c r="H170" s="3190"/>
      <c r="I170" s="3190"/>
      <c r="J170" s="3191"/>
      <c r="K170" s="1782">
        <f>SUMIF(J15:J158,"SB(VRL)",K15:K158)</f>
        <v>72307</v>
      </c>
      <c r="L170" s="1782">
        <f>SUMIF(J15:J158,"SB(VRL)",L15:L158)</f>
        <v>72307</v>
      </c>
      <c r="M170" s="1782">
        <f t="shared" si="8"/>
        <v>0</v>
      </c>
    </row>
    <row r="171" spans="1:34" ht="14.25" customHeight="1" x14ac:dyDescent="0.2">
      <c r="A171" s="2720" t="s">
        <v>331</v>
      </c>
      <c r="B171" s="3190"/>
      <c r="C171" s="3190"/>
      <c r="D171" s="3190"/>
      <c r="E171" s="3190"/>
      <c r="F171" s="3190"/>
      <c r="G171" s="3190"/>
      <c r="H171" s="3190"/>
      <c r="I171" s="3190"/>
      <c r="J171" s="3191"/>
      <c r="K171" s="1782">
        <f>SUMIF(J16:J159,"SB(ŽPL)",K16:K159)</f>
        <v>252375</v>
      </c>
      <c r="L171" s="1782">
        <f>SUMIF(J16:J159,"SB(ŽPL)",L16:L159)</f>
        <v>309775</v>
      </c>
      <c r="M171" s="1782">
        <f t="shared" si="8"/>
        <v>57400</v>
      </c>
    </row>
    <row r="172" spans="1:34" ht="14.25" customHeight="1" x14ac:dyDescent="0.2">
      <c r="A172" s="3187" t="s">
        <v>334</v>
      </c>
      <c r="B172" s="3188"/>
      <c r="C172" s="3188"/>
      <c r="D172" s="3188"/>
      <c r="E172" s="3188"/>
      <c r="F172" s="3188"/>
      <c r="G172" s="3188"/>
      <c r="H172" s="3188"/>
      <c r="I172" s="3188"/>
      <c r="J172" s="3189"/>
      <c r="K172" s="1782">
        <f>SUMIF(J15:J158,"PF",K15:K158)</f>
        <v>0</v>
      </c>
      <c r="L172" s="1782">
        <f>SUMIF(J15:J158,"PF",L15:L158)</f>
        <v>0</v>
      </c>
      <c r="M172" s="1782">
        <f>SUMIF(J15:J158,"PF",M15:M158)</f>
        <v>0</v>
      </c>
    </row>
    <row r="173" spans="1:34" ht="14.25" customHeight="1" x14ac:dyDescent="0.2">
      <c r="A173" s="2803" t="s">
        <v>19</v>
      </c>
      <c r="B173" s="2804"/>
      <c r="C173" s="2804"/>
      <c r="D173" s="2804"/>
      <c r="E173" s="2804"/>
      <c r="F173" s="2804"/>
      <c r="G173" s="2804"/>
      <c r="H173" s="2804"/>
      <c r="I173" s="2804"/>
      <c r="J173" s="2805"/>
      <c r="K173" s="1584">
        <f>SUM(K174:K177)</f>
        <v>2745598</v>
      </c>
      <c r="L173" s="1584">
        <f>SUM(L174:L177)</f>
        <v>2745598</v>
      </c>
      <c r="M173" s="1584">
        <f>SUM(M174:M177)</f>
        <v>0</v>
      </c>
    </row>
    <row r="174" spans="1:34" ht="14.25" customHeight="1" x14ac:dyDescent="0.2">
      <c r="A174" s="2806" t="s">
        <v>35</v>
      </c>
      <c r="B174" s="2807"/>
      <c r="C174" s="2807"/>
      <c r="D174" s="2807"/>
      <c r="E174" s="2807"/>
      <c r="F174" s="2807"/>
      <c r="G174" s="2807"/>
      <c r="H174" s="2807"/>
      <c r="I174" s="2807"/>
      <c r="J174" s="2808"/>
      <c r="K174" s="1583">
        <f>SUMIF(J15:J158,"ES",K15:K158)</f>
        <v>1981696</v>
      </c>
      <c r="L174" s="1583">
        <f>SUMIF(J15:J158,"ES",L15:L158)</f>
        <v>1981696</v>
      </c>
      <c r="M174" s="1583">
        <f>L174-K174</f>
        <v>0</v>
      </c>
    </row>
    <row r="175" spans="1:34" ht="14.25" customHeight="1" x14ac:dyDescent="0.2">
      <c r="A175" s="2800" t="s">
        <v>37</v>
      </c>
      <c r="B175" s="2801"/>
      <c r="C175" s="2801"/>
      <c r="D175" s="2801"/>
      <c r="E175" s="2801"/>
      <c r="F175" s="2801"/>
      <c r="G175" s="2801"/>
      <c r="H175" s="2801"/>
      <c r="I175" s="2801"/>
      <c r="J175" s="2802"/>
      <c r="K175" s="1583">
        <f>SUMIF(J15:J158,"KVJUD",K15:K158)</f>
        <v>516074</v>
      </c>
      <c r="L175" s="1583">
        <f>SUMIF(J15:J158,"KVJUD",L15:L158)</f>
        <v>516074</v>
      </c>
      <c r="M175" s="1583">
        <f t="shared" ref="M175:M177" si="9">L175-K175</f>
        <v>0</v>
      </c>
    </row>
    <row r="176" spans="1:34" ht="14.25" customHeight="1" x14ac:dyDescent="0.2">
      <c r="A176" s="2797" t="s">
        <v>38</v>
      </c>
      <c r="B176" s="2798"/>
      <c r="C176" s="2798"/>
      <c r="D176" s="2798"/>
      <c r="E176" s="2798"/>
      <c r="F176" s="2798"/>
      <c r="G176" s="2798"/>
      <c r="H176" s="2798"/>
      <c r="I176" s="2798"/>
      <c r="J176" s="2799"/>
      <c r="K176" s="1583">
        <f>SUMIF(J15:J158,"LRVB",K15:K158)</f>
        <v>0</v>
      </c>
      <c r="L176" s="1583">
        <f>SUMIF(J15:J158,"LRVB",L15:L158)</f>
        <v>0</v>
      </c>
      <c r="M176" s="1583">
        <f t="shared" si="9"/>
        <v>0</v>
      </c>
    </row>
    <row r="177" spans="1:13" x14ac:dyDescent="0.2">
      <c r="A177" s="2797" t="s">
        <v>39</v>
      </c>
      <c r="B177" s="2798"/>
      <c r="C177" s="2798"/>
      <c r="D177" s="2798"/>
      <c r="E177" s="2798"/>
      <c r="F177" s="2798"/>
      <c r="G177" s="2798"/>
      <c r="H177" s="2798"/>
      <c r="I177" s="2798"/>
      <c r="J177" s="2799"/>
      <c r="K177" s="1583">
        <f>SUMIF(J15:J158,"Kt",K15:K158)</f>
        <v>247828</v>
      </c>
      <c r="L177" s="1583">
        <f>SUMIF(J15:J158,"Kt",L15:L158)</f>
        <v>247828</v>
      </c>
      <c r="M177" s="1583">
        <f t="shared" si="9"/>
        <v>0</v>
      </c>
    </row>
    <row r="178" spans="1:13" ht="13.5" thickBot="1" x14ac:dyDescent="0.25">
      <c r="A178" s="3182" t="s">
        <v>20</v>
      </c>
      <c r="B178" s="3183"/>
      <c r="C178" s="3183"/>
      <c r="D178" s="3183"/>
      <c r="E178" s="3183"/>
      <c r="F178" s="3183"/>
      <c r="G178" s="3183"/>
      <c r="H178" s="3183"/>
      <c r="I178" s="3183"/>
      <c r="J178" s="3184"/>
      <c r="K178" s="1585">
        <f>K173+K163</f>
        <v>12375331</v>
      </c>
      <c r="L178" s="1585">
        <f>L173+L163</f>
        <v>13417551</v>
      </c>
      <c r="M178" s="1585">
        <f>M173+M163</f>
        <v>57100</v>
      </c>
    </row>
    <row r="179" spans="1:13" x14ac:dyDescent="0.2">
      <c r="K179" s="1947"/>
      <c r="L179" s="1947"/>
      <c r="M179" s="1947"/>
    </row>
    <row r="182" spans="1:13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1:13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</sheetData>
  <mergeCells count="338">
    <mergeCell ref="A4:M4"/>
    <mergeCell ref="A5:M5"/>
    <mergeCell ref="A6:M6"/>
    <mergeCell ref="A8:A10"/>
    <mergeCell ref="B8:B10"/>
    <mergeCell ref="C8:C10"/>
    <mergeCell ref="D8:D10"/>
    <mergeCell ref="E8:E10"/>
    <mergeCell ref="A11:M11"/>
    <mergeCell ref="A12:M12"/>
    <mergeCell ref="B13:M13"/>
    <mergeCell ref="C14:M14"/>
    <mergeCell ref="L8:L10"/>
    <mergeCell ref="F8:F10"/>
    <mergeCell ref="G8:G10"/>
    <mergeCell ref="H8:H10"/>
    <mergeCell ref="I8:I10"/>
    <mergeCell ref="J8:J10"/>
    <mergeCell ref="M8:M10"/>
    <mergeCell ref="H16:H17"/>
    <mergeCell ref="I16:I17"/>
    <mergeCell ref="I18:I19"/>
    <mergeCell ref="A20:A22"/>
    <mergeCell ref="B20:B22"/>
    <mergeCell ref="C20:C22"/>
    <mergeCell ref="E20:E21"/>
    <mergeCell ref="F20:F22"/>
    <mergeCell ref="G20:G22"/>
    <mergeCell ref="I20:I23"/>
    <mergeCell ref="A16:A17"/>
    <mergeCell ref="B16:B17"/>
    <mergeCell ref="C16:C17"/>
    <mergeCell ref="D16:D17"/>
    <mergeCell ref="F16:F17"/>
    <mergeCell ref="G16:G17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E26:H26"/>
    <mergeCell ref="I26:J26"/>
    <mergeCell ref="A28:A29"/>
    <mergeCell ref="B28:B29"/>
    <mergeCell ref="C28:C29"/>
    <mergeCell ref="D28:D29"/>
    <mergeCell ref="E28:E29"/>
    <mergeCell ref="G28:G29"/>
    <mergeCell ref="H28:H29"/>
    <mergeCell ref="I28:I29"/>
    <mergeCell ref="A30:A32"/>
    <mergeCell ref="B30:B32"/>
    <mergeCell ref="C30:C32"/>
    <mergeCell ref="D30:D32"/>
    <mergeCell ref="E30:E32"/>
    <mergeCell ref="F30:F32"/>
    <mergeCell ref="G30:G32"/>
    <mergeCell ref="H30:H32"/>
    <mergeCell ref="I30:I32"/>
    <mergeCell ref="H33:H34"/>
    <mergeCell ref="I33:I35"/>
    <mergeCell ref="A36:A37"/>
    <mergeCell ref="B36:B37"/>
    <mergeCell ref="C36:C37"/>
    <mergeCell ref="D36:D37"/>
    <mergeCell ref="E36:E37"/>
    <mergeCell ref="G36:G37"/>
    <mergeCell ref="H36:H37"/>
    <mergeCell ref="I36:I38"/>
    <mergeCell ref="A33:A34"/>
    <mergeCell ref="B33:B34"/>
    <mergeCell ref="C33:C34"/>
    <mergeCell ref="D33:D34"/>
    <mergeCell ref="E33:E34"/>
    <mergeCell ref="G33:G35"/>
    <mergeCell ref="E39:H39"/>
    <mergeCell ref="I39:J39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E45:H45"/>
    <mergeCell ref="I45:J45"/>
    <mergeCell ref="D47:D48"/>
    <mergeCell ref="E47:E48"/>
    <mergeCell ref="F47:F48"/>
    <mergeCell ref="G47:G48"/>
    <mergeCell ref="H47:H48"/>
    <mergeCell ref="I47:I48"/>
    <mergeCell ref="A49:A50"/>
    <mergeCell ref="B49:B50"/>
    <mergeCell ref="C49:C50"/>
    <mergeCell ref="D49:D50"/>
    <mergeCell ref="E49:E50"/>
    <mergeCell ref="F49:F50"/>
    <mergeCell ref="G49:G50"/>
    <mergeCell ref="H49:H50"/>
    <mergeCell ref="E53:H53"/>
    <mergeCell ref="I53:J53"/>
    <mergeCell ref="E55:E57"/>
    <mergeCell ref="G55:G57"/>
    <mergeCell ref="I55:I57"/>
    <mergeCell ref="F56:F57"/>
    <mergeCell ref="I49:I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I60:I61"/>
    <mergeCell ref="E63:H63"/>
    <mergeCell ref="I63:J63"/>
    <mergeCell ref="A65:A67"/>
    <mergeCell ref="B65:B67"/>
    <mergeCell ref="C65:C67"/>
    <mergeCell ref="D65:D67"/>
    <mergeCell ref="E65:E67"/>
    <mergeCell ref="G65:G67"/>
    <mergeCell ref="A58:A60"/>
    <mergeCell ref="B58:B60"/>
    <mergeCell ref="C58:C60"/>
    <mergeCell ref="E58:E59"/>
    <mergeCell ref="G58:G61"/>
    <mergeCell ref="I58:I59"/>
    <mergeCell ref="A71:A73"/>
    <mergeCell ref="B71:B73"/>
    <mergeCell ref="C71:C73"/>
    <mergeCell ref="D71:D73"/>
    <mergeCell ref="E71:E73"/>
    <mergeCell ref="H65:H67"/>
    <mergeCell ref="I65:I67"/>
    <mergeCell ref="A68:A69"/>
    <mergeCell ref="B68:B69"/>
    <mergeCell ref="C68:C69"/>
    <mergeCell ref="E68:E69"/>
    <mergeCell ref="F68:F69"/>
    <mergeCell ref="G68:G69"/>
    <mergeCell ref="F71:F73"/>
    <mergeCell ref="G71:G73"/>
    <mergeCell ref="H71:H73"/>
    <mergeCell ref="I71:I73"/>
    <mergeCell ref="C74:J74"/>
    <mergeCell ref="H68:H69"/>
    <mergeCell ref="I68:I69"/>
    <mergeCell ref="E70:H70"/>
    <mergeCell ref="I70:J70"/>
    <mergeCell ref="F82:F83"/>
    <mergeCell ref="G82:G83"/>
    <mergeCell ref="H82:H83"/>
    <mergeCell ref="I82:I83"/>
    <mergeCell ref="C75:M75"/>
    <mergeCell ref="G77:G81"/>
    <mergeCell ref="I77:I80"/>
    <mergeCell ref="E78:E79"/>
    <mergeCell ref="A82:A83"/>
    <mergeCell ref="B82:B83"/>
    <mergeCell ref="C82:C83"/>
    <mergeCell ref="D82:D83"/>
    <mergeCell ref="E82:E83"/>
    <mergeCell ref="G86:G87"/>
    <mergeCell ref="H86:H87"/>
    <mergeCell ref="I86:I87"/>
    <mergeCell ref="E88:H88"/>
    <mergeCell ref="I88:J88"/>
    <mergeCell ref="G84:G85"/>
    <mergeCell ref="H84:H85"/>
    <mergeCell ref="I84:I85"/>
    <mergeCell ref="A86:A87"/>
    <mergeCell ref="B86:B87"/>
    <mergeCell ref="C86:C87"/>
    <mergeCell ref="D86:D87"/>
    <mergeCell ref="E86:E87"/>
    <mergeCell ref="F86:F87"/>
    <mergeCell ref="A84:A85"/>
    <mergeCell ref="B84:B85"/>
    <mergeCell ref="C84:C85"/>
    <mergeCell ref="D84:D85"/>
    <mergeCell ref="E84:E85"/>
    <mergeCell ref="F84:F85"/>
    <mergeCell ref="E96:E97"/>
    <mergeCell ref="F96:F97"/>
    <mergeCell ref="G96:G97"/>
    <mergeCell ref="D98:D99"/>
    <mergeCell ref="E98:E99"/>
    <mergeCell ref="F98:F99"/>
    <mergeCell ref="G98:G99"/>
    <mergeCell ref="C89:J89"/>
    <mergeCell ref="C90:M90"/>
    <mergeCell ref="C91:C101"/>
    <mergeCell ref="E92:E94"/>
    <mergeCell ref="G92:G94"/>
    <mergeCell ref="I92:I96"/>
    <mergeCell ref="F93:F94"/>
    <mergeCell ref="A109:A112"/>
    <mergeCell ref="B109:B112"/>
    <mergeCell ref="G109:G111"/>
    <mergeCell ref="I109:I111"/>
    <mergeCell ref="I112:J112"/>
    <mergeCell ref="H98:H99"/>
    <mergeCell ref="I98:I99"/>
    <mergeCell ref="E101:H101"/>
    <mergeCell ref="I101:J101"/>
    <mergeCell ref="A102:A108"/>
    <mergeCell ref="B102:B108"/>
    <mergeCell ref="C102:C108"/>
    <mergeCell ref="E102:E105"/>
    <mergeCell ref="G102:G107"/>
    <mergeCell ref="I102:I104"/>
    <mergeCell ref="A91:A101"/>
    <mergeCell ref="B91:B101"/>
    <mergeCell ref="D115:D116"/>
    <mergeCell ref="E115:E116"/>
    <mergeCell ref="F115:F116"/>
    <mergeCell ref="G115:G116"/>
    <mergeCell ref="H115:H116"/>
    <mergeCell ref="I115:I116"/>
    <mergeCell ref="F103:F106"/>
    <mergeCell ref="I105:I107"/>
    <mergeCell ref="I108:J108"/>
    <mergeCell ref="I117:J117"/>
    <mergeCell ref="A118:A120"/>
    <mergeCell ref="B118:B120"/>
    <mergeCell ref="C118:C120"/>
    <mergeCell ref="D118:D120"/>
    <mergeCell ref="E118:E120"/>
    <mergeCell ref="F118:F120"/>
    <mergeCell ref="G118:G120"/>
    <mergeCell ref="H118:H120"/>
    <mergeCell ref="I118:I119"/>
    <mergeCell ref="D125:D127"/>
    <mergeCell ref="E125:E127"/>
    <mergeCell ref="G125:G127"/>
    <mergeCell ref="H125:H127"/>
    <mergeCell ref="I125:I127"/>
    <mergeCell ref="F126:F127"/>
    <mergeCell ref="A121:A123"/>
    <mergeCell ref="B121:B123"/>
    <mergeCell ref="C121:C123"/>
    <mergeCell ref="D121:D123"/>
    <mergeCell ref="E121:E123"/>
    <mergeCell ref="F121:F123"/>
    <mergeCell ref="G121:G123"/>
    <mergeCell ref="H121:H123"/>
    <mergeCell ref="I121:I123"/>
    <mergeCell ref="I131:I133"/>
    <mergeCell ref="C134:J134"/>
    <mergeCell ref="C135:M135"/>
    <mergeCell ref="A136:A140"/>
    <mergeCell ref="B136:B140"/>
    <mergeCell ref="E138:E139"/>
    <mergeCell ref="G138:G139"/>
    <mergeCell ref="I138:I139"/>
    <mergeCell ref="E128:E129"/>
    <mergeCell ref="G128:G129"/>
    <mergeCell ref="I128:I129"/>
    <mergeCell ref="I130:J130"/>
    <mergeCell ref="C131:C133"/>
    <mergeCell ref="D131:D133"/>
    <mergeCell ref="E131:E133"/>
    <mergeCell ref="F131:F133"/>
    <mergeCell ref="G131:G133"/>
    <mergeCell ref="H131:H133"/>
    <mergeCell ref="I140:J140"/>
    <mergeCell ref="A141:A147"/>
    <mergeCell ref="B141:B147"/>
    <mergeCell ref="C141:C147"/>
    <mergeCell ref="E142:E144"/>
    <mergeCell ref="F142:F144"/>
    <mergeCell ref="G142:G144"/>
    <mergeCell ref="I142:I146"/>
    <mergeCell ref="E145:E146"/>
    <mergeCell ref="F145:F146"/>
    <mergeCell ref="G145:G146"/>
    <mergeCell ref="I147:J147"/>
    <mergeCell ref="A148:A150"/>
    <mergeCell ref="B148:B150"/>
    <mergeCell ref="C148:C150"/>
    <mergeCell ref="D148:D150"/>
    <mergeCell ref="E148:E150"/>
    <mergeCell ref="F148:F150"/>
    <mergeCell ref="G148:G150"/>
    <mergeCell ref="H148:H150"/>
    <mergeCell ref="I148:I150"/>
    <mergeCell ref="A154:A155"/>
    <mergeCell ref="B154:B155"/>
    <mergeCell ref="C154:C155"/>
    <mergeCell ref="D154:D155"/>
    <mergeCell ref="E154:E155"/>
    <mergeCell ref="F154:F155"/>
    <mergeCell ref="A175:J175"/>
    <mergeCell ref="A151:A153"/>
    <mergeCell ref="B151:B153"/>
    <mergeCell ref="C151:C153"/>
    <mergeCell ref="D151:D153"/>
    <mergeCell ref="E152:E153"/>
    <mergeCell ref="G152:G153"/>
    <mergeCell ref="I152:I153"/>
    <mergeCell ref="G154:G155"/>
    <mergeCell ref="H154:H155"/>
    <mergeCell ref="I154:I155"/>
    <mergeCell ref="A169:J169"/>
    <mergeCell ref="A176:J176"/>
    <mergeCell ref="A177:J177"/>
    <mergeCell ref="A178:J178"/>
    <mergeCell ref="I1:J1"/>
    <mergeCell ref="K8:K10"/>
    <mergeCell ref="K1:M1"/>
    <mergeCell ref="A170:J170"/>
    <mergeCell ref="A171:J171"/>
    <mergeCell ref="A172:J172"/>
    <mergeCell ref="A173:J173"/>
    <mergeCell ref="A174:J174"/>
    <mergeCell ref="A163:J163"/>
    <mergeCell ref="A164:J164"/>
    <mergeCell ref="A165:J165"/>
    <mergeCell ref="A166:J166"/>
    <mergeCell ref="A167:J167"/>
    <mergeCell ref="A168:J168"/>
    <mergeCell ref="B158:J158"/>
    <mergeCell ref="A159:M159"/>
    <mergeCell ref="A160:M160"/>
    <mergeCell ref="A161:M161"/>
    <mergeCell ref="A162:J162"/>
    <mergeCell ref="C156:J156"/>
    <mergeCell ref="B157:J157"/>
  </mergeCells>
  <printOptions horizontalCentered="1"/>
  <pageMargins left="0.78740157480314965" right="0" top="0.19685039370078741" bottom="0.19685039370078741" header="0" footer="0"/>
  <pageSetup paperSize="9" scale="75" orientation="portrait" r:id="rId1"/>
  <headerFooter alignWithMargins="0"/>
  <rowBreaks count="4" manualBreakCount="4">
    <brk id="39" max="12" man="1"/>
    <brk id="83" max="12" man="1"/>
    <brk id="127" max="12" man="1"/>
    <brk id="130" max="12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32" sqref="A32"/>
    </sheetView>
  </sheetViews>
  <sheetFormatPr defaultRowHeight="15.75" x14ac:dyDescent="0.2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 x14ac:dyDescent="0.25">
      <c r="A1" s="3303" t="s">
        <v>23</v>
      </c>
      <c r="B1" s="3303"/>
    </row>
    <row r="2" spans="1:2" ht="31.5" x14ac:dyDescent="0.25">
      <c r="A2" s="2" t="s">
        <v>4</v>
      </c>
      <c r="B2" s="1" t="s">
        <v>21</v>
      </c>
    </row>
    <row r="3" spans="1:2" ht="15.75" customHeight="1" x14ac:dyDescent="0.25">
      <c r="A3" s="125">
        <v>1</v>
      </c>
      <c r="B3" s="1" t="s">
        <v>24</v>
      </c>
    </row>
    <row r="4" spans="1:2" ht="15.75" customHeight="1" x14ac:dyDescent="0.25">
      <c r="A4" s="125">
        <v>2</v>
      </c>
      <c r="B4" s="1" t="s">
        <v>25</v>
      </c>
    </row>
    <row r="5" spans="1:2" ht="15.75" customHeight="1" x14ac:dyDescent="0.25">
      <c r="A5" s="125">
        <v>3</v>
      </c>
      <c r="B5" s="1" t="s">
        <v>26</v>
      </c>
    </row>
    <row r="6" spans="1:2" ht="15.75" customHeight="1" x14ac:dyDescent="0.25">
      <c r="A6" s="125">
        <v>4</v>
      </c>
      <c r="B6" s="1" t="s">
        <v>27</v>
      </c>
    </row>
    <row r="7" spans="1:2" ht="15.75" customHeight="1" x14ac:dyDescent="0.25">
      <c r="A7" s="125">
        <v>5</v>
      </c>
      <c r="B7" s="1" t="s">
        <v>28</v>
      </c>
    </row>
    <row r="8" spans="1:2" ht="15.75" customHeight="1" x14ac:dyDescent="0.25">
      <c r="A8" s="125">
        <v>6</v>
      </c>
      <c r="B8" s="1" t="s">
        <v>29</v>
      </c>
    </row>
    <row r="9" spans="1:2" ht="15.75" customHeight="1" x14ac:dyDescent="0.25"/>
    <row r="10" spans="1:2" ht="15.75" customHeight="1" x14ac:dyDescent="0.25">
      <c r="A10" s="3304" t="s">
        <v>32</v>
      </c>
      <c r="B10" s="3304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7</vt:i4>
      </vt:variant>
      <vt:variant>
        <vt:lpstr>Įvardinti diapazonai</vt:lpstr>
      </vt:variant>
      <vt:variant>
        <vt:i4>12</vt:i4>
      </vt:variant>
    </vt:vector>
  </HeadingPairs>
  <TitlesOfParts>
    <vt:vector size="19" baseType="lpstr">
      <vt:lpstr>6 programa</vt:lpstr>
      <vt:lpstr>Lyginamasis variantas </vt:lpstr>
      <vt:lpstr>Lyginamasis variantas</vt:lpstr>
      <vt:lpstr>2015 MVP</vt:lpstr>
      <vt:lpstr>Aiškinamoji lentelė Lt  </vt:lpstr>
      <vt:lpstr>2015 MVP lyginamasis varianta</vt:lpstr>
      <vt:lpstr>Asignavimų valdytojų kodai</vt:lpstr>
      <vt:lpstr>'2015 MVP'!Print_Area</vt:lpstr>
      <vt:lpstr>'2015 MVP lyginamasis varianta'!Print_Area</vt:lpstr>
      <vt:lpstr>'6 programa'!Print_Area</vt:lpstr>
      <vt:lpstr>'Aiškinamoji lentelė Lt  '!Print_Area</vt:lpstr>
      <vt:lpstr>'Lyginamasis variantas'!Print_Area</vt:lpstr>
      <vt:lpstr>'Lyginamasis variantas '!Print_Area</vt:lpstr>
      <vt:lpstr>'2015 MVP'!Print_Titles</vt:lpstr>
      <vt:lpstr>'2015 MVP lyginamasis varianta'!Print_Titles</vt:lpstr>
      <vt:lpstr>'6 programa'!Print_Titles</vt:lpstr>
      <vt:lpstr>'Aiškinamoji lentelė Lt  '!Print_Titles</vt:lpstr>
      <vt:lpstr>'Lyginamasis variantas'!Print_Titles</vt:lpstr>
      <vt:lpstr>'Lyginamasis variantas 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2015-05-20T08:25:35Z</cp:lastPrinted>
  <dcterms:created xsi:type="dcterms:W3CDTF">2007-07-27T10:32:34Z</dcterms:created>
  <dcterms:modified xsi:type="dcterms:W3CDTF">2015-06-11T13:54:11Z</dcterms:modified>
</cp:coreProperties>
</file>