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Šios_darbaknygės" defaultThemeVersion="124226"/>
  <bookViews>
    <workbookView xWindow="0" yWindow="795" windowWidth="15480" windowHeight="11100" tabRatio="752" firstSheet="1" activeTab="1"/>
  </bookViews>
  <sheets>
    <sheet name="2014-2016 SVP" sheetId="10" state="hidden" r:id="rId1"/>
    <sheet name="8 programa" sheetId="15" r:id="rId2"/>
    <sheet name="Asignavimų valdytojų kodai" sheetId="13" state="hidden" r:id="rId3"/>
    <sheet name="Lyginamasis variantas" sheetId="17" state="hidden" r:id="rId4"/>
  </sheets>
  <definedNames>
    <definedName name="_xlnm.Print_Area" localSheetId="0">'2014-2016 SVP'!$A$1:$Z$88</definedName>
    <definedName name="_xlnm.Print_Area" localSheetId="1">'8 programa'!$A$1:$N$115</definedName>
    <definedName name="_xlnm.Print_Area" localSheetId="3">'Lyginamasis variantas'!$A$1:$L$105</definedName>
    <definedName name="_xlnm.Print_Titles" localSheetId="0">'2014-2016 SVP'!$5:$7</definedName>
    <definedName name="_xlnm.Print_Titles" localSheetId="1">'8 programa'!$5:$7</definedName>
    <definedName name="_xlnm.Print_Titles" localSheetId="3">'Lyginamasis variantas'!$6:$8</definedName>
  </definedNames>
  <calcPr calcId="145621" fullPrecision="0"/>
</workbook>
</file>

<file path=xl/calcChain.xml><?xml version="1.0" encoding="utf-8"?>
<calcChain xmlns="http://schemas.openxmlformats.org/spreadsheetml/2006/main">
  <c r="H31" i="15" l="1"/>
  <c r="I31" i="15"/>
  <c r="I56" i="15"/>
  <c r="I79" i="15" s="1"/>
  <c r="J78" i="17"/>
  <c r="J56" i="17"/>
  <c r="J32" i="17"/>
  <c r="I32" i="17"/>
  <c r="H95" i="17" l="1"/>
  <c r="H99" i="17"/>
  <c r="I56" i="17"/>
  <c r="H56" i="17"/>
  <c r="I77" i="17" l="1"/>
  <c r="J77" i="17"/>
  <c r="J71" i="17"/>
  <c r="J70" i="17"/>
  <c r="I70" i="17"/>
  <c r="H101" i="17" l="1"/>
  <c r="H33" i="17"/>
  <c r="H98" i="17" s="1"/>
  <c r="I99" i="17" l="1"/>
  <c r="H108" i="15"/>
  <c r="J99" i="17"/>
  <c r="H32" i="15" l="1"/>
  <c r="I88" i="17" l="1"/>
  <c r="I80" i="17"/>
  <c r="I86" i="17" s="1"/>
  <c r="I65" i="17"/>
  <c r="I68" i="17" s="1"/>
  <c r="I63" i="17"/>
  <c r="I64" i="17" s="1"/>
  <c r="I61" i="17"/>
  <c r="I62" i="17" s="1"/>
  <c r="I59" i="17"/>
  <c r="I60" i="17" s="1"/>
  <c r="I101" i="17"/>
  <c r="I102" i="17"/>
  <c r="I33" i="17"/>
  <c r="I25" i="17"/>
  <c r="I24" i="17"/>
  <c r="I97" i="17" s="1"/>
  <c r="I23" i="17"/>
  <c r="I20" i="17"/>
  <c r="I19" i="17"/>
  <c r="I100" i="17" l="1"/>
  <c r="I89" i="17"/>
  <c r="I96" i="17"/>
  <c r="I98" i="17"/>
  <c r="J98" i="17" s="1"/>
  <c r="I29" i="17"/>
  <c r="I69" i="17"/>
  <c r="I21" i="17"/>
  <c r="H87" i="17"/>
  <c r="H80" i="17"/>
  <c r="H86" i="17" s="1"/>
  <c r="H71" i="17"/>
  <c r="H102" i="17" s="1"/>
  <c r="H70" i="17"/>
  <c r="H65" i="17"/>
  <c r="H68" i="17" s="1"/>
  <c r="H63" i="17"/>
  <c r="H64" i="17" s="1"/>
  <c r="H61" i="17"/>
  <c r="H62" i="17" s="1"/>
  <c r="H59" i="17"/>
  <c r="H60" i="17" s="1"/>
  <c r="H25" i="17"/>
  <c r="H24" i="17"/>
  <c r="H22" i="17"/>
  <c r="H20" i="17"/>
  <c r="I95" i="17" l="1"/>
  <c r="H88" i="17"/>
  <c r="H89" i="17" s="1"/>
  <c r="J87" i="17"/>
  <c r="J88" i="17" s="1"/>
  <c r="J89" i="17" s="1"/>
  <c r="H21" i="17"/>
  <c r="H96" i="17"/>
  <c r="J96" i="17" s="1"/>
  <c r="H23" i="17"/>
  <c r="J22" i="17"/>
  <c r="J23" i="17" s="1"/>
  <c r="J30" i="17" s="1"/>
  <c r="H97" i="17"/>
  <c r="J97" i="17" s="1"/>
  <c r="I103" i="17"/>
  <c r="I30" i="17"/>
  <c r="J101" i="17"/>
  <c r="J102" i="17"/>
  <c r="H19" i="17"/>
  <c r="I78" i="17"/>
  <c r="I90" i="17" s="1"/>
  <c r="I91" i="17" s="1"/>
  <c r="H77" i="17"/>
  <c r="H69" i="17"/>
  <c r="H29" i="17"/>
  <c r="H30" i="17" s="1"/>
  <c r="J95" i="17" l="1"/>
  <c r="J90" i="17"/>
  <c r="J91" i="17" s="1"/>
  <c r="J100" i="17"/>
  <c r="H100" i="17"/>
  <c r="H78" i="17"/>
  <c r="H90" i="17" s="1"/>
  <c r="H91" i="17" s="1"/>
  <c r="H103" i="17" l="1"/>
  <c r="J103" i="17"/>
  <c r="H107" i="15" l="1"/>
  <c r="H23" i="15" l="1"/>
  <c r="H61" i="15"/>
  <c r="H56" i="15"/>
  <c r="J31" i="15" l="1"/>
  <c r="J21" i="15"/>
  <c r="I21" i="15"/>
  <c r="H111" i="15" l="1"/>
  <c r="J96" i="15" l="1"/>
  <c r="H97" i="15"/>
  <c r="J92" i="15"/>
  <c r="I92" i="15"/>
  <c r="J88" i="15"/>
  <c r="I88" i="15"/>
  <c r="J81" i="15"/>
  <c r="I81" i="15"/>
  <c r="H81" i="15"/>
  <c r="H112" i="15"/>
  <c r="H110" i="15" s="1"/>
  <c r="I73" i="15"/>
  <c r="H78" i="15"/>
  <c r="J70" i="15"/>
  <c r="J69" i="15"/>
  <c r="I69" i="15"/>
  <c r="H68" i="15"/>
  <c r="H71" i="15" s="1"/>
  <c r="J65" i="15"/>
  <c r="I65" i="15"/>
  <c r="H65" i="15"/>
  <c r="H67" i="15" s="1"/>
  <c r="J63" i="15"/>
  <c r="J62" i="15"/>
  <c r="I62" i="15"/>
  <c r="H64" i="15"/>
  <c r="H59" i="15"/>
  <c r="I34" i="15"/>
  <c r="J33" i="15"/>
  <c r="J32" i="15"/>
  <c r="I32" i="15"/>
  <c r="J24" i="15"/>
  <c r="I24" i="15"/>
  <c r="H24" i="15"/>
  <c r="J23" i="15"/>
  <c r="I23" i="15"/>
  <c r="H106" i="15"/>
  <c r="H22" i="15"/>
  <c r="J19" i="15"/>
  <c r="I19" i="15"/>
  <c r="H19" i="15"/>
  <c r="J12" i="15"/>
  <c r="H87" i="15"/>
  <c r="H60" i="15"/>
  <c r="H18" i="15"/>
  <c r="I12" i="15"/>
  <c r="H20" i="15" l="1"/>
  <c r="H105" i="15"/>
  <c r="H28" i="15"/>
  <c r="H98" i="15"/>
  <c r="H72" i="15"/>
  <c r="H29" i="15" l="1"/>
  <c r="H79" i="15"/>
  <c r="J107" i="15"/>
  <c r="J109" i="15"/>
  <c r="J111" i="15"/>
  <c r="J112" i="15"/>
  <c r="H99" i="15" l="1"/>
  <c r="H100" i="15" s="1"/>
  <c r="H109" i="15"/>
  <c r="H104" i="15" s="1"/>
  <c r="H113" i="15" s="1"/>
  <c r="J105" i="15"/>
  <c r="I111" i="15"/>
  <c r="I109" i="15"/>
  <c r="I107" i="15"/>
  <c r="I106" i="15"/>
  <c r="I105" i="15"/>
  <c r="J87" i="15"/>
  <c r="I87" i="15"/>
  <c r="I78" i="15"/>
  <c r="I104" i="15" l="1"/>
  <c r="J56" i="15"/>
  <c r="J28" i="15"/>
  <c r="I28" i="15"/>
  <c r="I18" i="15"/>
  <c r="J18" i="15"/>
  <c r="I112" i="15" l="1"/>
  <c r="J106" i="15"/>
  <c r="J97" i="15"/>
  <c r="I97" i="15"/>
  <c r="J95" i="15"/>
  <c r="I95" i="15"/>
  <c r="J91" i="15"/>
  <c r="I91" i="15"/>
  <c r="J71" i="15"/>
  <c r="I71" i="15"/>
  <c r="J67" i="15"/>
  <c r="I67" i="15"/>
  <c r="J64" i="15"/>
  <c r="I64" i="15"/>
  <c r="J22" i="15"/>
  <c r="I22" i="15"/>
  <c r="J20" i="15"/>
  <c r="I20" i="15"/>
  <c r="I98" i="15" l="1"/>
  <c r="I72" i="15"/>
  <c r="I29" i="15"/>
  <c r="J29" i="15"/>
  <c r="J104" i="15"/>
  <c r="I110" i="15"/>
  <c r="J110" i="15"/>
  <c r="J98" i="15"/>
  <c r="J72" i="15"/>
  <c r="J79" i="15" s="1"/>
  <c r="I99" i="15" l="1"/>
  <c r="I100" i="15" s="1"/>
  <c r="J113" i="15"/>
  <c r="I113" i="15"/>
  <c r="J99" i="15"/>
  <c r="J100" i="15" s="1"/>
  <c r="V82" i="10" l="1"/>
  <c r="U82" i="10"/>
  <c r="V67" i="10"/>
  <c r="U67" i="10"/>
  <c r="V63" i="10"/>
  <c r="U63" i="10"/>
  <c r="R63" i="10"/>
  <c r="V71" i="10"/>
  <c r="U71" i="10"/>
  <c r="R71" i="10"/>
  <c r="Q71" i="10" s="1"/>
  <c r="Q68" i="10"/>
  <c r="M68" i="10"/>
  <c r="Q59" i="10"/>
  <c r="Q35" i="10"/>
  <c r="U51" i="10"/>
  <c r="R51" i="10"/>
  <c r="Q51" i="10" s="1"/>
  <c r="U56" i="10"/>
  <c r="R52" i="10"/>
  <c r="Q52" i="10" s="1"/>
  <c r="L51" i="10"/>
  <c r="I51" i="10" s="1"/>
  <c r="Z33" i="10"/>
  <c r="Y33" i="10"/>
  <c r="X33" i="10"/>
  <c r="Z32" i="10"/>
  <c r="Y32" i="10"/>
  <c r="X32" i="10"/>
  <c r="V34" i="10"/>
  <c r="V86" i="10" s="1"/>
  <c r="U34" i="10"/>
  <c r="U86" i="10" s="1"/>
  <c r="R34" i="10"/>
  <c r="Q34" i="10" s="1"/>
  <c r="M34" i="10"/>
  <c r="V33" i="10"/>
  <c r="V83" i="10" s="1"/>
  <c r="U33" i="10"/>
  <c r="U83" i="10" s="1"/>
  <c r="T33" i="10"/>
  <c r="T45" i="10" s="1"/>
  <c r="R33" i="10"/>
  <c r="V32" i="10"/>
  <c r="V45" i="10" s="1"/>
  <c r="V57" i="10" s="1"/>
  <c r="T57" i="10" l="1"/>
  <c r="R56" i="10"/>
  <c r="Q56" i="10" s="1"/>
  <c r="Q33" i="10"/>
  <c r="U32" i="10"/>
  <c r="U45" i="10" s="1"/>
  <c r="U57" i="10" s="1"/>
  <c r="R32" i="10"/>
  <c r="S32" i="10"/>
  <c r="S45" i="10" s="1"/>
  <c r="S57" i="10" s="1"/>
  <c r="V24" i="10"/>
  <c r="V29" i="10" s="1"/>
  <c r="U24" i="10"/>
  <c r="U29" i="10" s="1"/>
  <c r="R24" i="10"/>
  <c r="Q24" i="10" s="1"/>
  <c r="Z12" i="10"/>
  <c r="Y12" i="10"/>
  <c r="X12" i="10"/>
  <c r="V12" i="10"/>
  <c r="U12" i="10"/>
  <c r="R12" i="10"/>
  <c r="R19" i="10" s="1"/>
  <c r="U19" i="10" l="1"/>
  <c r="U81" i="10"/>
  <c r="V19" i="10"/>
  <c r="Q32" i="10"/>
  <c r="R45" i="10"/>
  <c r="Q12" i="10"/>
  <c r="R29" i="10"/>
  <c r="R57" i="10" l="1"/>
  <c r="Q57" i="10" s="1"/>
  <c r="Q45" i="10"/>
  <c r="R73" i="10" l="1"/>
  <c r="Q72" i="10"/>
  <c r="Q73" i="10" l="1"/>
  <c r="R74" i="10"/>
  <c r="Q86" i="10"/>
  <c r="Q85" i="10" l="1"/>
  <c r="Q83" i="10" l="1"/>
  <c r="P45" i="10" l="1"/>
  <c r="Q47" i="10" l="1"/>
  <c r="Q25" i="10"/>
  <c r="Q82" i="10" l="1"/>
  <c r="Q29" i="10"/>
  <c r="O45" i="10" l="1"/>
  <c r="N45" i="10"/>
  <c r="M45" i="10" s="1"/>
  <c r="N19" i="10"/>
  <c r="N73" i="10"/>
  <c r="M72" i="10"/>
  <c r="M73" i="10" s="1"/>
  <c r="N71" i="10"/>
  <c r="M71" i="10"/>
  <c r="N63" i="10"/>
  <c r="M63" i="10"/>
  <c r="M40" i="10"/>
  <c r="M47" i="10"/>
  <c r="M25" i="10"/>
  <c r="M22" i="10"/>
  <c r="M19" i="10" l="1"/>
  <c r="M29" i="10"/>
  <c r="N57" i="10"/>
  <c r="P74" i="10"/>
  <c r="O74" i="10"/>
  <c r="N74" i="10"/>
  <c r="M74" i="10"/>
  <c r="M57" i="10" l="1"/>
  <c r="O57" i="10"/>
  <c r="P57" i="10"/>
  <c r="N29" i="10" l="1"/>
  <c r="V85" i="10" l="1"/>
  <c r="J29" i="10" l="1"/>
  <c r="I25" i="10" l="1"/>
  <c r="I82" i="10" l="1"/>
  <c r="J45" i="10" l="1"/>
  <c r="K45" i="10"/>
  <c r="L45" i="10"/>
  <c r="J19" i="10"/>
  <c r="I83" i="10" l="1"/>
  <c r="M20" i="10" l="1"/>
  <c r="I85" i="10"/>
  <c r="I86" i="10"/>
  <c r="U85" i="10"/>
  <c r="M85" i="10"/>
  <c r="L74" i="10"/>
  <c r="M86" i="10"/>
  <c r="U73" i="10"/>
  <c r="U74" i="10" s="1"/>
  <c r="V73" i="10"/>
  <c r="K74" i="10"/>
  <c r="K29" i="10"/>
  <c r="L29" i="10"/>
  <c r="O29" i="10"/>
  <c r="P29" i="10"/>
  <c r="S29" i="10"/>
  <c r="T29" i="10"/>
  <c r="K19" i="10"/>
  <c r="L19" i="10"/>
  <c r="O19" i="10"/>
  <c r="P19" i="10"/>
  <c r="S19" i="10"/>
  <c r="T19" i="10"/>
  <c r="Q19" i="10" s="1"/>
  <c r="S63" i="10"/>
  <c r="T63" i="10"/>
  <c r="Q63" i="10" s="1"/>
  <c r="J56" i="10"/>
  <c r="I29" i="10"/>
  <c r="J23" i="10"/>
  <c r="I22" i="10"/>
  <c r="J21" i="10"/>
  <c r="I21" i="10" s="1"/>
  <c r="I20" i="10"/>
  <c r="V21" i="10"/>
  <c r="U21" i="10"/>
  <c r="R21" i="10"/>
  <c r="Q21" i="10" s="1"/>
  <c r="N21" i="10"/>
  <c r="M21" i="10" s="1"/>
  <c r="Q20" i="10"/>
  <c r="V23" i="10"/>
  <c r="U23" i="10"/>
  <c r="R23" i="10"/>
  <c r="N23" i="10"/>
  <c r="Q22" i="10"/>
  <c r="Q81" i="10" l="1"/>
  <c r="L57" i="10"/>
  <c r="V74" i="10"/>
  <c r="N30" i="10"/>
  <c r="N75" i="10" s="1"/>
  <c r="N76" i="10" s="1"/>
  <c r="U84" i="10"/>
  <c r="V30" i="10"/>
  <c r="J30" i="10"/>
  <c r="K57" i="10"/>
  <c r="M23" i="10"/>
  <c r="U30" i="10"/>
  <c r="I23" i="10"/>
  <c r="I19" i="10"/>
  <c r="I81" i="10"/>
  <c r="T30" i="10"/>
  <c r="P30" i="10"/>
  <c r="L30" i="10"/>
  <c r="M81" i="10"/>
  <c r="O30" i="10"/>
  <c r="O75" i="10" s="1"/>
  <c r="O76" i="10" s="1"/>
  <c r="K30" i="10"/>
  <c r="S30" i="10"/>
  <c r="Q74" i="10"/>
  <c r="Q84" i="10"/>
  <c r="V84" i="10"/>
  <c r="U80" i="10"/>
  <c r="Q23" i="10"/>
  <c r="R30" i="10"/>
  <c r="M82" i="10"/>
  <c r="J57" i="10"/>
  <c r="I56" i="10"/>
  <c r="I84" i="10"/>
  <c r="I39" i="10"/>
  <c r="M83" i="10"/>
  <c r="M84" i="10"/>
  <c r="I30" i="10" l="1"/>
  <c r="U87" i="10"/>
  <c r="M30" i="10"/>
  <c r="M75" i="10" s="1"/>
  <c r="M76" i="10" s="1"/>
  <c r="P75" i="10"/>
  <c r="P76" i="10" s="1"/>
  <c r="S75" i="10"/>
  <c r="S76" i="10" s="1"/>
  <c r="I80" i="10"/>
  <c r="I87" i="10" s="1"/>
  <c r="I45" i="10"/>
  <c r="Q30" i="10"/>
  <c r="Q80" i="10"/>
  <c r="Q87" i="10" s="1"/>
  <c r="L75" i="10"/>
  <c r="L76" i="10" s="1"/>
  <c r="R75" i="10"/>
  <c r="R76" i="10" s="1"/>
  <c r="K75" i="10"/>
  <c r="K76" i="10" s="1"/>
  <c r="T75" i="10"/>
  <c r="T76" i="10" s="1"/>
  <c r="V75" i="10"/>
  <c r="V76" i="10" s="1"/>
  <c r="M80" i="10"/>
  <c r="M87" i="10" s="1"/>
  <c r="U75" i="10"/>
  <c r="U76" i="10" s="1"/>
  <c r="I57" i="10" l="1"/>
  <c r="V81" i="10" s="1"/>
  <c r="V80" i="10" s="1"/>
  <c r="V87" i="10" s="1"/>
  <c r="Q75" i="10"/>
  <c r="Q76" i="10" s="1"/>
  <c r="J74" i="10"/>
  <c r="J75" i="10" s="1"/>
  <c r="J76" i="10" s="1"/>
  <c r="I74" i="10"/>
  <c r="I75" i="10" l="1"/>
  <c r="I76" i="10" s="1"/>
</calcChain>
</file>

<file path=xl/comments1.xml><?xml version="1.0" encoding="utf-8"?>
<comments xmlns="http://schemas.openxmlformats.org/spreadsheetml/2006/main">
  <authors>
    <author>Snieguole Kacerauskaite</author>
    <author>Sniega</author>
  </authors>
  <commentList>
    <comment ref="E89" authorId="0">
      <text>
        <r>
          <rPr>
            <sz val="9"/>
            <color indexed="81"/>
            <rFont val="Tahoma"/>
            <family val="2"/>
            <charset val="186"/>
          </rPr>
          <t xml:space="preserve">"Dalyvauti Baltijos jūros regiono šalių kultūrinėse programose ir jas inicijuoti" </t>
        </r>
      </text>
    </comment>
    <comment ref="E90" authorId="1">
      <text>
        <r>
          <rPr>
            <sz val="9"/>
            <color indexed="81"/>
            <rFont val="Tahoma"/>
            <family val="2"/>
            <charset val="186"/>
          </rPr>
          <t xml:space="preserve">"Organizuoti Baltijos jūros regiono šalių  kultūros forumus"
</t>
        </r>
      </text>
    </comment>
    <comment ref="E92" authorId="1">
      <text>
        <r>
          <rPr>
            <sz val="9"/>
            <color indexed="81"/>
            <rFont val="Tahoma"/>
            <family val="2"/>
            <charset val="186"/>
          </rPr>
          <t xml:space="preserve">"Bendradarbiaujant su mokslo, verslo ir valstybinėmis įstaigomis parengti ir įgyvendinti miesto jūrinio paveldo tyrimų programą"
</t>
        </r>
      </text>
    </comment>
    <comment ref="E96" authorId="1">
      <text>
        <r>
          <rPr>
            <sz val="9"/>
            <color indexed="81"/>
            <rFont val="Tahoma"/>
            <family val="2"/>
            <charset val="186"/>
          </rPr>
          <t xml:space="preserve">"Įkurti kūrybinio verslo inkubatorių Kultūros fabrike, siekiant plėtoti kūrybinių  ir kultūrinių industrijų veiklą"
</t>
        </r>
      </text>
    </comment>
  </commentList>
</comments>
</file>

<file path=xl/comments2.xml><?xml version="1.0" encoding="utf-8"?>
<comments xmlns="http://schemas.openxmlformats.org/spreadsheetml/2006/main">
  <authors>
    <author>Sniega</author>
  </authors>
  <commentList>
    <comment ref="E87" authorId="0">
      <text>
        <r>
          <rPr>
            <sz val="9"/>
            <color indexed="81"/>
            <rFont val="Tahoma"/>
            <family val="2"/>
            <charset val="186"/>
          </rPr>
          <t xml:space="preserve">"Įkurti kūrybinio verslo inkubatorių Kultūros fabrike, siekiant plėtoti kūrybinių  ir kultūrinių industrijų veiklą"
</t>
        </r>
      </text>
    </comment>
  </commentList>
</comments>
</file>

<file path=xl/sharedStrings.xml><?xml version="1.0" encoding="utf-8"?>
<sst xmlns="http://schemas.openxmlformats.org/spreadsheetml/2006/main" count="669" uniqueCount="229">
  <si>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</si>
  <si>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</si>
  <si>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</si>
  <si>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</si>
  <si>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</si>
  <si>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</si>
  <si>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</si>
  <si>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</si>
  <si>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</si>
  <si>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</si>
  <si>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</si>
  <si>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</si>
  <si>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SB</t>
  </si>
  <si>
    <t>04</t>
  </si>
  <si>
    <t>08</t>
  </si>
  <si>
    <t>Iš viso uždaviniui:</t>
  </si>
  <si>
    <t>Iš viso:</t>
  </si>
  <si>
    <t>Iš viso tikslui:</t>
  </si>
  <si>
    <t>Svarbių sukakčių pažymėjimas, žymių žmonių pagerbimas ir atminimo įamžinimas</t>
  </si>
  <si>
    <t>Finansavimo šaltiniai</t>
  </si>
  <si>
    <t>LRVB</t>
  </si>
  <si>
    <t>Finansavimo šaltinių suvestinė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</si>
  <si>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</si>
  <si>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</si>
  <si>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</si>
  <si>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>Pavadinimas</t>
  </si>
  <si>
    <t>Turtui įsigyti ir finansiniams įsipareigojimams vykdyti</t>
  </si>
  <si>
    <t>Iš jų darbo užmokesčiui</t>
  </si>
  <si>
    <t>SB(SP)</t>
  </si>
  <si>
    <t>ES</t>
  </si>
  <si>
    <t>Strateginis tikslas 03. Užtikrinti gyventojams aukštą švietimo, kultūros, socialinių, sporto ir sveikatos apsaugos paslaugų kokybę ir prieinamumą</t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</si>
  <si>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</si>
  <si>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t>SAVIVALDYBĖS LĖŠOS, IŠ VISO</t>
  </si>
  <si>
    <t>KITOS LĖŠOS, IŠ VISO</t>
  </si>
  <si>
    <t xml:space="preserve">08 Miesto kultūrinio savitumo puoselėjimo bei kultūrinių paslaugų gerinimo programa </t>
  </si>
  <si>
    <t>2</t>
  </si>
  <si>
    <t>BĮ Klaipėdos miesto savivaldybės kultūros centro Žvejų rūmų veiklos organizavimas</t>
  </si>
  <si>
    <t>BĮ Klaipėdos miesto savivaldybės tautinių kultūrų centro veiklos organizavimas</t>
  </si>
  <si>
    <t>BĮ Klaipėdos miesto savivaldybės etnokultūros centro veiklos organizavimas</t>
  </si>
  <si>
    <t>Remti kūrybinių organizacijų iniciatyvas ir miesto švenčių organizavimą</t>
  </si>
  <si>
    <t>Kultūrinių projektų dalinis finansavimas ir vykdymas</t>
  </si>
  <si>
    <t>Organizuota jaunųjų kūrėjų kūrybos pristatymų, sk.</t>
  </si>
  <si>
    <t>Skirta meno stipendijų, sk.</t>
  </si>
  <si>
    <t>Lankytojų skaičius, tūkst.</t>
  </si>
  <si>
    <t>4</t>
  </si>
  <si>
    <t>2015-ųjų metų lėšų projektas</t>
  </si>
  <si>
    <t>2014-ieji metai</t>
  </si>
  <si>
    <t>2015-ieji metai</t>
  </si>
  <si>
    <t>planas</t>
  </si>
  <si>
    <t>Einamieji remonto darbai kultūros įstaigų darbo sąlygoms pagerinti: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</si>
  <si>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</si>
  <si>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</si>
  <si>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</si>
  <si>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</si>
  <si>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</si>
  <si>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</si>
  <si>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</si>
  <si>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</si>
  <si>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</si>
  <si>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Kultūros įstaigų veiklos organizavimas:</t>
  </si>
  <si>
    <t>Kultūros objektų infrastruktūros modernizavimas:</t>
  </si>
  <si>
    <t>MIESTO KULTŪRINIO SAVITUMO PUOSELĖJIMO BEI KULTŪRINIŲ PASLAUGŲ GERINIMO PROGRAMOS (NR. 08)</t>
  </si>
  <si>
    <t>Finansuota programų, sk.</t>
  </si>
  <si>
    <t>Meno stipendijų kultūros ir meno kūrėjams mokėjimas</t>
  </si>
  <si>
    <t>Patvirtintos lėšos 2013-iesiems metams**</t>
  </si>
  <si>
    <t>Lėšų poreikis 2014-iesiems metams</t>
  </si>
  <si>
    <t>2014-ųjų metų asignavimų planas</t>
  </si>
  <si>
    <t>2016-ųjų metų lėšų projektas</t>
  </si>
  <si>
    <t>2016-ieji metai</t>
  </si>
  <si>
    <t>Jaunųjų kūrėjų kūrybos pristatymas</t>
  </si>
  <si>
    <t>Jaunimo teatrinės veiklos programų rėmimas</t>
  </si>
  <si>
    <t>Tarptautinių ir regioninių kultūrinio turizmo kelių vystymas ir sklaida</t>
  </si>
  <si>
    <t>Parengta programa ir sąvadas</t>
  </si>
  <si>
    <t xml:space="preserve">Miesto jūrinį tapatumą atspindinčių objektų (istorinių laivų ir pan.) pritaikymas kultūrinio turizmo reikmėms </t>
  </si>
  <si>
    <t>Kilnojamųjų ekspozicijų gamyba ir jūrinės kultūros pristatymas (turizmo mugėse, parodose ir kt. renginiuose)</t>
  </si>
  <si>
    <t>3.2.2.2.</t>
  </si>
  <si>
    <t>3.3.1.1</t>
  </si>
  <si>
    <t>3.3.2.3.</t>
  </si>
  <si>
    <t>3.3.2.6.</t>
  </si>
  <si>
    <t>Baltijos jūros regiono šalių kultūrinį bendradarbiavimą skatinančių renginių organizavimas</t>
  </si>
  <si>
    <t>Baltijos jūros regiono šalių kultūros forumo organizavimas</t>
  </si>
  <si>
    <t>3.3.3.2.</t>
  </si>
  <si>
    <t>Užtikrinti kultūros įstaigų veiklą ir atnaujinti viešąsias kultūros erdves</t>
  </si>
  <si>
    <t>Surengtas Baltijos jūros šalių kultūros forumas</t>
  </si>
  <si>
    <t>3.3.4.1.</t>
  </si>
  <si>
    <t>Iš viso programai:</t>
  </si>
  <si>
    <t>Jūrinio paveldo tyrimų ir jūrinio paveldo aktualizavimo rėmimas</t>
  </si>
  <si>
    <t>Jūrinio paveldo tyrimų aktualizavimas ir pritaikymas</t>
  </si>
  <si>
    <t xml:space="preserve">Jūrinio paveldo tyrimų rėmimas </t>
  </si>
  <si>
    <t>Dalinį finansavimą gavusių tyrimų sk.</t>
  </si>
  <si>
    <t>3.3.1.2.</t>
  </si>
  <si>
    <t>2013-ųjų m. asignavimų planas</t>
  </si>
  <si>
    <t>2014-ųjų metų  asignavimų planas</t>
  </si>
  <si>
    <t>Paremtų rezidentų sk.</t>
  </si>
  <si>
    <t>Pritaikyta tyrimų, sk.</t>
  </si>
  <si>
    <t>3.3.2.4</t>
  </si>
  <si>
    <t>3.3.3.1.</t>
  </si>
  <si>
    <t>BĮ Klaipėdos miesto savivaldybės Mažosios Lietuvos istorijos muziejaus veiklos organizavimas</t>
  </si>
  <si>
    <t>SB(VR)</t>
  </si>
  <si>
    <r>
      <t xml:space="preserve">Vietinės rinkliavos lėšos </t>
    </r>
    <r>
      <rPr>
        <b/>
        <sz val="10"/>
        <rFont val="Times New Roman"/>
        <family val="1"/>
        <charset val="186"/>
      </rPr>
      <t>SB(VR)</t>
    </r>
  </si>
  <si>
    <t>Kultūrinio turizmo maršrutų  (vėtrungių, švyturių, vargonų, karalienės Luizės keliо) formavimas</t>
  </si>
  <si>
    <t>Kūrybinių industrijų Menų inkubatoriaus rezidentų projektų dalinis finansavimas</t>
  </si>
  <si>
    <t xml:space="preserve">Dokumentacijos, reikalingos kultūros infrastruktūros plėtrai, parengimas:          </t>
  </si>
  <si>
    <t xml:space="preserve">2.4.3.2. </t>
  </si>
  <si>
    <t xml:space="preserve">Atlikta darbų (atnaujintas ir apšiltintas stogas, restauruotas fasadas, pakeistos durys, langai ir langinės, apšiltintos vidaus sienos), proc. </t>
  </si>
  <si>
    <t>Valstybinių dienų ir miesto švenčių organizavimas</t>
  </si>
  <si>
    <t>Kultūrinių renginių organizavimas</t>
  </si>
  <si>
    <t>Skatinti miesto bendruomenės kultūrinį ir kūrybinį aktyvumą bei gerinti kultūrinių paslaugų prieinamumą ir kokybę</t>
  </si>
  <si>
    <t>Dalyvauta Lietuvos dainų šventėje „Čia mūsų namai“</t>
  </si>
  <si>
    <t>Parengta galimybių studijų, sk.</t>
  </si>
  <si>
    <t xml:space="preserve">Parengta ekspozicijų atnaujinimo ir Piliavietės erdvių muziejifikavimo koncepcija ir programa, sk.              </t>
  </si>
  <si>
    <t>Suorganizuota renginių, sk.</t>
  </si>
  <si>
    <t>10</t>
  </si>
  <si>
    <t>8</t>
  </si>
  <si>
    <t>BĮ Klaipėdos miesto savivaldybės kultūros centro Žvejų rūmų;</t>
  </si>
  <si>
    <t>BĮ Klaipėdos miesto savivaldybės koncertinės įstaigos Klaipėdos koncertų salės;</t>
  </si>
  <si>
    <t>BĮ Klaipėdos miesto savivaldybės tautinių kultūrų centro;</t>
  </si>
  <si>
    <t>BĮ Klaipėdos miesto savivaldybės viešosios bibliotekos;</t>
  </si>
  <si>
    <t>BĮ Klaipėdos miesto savivaldybės Mažosios Lietuvos istorijos muziejaus;</t>
  </si>
  <si>
    <t>BĮ Klaipėdos miesto savivaldybės etnokultūros centro</t>
  </si>
  <si>
    <t>Etnokultūros centro pastato (Bažnyčių g. 4) fasado ir stogo remontas;</t>
  </si>
  <si>
    <t>Suremontuota kultūros objektų, sk.</t>
  </si>
  <si>
    <t>Pagaminta ekspozicijų, sk.</t>
  </si>
  <si>
    <t>Kultūrinio turizmo maršrutų  (vėtrungių, švyturių, vargonų, karalienės Luizės keliо) formavimas;</t>
  </si>
  <si>
    <t>Miesto jūrinį tapatumą atspindinčių objektų (istorinių laivų ir pan.) pritaikymas kultūrinio turizmo reikmėms;</t>
  </si>
  <si>
    <t>Tarptautinių ir regioninių kultūrinio turizmo kelių vystymas ir sklaida:</t>
  </si>
  <si>
    <t>Baltijos jūros regiono šalių kultūrinį bendradarbiavimą skatinančių renginių organizavimas:</t>
  </si>
  <si>
    <t>Organizacijų, dalyvaujančių ar inicijuojančių dalyvavimą Baltijos jūros regiono šalių kultūrinio bendradarbiavimo programose, projektų dalinis finansavimas;</t>
  </si>
  <si>
    <t>Kultūrinių projektų dalinis finansavimas ir vykdymas:</t>
  </si>
  <si>
    <t>Jaunųjų kūrėjų kūrybos pristatymas;</t>
  </si>
  <si>
    <t>Įvairių socialinių grupių kultūrinės bei edukacinės veiklos projektų dalinis finansavimas;</t>
  </si>
  <si>
    <t>Kultūros, meno  ir leidybos projektų dalinis finansavimas;</t>
  </si>
  <si>
    <t>Iš dalies finansuota projektų, sk.</t>
  </si>
  <si>
    <t>Reprezentacinių Klaipėdos festivalių dalinis finansavimas;</t>
  </si>
  <si>
    <t xml:space="preserve">Jūros šventės organizavimas ir įgyvendinimas  </t>
  </si>
  <si>
    <t>BĮ Klaipėdos kultūrų komunikacijų centro, iš jų:</t>
  </si>
  <si>
    <t>Formuoti miesto kultūrinį tapatumą, integruotą į Baltijos jūros regiono kultūrinę erdvę</t>
  </si>
  <si>
    <t>Fachverkinės architektūros pastatų komplekso (Bažnyčių g. 4 / Daržų g. 10) sutvarkymas pagal programą „Kultūros ir gamtos paveldo išsaugojimas ir atgaivinimas“</t>
  </si>
  <si>
    <t>Klaipėdos koncertų salės pastato šlaitinio čerpių stogo remontas;</t>
  </si>
  <si>
    <t>Kultūros centro Žvejų rūmų scenos patalpų remontas</t>
  </si>
  <si>
    <t xml:space="preserve">Iš dalies finansuota projektų, sk. </t>
  </si>
  <si>
    <t>Reprezentacinių Klaipėdos festivalių dalinis finansavimas</t>
  </si>
  <si>
    <t>BĮ Klaipėdos kultūrų komunikacijų centro veiklos organizavimas, iš jų:</t>
  </si>
  <si>
    <t>Kultūros įstaigų, taikančių  Atviros erdvės principus, veiklos projektų dalinis finansavimas</t>
  </si>
  <si>
    <r>
      <t xml:space="preserve">Dokumentacijos, reikalingos kultūros infrastruktūros plėtrai, parengimas </t>
    </r>
    <r>
      <rPr>
        <sz val="10"/>
        <rFont val="Times New Roman"/>
        <family val="1"/>
        <charset val="186"/>
      </rPr>
      <t xml:space="preserve">(Viešosios bibliotekos tinklo ir bendruomenės centrų  modernizavimo galimybių studijos, Vasaros koncertų estrados modernizavimo galimybių studijos, Dailės palikimo išsaugojimo Klaipėdos m. koncepcijos ir programos (galerijos))    </t>
    </r>
    <r>
      <rPr>
        <b/>
        <sz val="10"/>
        <rFont val="Times New Roman"/>
        <family val="1"/>
      </rPr>
      <t xml:space="preserve">   </t>
    </r>
  </si>
  <si>
    <t>Renginių, kuriuose dalyvauta, sk.</t>
  </si>
  <si>
    <t>Pagaminta memorialinių objektų, sk.</t>
  </si>
  <si>
    <t xml:space="preserve"> 2014–2016 M. KLAIPĖDOS MIESTO SAVIVALDYBĖS</t>
  </si>
  <si>
    <t>Funkcinės klasifikacijos kodas</t>
  </si>
  <si>
    <t xml:space="preserve"> TIKSLŲ, UŽDAVINIŲ, PRIEMONIŲ, PRIEMONIŲ IŠLAIDŲ IR PRODUKTO KRITERIJŲ SUVESTINĖ</t>
  </si>
  <si>
    <t>Produkto kriterijaus</t>
  </si>
  <si>
    <t>Senjorų kultūrinio užimtumo projektų dalinis finansavimas;</t>
  </si>
  <si>
    <t>Projekto „Pažink svetimšalį: Gdansko, Kaliningrado ir Klaipėdos gyventojų savitarpio pažinimo skatinimas per šiuolaikinės kultūros ir meno mainus“ įgyvendinimas;</t>
  </si>
  <si>
    <t>3.3.2.5, 3.3.2.7</t>
  </si>
  <si>
    <t>2015 m. projektas</t>
  </si>
  <si>
    <t>2016 m. projektas</t>
  </si>
  <si>
    <t>2015-ųjų metų asignavimų planas</t>
  </si>
  <si>
    <t>2017-ųjų metų lėšų projektas</t>
  </si>
  <si>
    <t>2017-ieji metai</t>
  </si>
  <si>
    <t>Jūrinę kultūrą puoselėjančių renginių dalinis finansavimas</t>
  </si>
  <si>
    <t>Nusipelniusių žmonių pagerbimas ir istorinių įvykių, vietų bei asmenybių atminimo įamžinimas</t>
  </si>
  <si>
    <t>BĮ Klaipėdos miesto savivaldybės koncertinės įstaigos Klaipėdos koncertų salės veiklos organizavimas, iš jų:</t>
  </si>
  <si>
    <t>BĮ Klaipėdos kultūrų komunikacijų centro fachverkinės architektūros pastato tvarkybos darbai (avarinės būklės likvidavimas, taikomieji tyrimai, projektavimas)</t>
  </si>
  <si>
    <t>Miesto kultūrą pristatančių objektų gamyba (ekspozicinė įranga, ekspozicijos, leidiniai)</t>
  </si>
  <si>
    <t>Baltijos jūros regiono šalių kultūrinio bendradarbiavimo projektų dalinis finansavimas</t>
  </si>
  <si>
    <t>Baltijos jūros regiono šalių kultūros forumų inicijavimas ir organizavimas</t>
  </si>
  <si>
    <t>Kūrybinių industrijų Menų inkubatoriaus rezidentų projektų dalinis finansavimas (stipendijos kultūros ir meno kūrėjams)</t>
  </si>
  <si>
    <t>5</t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</si>
  <si>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</si>
  <si>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t>SB(P)</t>
  </si>
  <si>
    <t xml:space="preserve">
30</t>
  </si>
  <si>
    <t xml:space="preserve">Parengtas techninis projektas, vnt.
</t>
  </si>
  <si>
    <t>Klaipėdos miesto savivaldybės Mažosios Lietuvos istorijos muziejaus Kalvystės muziejaus Šaltkalvių g. 2, Klaipėda, energetinio efektyvumo didinimas</t>
  </si>
  <si>
    <t xml:space="preserve">Parengtas techninis projektas, vnt.
</t>
  </si>
  <si>
    <t>Atlikti rekonsrukcijos darbai, užbaigtumas, proc.</t>
  </si>
  <si>
    <t>Klaipėdos miesto savivaldybės viešosios bibliotekos „Kauno atžalynas“ filialo pritaikymas bendruomenės poreikiams</t>
  </si>
  <si>
    <t>Etnokultūros centro pastato (Bažnyčių g. 4) šiluminio mazgo remontas</t>
  </si>
  <si>
    <t>Kultūros, meno, edukacinės veiklos ir leidybos projektų dalinis finansavimas</t>
  </si>
  <si>
    <t xml:space="preserve">Dailės palikimo išsaugojimo Klaipėdos m. koncepcijos ir programos parengimas (galerija) </t>
  </si>
  <si>
    <t>2015 m. asignavimų planas</t>
  </si>
  <si>
    <t>2016 m. lėšų projektas</t>
  </si>
  <si>
    <t>2017 m. lėšų projektas</t>
  </si>
  <si>
    <t>3.3.2.3</t>
  </si>
  <si>
    <t>1068</t>
  </si>
  <si>
    <t>833,5</t>
  </si>
  <si>
    <t>823,5</t>
  </si>
  <si>
    <t>3.3.2.5., 3.3.2.7.</t>
  </si>
  <si>
    <t>Iš viso priemonei:</t>
  </si>
  <si>
    <t>Vasaros koncertų estrados remontas</t>
  </si>
  <si>
    <t>3.2.2.2, 3.3.1.1, 3.3.2.6.</t>
  </si>
  <si>
    <t>Eur</t>
  </si>
  <si>
    <t>Planas</t>
  </si>
  <si>
    <t>Iš dalies finansuota projektų, skaičius</t>
  </si>
  <si>
    <t>Organizuota jaunųjų kūrėjų kūrybos pristatymų, skaičius</t>
  </si>
  <si>
    <t>Finansuota programų, skaičius</t>
  </si>
  <si>
    <t>Skirta meno stipendijų, skaičius</t>
  </si>
  <si>
    <t>Suorganizuota renginių, skaičius</t>
  </si>
  <si>
    <t>Pagaminta memorialinių objektų ir apdovanojimų, skaičius</t>
  </si>
  <si>
    <t>Organizuota apdovanojimo ceremonijų, skaičius</t>
  </si>
  <si>
    <t xml:space="preserve">Parengta ekspozicijų atnaujinimo ir piliavietės erdvių muziejifikavimo koncepcijų ir programų, skaičius            </t>
  </si>
  <si>
    <t>Parengta galimybių studijų, skaičius</t>
  </si>
  <si>
    <t xml:space="preserve">Iš dalies finansuota projektų, skaičius </t>
  </si>
  <si>
    <t>Pagaminta ekspozicijų, skaičius</t>
  </si>
  <si>
    <t>Išleista leidinių, skaičius</t>
  </si>
  <si>
    <t>Pritaikyta objektų, skaičius</t>
  </si>
  <si>
    <t>Inicijuota kultūros forumų, skaičius</t>
  </si>
  <si>
    <t>Atlikta tyrimų, skaičius</t>
  </si>
  <si>
    <t>Paremta rezidentų, skaičius</t>
  </si>
  <si>
    <t>Socialinę atskirtį mažinančių kultūros projektų dalinis finansavimas (2015 m. – projektai, skirti Senjorų metams paminėti)</t>
  </si>
  <si>
    <t>Jūros šventės  organizavimas ir įgyvendinimas</t>
  </si>
  <si>
    <t>BĮ Klaipėdos miesto savivaldybės viešosios bibliotekos veiklos organizavimas</t>
  </si>
  <si>
    <t xml:space="preserve"> - projekto „Pažink svetimšalį: Gdansko, Kaliningrado ir Klaipėdos gyventojų savitarpio pažinimo skatinimas per šiuolaikinės kultūros ir meno mainus“ įgyvendinimas</t>
  </si>
  <si>
    <t>Fachverkinės architektūros pastatų komplekso (Bažnyčių g. 4 / Daržų g. 10; Aukštoji g. 1 / Didžioji Vandens g. 2) sutvarkymas</t>
  </si>
  <si>
    <t>Pastato Debreceno g. 48 pritaikymas BĮ Klaipėdos miesto kultūros centro Žvejų rūmų veiklai (senjorų užimtumui)</t>
  </si>
  <si>
    <t>Miesto jūrinį tapatumą atspindinčių objektų (istorinių laivų ir pan.) pritaikymas kultūrinio turizmo reikmėms</t>
  </si>
  <si>
    <t>Jūrinio paveldo tyrimų rėmimas</t>
  </si>
  <si>
    <t xml:space="preserve"> - Europos ekonominės erdvės  projekto „Tarptautinės kūrybinės koprodukcijos šiuolaikinės muzikos festivalis „Permainų muzika“ įgyvendinimas</t>
  </si>
  <si>
    <t xml:space="preserve"> 2015–2017 M. KLAIPĖDOS MIESTO SAVIVALDYBĖS</t>
  </si>
  <si>
    <t>Skirtumas</t>
  </si>
  <si>
    <t>Siūlomas keisti 2016-ųjų metų asignavimų planas</t>
  </si>
  <si>
    <t>Siūlomas keisti 2015 m. asignavimų planas</t>
  </si>
  <si>
    <t>Lyginamasis variantas</t>
  </si>
  <si>
    <t xml:space="preserve"> - Europos ekonominės erdvės  projektas „Bendradarbiavimu paremta profesionalaus meno integracija į kūrybines dirbtuves“</t>
  </si>
  <si>
    <t>SB(SPL)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</si>
  <si>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</si>
  <si>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t>Parengtas investicijų projektas, vnt.</t>
  </si>
  <si>
    <t>Pateikta paraiška</t>
  </si>
  <si>
    <t xml:space="preserve">Parengtas investicijų projektas, vnt.
</t>
  </si>
  <si>
    <r>
      <rPr>
        <strike/>
        <sz val="10"/>
        <color rgb="FFFF0000"/>
        <rFont val="Times New Roman"/>
        <family val="1"/>
        <charset val="186"/>
      </rPr>
      <t>3</t>
    </r>
    <r>
      <rPr>
        <sz val="10"/>
        <color rgb="FFFF0000"/>
        <rFont val="Times New Roman"/>
        <family val="1"/>
        <charset val="186"/>
      </rPr>
      <t xml:space="preserve">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</si>
</sst>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sz val="9"/>
      <name val="Times New Roman"/>
      <family val="1"/>
    </font>
    <font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u/>
      <sz val="10"/>
      <name val="Times New Roman"/>
      <family val="1"/>
    </font>
    <font>
      <b/>
      <sz val="9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276">
    <xf numFmtId="0" fontId="0" fillId="0" borderId="0" xfId="0"/>
    <xf numFmtId="0" fontId="4" fillId="0" borderId="0" xfId="0" applyFont="1"/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/>
    </xf>
    <xf numFmtId="164" fontId="5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1" xfId="0" applyFont="1" applyFill="1" applyBorder="1" applyAlignment="1">
      <alignment horizontal="center" vertical="center" textRotation="90" wrapText="1"/>
    </xf>
    <xf numFmtId="49" fontId="5" fillId="2" borderId="2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164" fontId="5" fillId="3" borderId="5" xfId="0" applyNumberFormat="1" applyFont="1" applyFill="1" applyBorder="1" applyAlignment="1">
      <alignment horizontal="center" vertical="top"/>
    </xf>
    <xf numFmtId="164" fontId="5" fillId="3" borderId="6" xfId="0" applyNumberFormat="1" applyFont="1" applyFill="1" applyBorder="1" applyAlignment="1">
      <alignment horizontal="center" vertical="top"/>
    </xf>
    <xf numFmtId="164" fontId="5" fillId="3" borderId="7" xfId="0" applyNumberFormat="1" applyFont="1" applyFill="1" applyBorder="1" applyAlignment="1">
      <alignment horizontal="center" vertical="top"/>
    </xf>
    <xf numFmtId="49" fontId="5" fillId="2" borderId="8" xfId="0" applyNumberFormat="1" applyFont="1" applyFill="1" applyBorder="1" applyAlignment="1">
      <alignment horizontal="center" vertical="top"/>
    </xf>
    <xf numFmtId="49" fontId="5" fillId="0" borderId="9" xfId="0" applyNumberFormat="1" applyFont="1" applyBorder="1" applyAlignment="1">
      <alignment vertical="top"/>
    </xf>
    <xf numFmtId="164" fontId="5" fillId="3" borderId="8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0" borderId="13" xfId="0" applyNumberFormat="1" applyFont="1" applyBorder="1" applyAlignment="1">
      <alignment vertical="top"/>
    </xf>
    <xf numFmtId="49" fontId="5" fillId="2" borderId="11" xfId="0" applyNumberFormat="1" applyFont="1" applyFill="1" applyBorder="1" applyAlignment="1">
      <alignment vertical="top"/>
    </xf>
    <xf numFmtId="49" fontId="5" fillId="2" borderId="15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vertical="top"/>
    </xf>
    <xf numFmtId="49" fontId="5" fillId="3" borderId="13" xfId="0" applyNumberFormat="1" applyFont="1" applyFill="1" applyBorder="1" applyAlignment="1">
      <alignment vertical="top"/>
    </xf>
    <xf numFmtId="49" fontId="5" fillId="3" borderId="13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7" xfId="0" applyNumberFormat="1" applyFont="1" applyFill="1" applyBorder="1" applyAlignment="1">
      <alignment horizontal="center" vertical="top"/>
    </xf>
    <xf numFmtId="49" fontId="5" fillId="4" borderId="2" xfId="0" applyNumberFormat="1" applyFont="1" applyFill="1" applyBorder="1" applyAlignment="1">
      <alignment horizontal="center" vertical="top"/>
    </xf>
    <xf numFmtId="49" fontId="5" fillId="3" borderId="18" xfId="0" applyNumberFormat="1" applyFont="1" applyFill="1" applyBorder="1" applyAlignment="1">
      <alignment horizontal="center" vertical="top"/>
    </xf>
    <xf numFmtId="49" fontId="5" fillId="3" borderId="19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5" fillId="2" borderId="16" xfId="0" applyNumberFormat="1" applyFont="1" applyFill="1" applyBorder="1" applyAlignment="1">
      <alignment vertical="top"/>
    </xf>
    <xf numFmtId="49" fontId="5" fillId="2" borderId="17" xfId="0" applyNumberFormat="1" applyFont="1" applyFill="1" applyBorder="1" applyAlignment="1">
      <alignment vertical="top"/>
    </xf>
    <xf numFmtId="49" fontId="5" fillId="0" borderId="22" xfId="0" applyNumberFormat="1" applyFont="1" applyBorder="1" applyAlignment="1">
      <alignment vertical="top"/>
    </xf>
    <xf numFmtId="0" fontId="4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 wrapText="1"/>
    </xf>
    <xf numFmtId="0" fontId="6" fillId="0" borderId="9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49" fontId="4" fillId="0" borderId="0" xfId="0" applyNumberFormat="1" applyFont="1" applyFill="1" applyBorder="1" applyAlignment="1">
      <alignment horizontal="center" vertical="top"/>
    </xf>
    <xf numFmtId="0" fontId="4" fillId="0" borderId="23" xfId="0" applyFont="1" applyBorder="1" applyAlignment="1">
      <alignment vertical="top"/>
    </xf>
    <xf numFmtId="0" fontId="2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5" fillId="0" borderId="0" xfId="0" applyNumberFormat="1" applyFont="1" applyFill="1" applyBorder="1" applyAlignment="1">
      <alignment vertical="top" wrapText="1"/>
    </xf>
    <xf numFmtId="164" fontId="4" fillId="0" borderId="30" xfId="0" applyNumberFormat="1" applyFont="1" applyFill="1" applyBorder="1" applyAlignment="1">
      <alignment horizontal="left" vertical="top"/>
    </xf>
    <xf numFmtId="164" fontId="5" fillId="4" borderId="32" xfId="0" applyNumberFormat="1" applyFont="1" applyFill="1" applyBorder="1" applyAlignment="1">
      <alignment horizontal="center" vertical="top" wrapText="1"/>
    </xf>
    <xf numFmtId="164" fontId="5" fillId="4" borderId="31" xfId="0" applyNumberFormat="1" applyFont="1" applyFill="1" applyBorder="1" applyAlignment="1">
      <alignment horizontal="center" vertical="top" wrapText="1"/>
    </xf>
    <xf numFmtId="164" fontId="4" fillId="5" borderId="33" xfId="0" applyNumberFormat="1" applyFont="1" applyFill="1" applyBorder="1" applyAlignment="1">
      <alignment horizontal="center" vertical="top" wrapText="1"/>
    </xf>
    <xf numFmtId="164" fontId="4" fillId="5" borderId="22" xfId="0" applyNumberFormat="1" applyFont="1" applyFill="1" applyBorder="1" applyAlignment="1">
      <alignment horizontal="center" vertical="top" wrapText="1"/>
    </xf>
    <xf numFmtId="164" fontId="4" fillId="5" borderId="23" xfId="0" applyNumberFormat="1" applyFont="1" applyFill="1" applyBorder="1" applyAlignment="1">
      <alignment horizontal="center" vertical="top"/>
    </xf>
    <xf numFmtId="164" fontId="5" fillId="4" borderId="32" xfId="0" applyNumberFormat="1" applyFont="1" applyFill="1" applyBorder="1" applyAlignment="1">
      <alignment horizontal="center" vertical="top"/>
    </xf>
    <xf numFmtId="164" fontId="4" fillId="5" borderId="36" xfId="0" applyNumberFormat="1" applyFont="1" applyFill="1" applyBorder="1" applyAlignment="1">
      <alignment horizontal="center" vertical="top"/>
    </xf>
    <xf numFmtId="164" fontId="4" fillId="5" borderId="37" xfId="0" applyNumberFormat="1" applyFont="1" applyFill="1" applyBorder="1" applyAlignment="1">
      <alignment horizontal="center" vertical="top"/>
    </xf>
    <xf numFmtId="164" fontId="4" fillId="5" borderId="38" xfId="0" applyNumberFormat="1" applyFont="1" applyFill="1" applyBorder="1" applyAlignment="1">
      <alignment horizontal="center" vertical="top"/>
    </xf>
    <xf numFmtId="164" fontId="4" fillId="5" borderId="38" xfId="0" applyNumberFormat="1" applyFont="1" applyFill="1" applyBorder="1" applyAlignment="1">
      <alignment horizontal="center" vertical="top" wrapText="1"/>
    </xf>
    <xf numFmtId="164" fontId="4" fillId="5" borderId="39" xfId="0" applyNumberFormat="1" applyFont="1" applyFill="1" applyBorder="1" applyAlignment="1">
      <alignment horizontal="center" vertical="top" wrapText="1"/>
    </xf>
    <xf numFmtId="164" fontId="4" fillId="5" borderId="30" xfId="0" applyNumberFormat="1" applyFont="1" applyFill="1" applyBorder="1" applyAlignment="1">
      <alignment horizontal="center" vertical="top" wrapText="1"/>
    </xf>
    <xf numFmtId="164" fontId="4" fillId="5" borderId="40" xfId="0" applyNumberFormat="1" applyFont="1" applyFill="1" applyBorder="1" applyAlignment="1">
      <alignment horizontal="center" vertical="top" wrapText="1"/>
    </xf>
    <xf numFmtId="164" fontId="4" fillId="0" borderId="31" xfId="0" applyNumberFormat="1" applyFont="1" applyBorder="1" applyAlignment="1">
      <alignment horizontal="center" vertical="top"/>
    </xf>
    <xf numFmtId="164" fontId="4" fillId="0" borderId="31" xfId="0" applyNumberFormat="1" applyFont="1" applyBorder="1" applyAlignment="1">
      <alignment horizontal="center" vertical="top" wrapText="1"/>
    </xf>
    <xf numFmtId="164" fontId="5" fillId="4" borderId="31" xfId="0" applyNumberFormat="1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top" wrapText="1"/>
    </xf>
    <xf numFmtId="164" fontId="4" fillId="5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Border="1" applyAlignment="1">
      <alignment vertical="top"/>
    </xf>
    <xf numFmtId="0" fontId="4" fillId="0" borderId="12" xfId="0" applyFont="1" applyBorder="1"/>
    <xf numFmtId="0" fontId="4" fillId="0" borderId="46" xfId="0" applyNumberFormat="1" applyFont="1" applyFill="1" applyBorder="1" applyAlignment="1">
      <alignment horizontal="center" vertical="top" wrapText="1"/>
    </xf>
    <xf numFmtId="0" fontId="4" fillId="0" borderId="47" xfId="0" applyNumberFormat="1" applyFont="1" applyFill="1" applyBorder="1" applyAlignment="1">
      <alignment horizontal="center" vertical="top" wrapText="1"/>
    </xf>
    <xf numFmtId="0" fontId="4" fillId="0" borderId="48" xfId="0" applyNumberFormat="1" applyFont="1" applyFill="1" applyBorder="1" applyAlignment="1">
      <alignment horizontal="center" vertical="top" wrapText="1"/>
    </xf>
    <xf numFmtId="0" fontId="4" fillId="0" borderId="36" xfId="0" applyNumberFormat="1" applyFont="1" applyFill="1" applyBorder="1" applyAlignment="1">
      <alignment horizontal="center" vertical="top"/>
    </xf>
    <xf numFmtId="0" fontId="4" fillId="0" borderId="9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 textRotation="90"/>
    </xf>
    <xf numFmtId="0" fontId="4" fillId="0" borderId="51" xfId="0" applyFont="1" applyBorder="1" applyAlignment="1">
      <alignment horizontal="center" vertical="center" textRotation="90"/>
    </xf>
    <xf numFmtId="0" fontId="4" fillId="0" borderId="52" xfId="0" applyFont="1" applyBorder="1" applyAlignment="1">
      <alignment horizontal="center" vertical="center" textRotation="90"/>
    </xf>
    <xf numFmtId="164" fontId="4" fillId="0" borderId="30" xfId="0" applyNumberFormat="1" applyFont="1" applyFill="1" applyBorder="1" applyAlignment="1">
      <alignment vertical="top" wrapText="1"/>
    </xf>
    <xf numFmtId="164" fontId="4" fillId="0" borderId="53" xfId="0" applyNumberFormat="1" applyFont="1" applyFill="1" applyBorder="1" applyAlignment="1">
      <alignment vertical="top" wrapText="1"/>
    </xf>
    <xf numFmtId="0" fontId="4" fillId="0" borderId="49" xfId="0" applyNumberFormat="1" applyFont="1" applyFill="1" applyBorder="1" applyAlignment="1">
      <alignment vertical="top"/>
    </xf>
    <xf numFmtId="0" fontId="4" fillId="0" borderId="55" xfId="0" applyNumberFormat="1" applyFont="1" applyFill="1" applyBorder="1" applyAlignment="1">
      <alignment vertical="top"/>
    </xf>
    <xf numFmtId="0" fontId="4" fillId="0" borderId="38" xfId="0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center" vertical="top"/>
    </xf>
    <xf numFmtId="164" fontId="4" fillId="5" borderId="57" xfId="0" applyNumberFormat="1" applyFont="1" applyFill="1" applyBorder="1" applyAlignment="1">
      <alignment horizontal="center" vertical="top"/>
    </xf>
    <xf numFmtId="0" fontId="4" fillId="0" borderId="30" xfId="0" applyFont="1" applyBorder="1" applyAlignment="1">
      <alignment horizontal="center" vertical="top"/>
    </xf>
    <xf numFmtId="49" fontId="5" fillId="0" borderId="13" xfId="0" applyNumberFormat="1" applyFont="1" applyFill="1" applyBorder="1" applyAlignment="1">
      <alignment vertical="top" wrapText="1"/>
    </xf>
    <xf numFmtId="49" fontId="4" fillId="0" borderId="38" xfId="0" applyNumberFormat="1" applyFont="1" applyFill="1" applyBorder="1" applyAlignment="1">
      <alignment horizontal="center" vertical="top" wrapText="1"/>
    </xf>
    <xf numFmtId="164" fontId="4" fillId="5" borderId="56" xfId="0" applyNumberFormat="1" applyFont="1" applyFill="1" applyBorder="1" applyAlignment="1">
      <alignment horizontal="center" vertical="top" wrapText="1"/>
    </xf>
    <xf numFmtId="164" fontId="4" fillId="5" borderId="48" xfId="0" applyNumberFormat="1" applyFont="1" applyFill="1" applyBorder="1" applyAlignment="1">
      <alignment horizontal="center" vertical="top" wrapText="1"/>
    </xf>
    <xf numFmtId="164" fontId="4" fillId="5" borderId="59" xfId="0" applyNumberFormat="1" applyFont="1" applyFill="1" applyBorder="1" applyAlignment="1">
      <alignment horizontal="center" vertical="top" wrapText="1"/>
    </xf>
    <xf numFmtId="164" fontId="4" fillId="5" borderId="16" xfId="0" applyNumberFormat="1" applyFont="1" applyFill="1" applyBorder="1" applyAlignment="1">
      <alignment horizontal="center" vertical="top" wrapText="1"/>
    </xf>
    <xf numFmtId="164" fontId="4" fillId="5" borderId="58" xfId="0" applyNumberFormat="1" applyFont="1" applyFill="1" applyBorder="1" applyAlignment="1">
      <alignment horizontal="center" vertical="top" wrapText="1"/>
    </xf>
    <xf numFmtId="164" fontId="4" fillId="5" borderId="47" xfId="0" applyNumberFormat="1" applyFont="1" applyFill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164" fontId="4" fillId="0" borderId="38" xfId="0" applyNumberFormat="1" applyFont="1" applyFill="1" applyBorder="1" applyAlignment="1">
      <alignment horizontal="left" vertical="top"/>
    </xf>
    <xf numFmtId="0" fontId="4" fillId="0" borderId="23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37" xfId="0" applyNumberFormat="1" applyFont="1" applyFill="1" applyBorder="1" applyAlignment="1">
      <alignment horizontal="center" vertical="top"/>
    </xf>
    <xf numFmtId="164" fontId="4" fillId="5" borderId="62" xfId="0" applyNumberFormat="1" applyFont="1" applyFill="1" applyBorder="1" applyAlignment="1">
      <alignment horizontal="center" vertical="top"/>
    </xf>
    <xf numFmtId="164" fontId="4" fillId="5" borderId="63" xfId="0" applyNumberFormat="1" applyFont="1" applyFill="1" applyBorder="1" applyAlignment="1">
      <alignment horizontal="center" vertical="top"/>
    </xf>
    <xf numFmtId="0" fontId="4" fillId="0" borderId="0" xfId="0" applyFont="1" applyBorder="1"/>
    <xf numFmtId="0" fontId="4" fillId="0" borderId="53" xfId="0" applyFont="1" applyBorder="1" applyAlignment="1">
      <alignment horizontal="center" vertical="top"/>
    </xf>
    <xf numFmtId="0" fontId="9" fillId="0" borderId="0" xfId="0" applyFont="1"/>
    <xf numFmtId="0" fontId="9" fillId="0" borderId="24" xfId="0" applyFont="1" applyBorder="1" applyAlignment="1">
      <alignment horizontal="center" vertical="top" wrapText="1"/>
    </xf>
    <xf numFmtId="0" fontId="9" fillId="0" borderId="24" xfId="0" applyFont="1" applyBorder="1" applyAlignment="1">
      <alignment vertical="top" wrapText="1"/>
    </xf>
    <xf numFmtId="164" fontId="4" fillId="5" borderId="71" xfId="0" applyNumberFormat="1" applyFont="1" applyFill="1" applyBorder="1" applyAlignment="1">
      <alignment horizontal="center" vertical="top" wrapText="1"/>
    </xf>
    <xf numFmtId="164" fontId="4" fillId="5" borderId="36" xfId="0" applyNumberFormat="1" applyFont="1" applyFill="1" applyBorder="1" applyAlignment="1">
      <alignment horizontal="center" vertical="top" wrapText="1"/>
    </xf>
    <xf numFmtId="49" fontId="4" fillId="0" borderId="0" xfId="0" applyNumberFormat="1" applyFont="1"/>
    <xf numFmtId="0" fontId="4" fillId="0" borderId="9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49" fontId="4" fillId="0" borderId="58" xfId="0" applyNumberFormat="1" applyFont="1" applyBorder="1" applyAlignment="1">
      <alignment vertical="top"/>
    </xf>
    <xf numFmtId="49" fontId="4" fillId="0" borderId="73" xfId="0" applyNumberFormat="1" applyFont="1" applyBorder="1" applyAlignment="1">
      <alignment vertical="top"/>
    </xf>
    <xf numFmtId="0" fontId="5" fillId="5" borderId="13" xfId="0" applyFont="1" applyFill="1" applyBorder="1" applyAlignment="1">
      <alignment horizontal="left" vertical="top" wrapText="1"/>
    </xf>
    <xf numFmtId="164" fontId="4" fillId="5" borderId="12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164" fontId="5" fillId="2" borderId="8" xfId="0" applyNumberFormat="1" applyFont="1" applyFill="1" applyBorder="1" applyAlignment="1">
      <alignment horizontal="center" vertical="top"/>
    </xf>
    <xf numFmtId="164" fontId="4" fillId="0" borderId="0" xfId="0" applyNumberFormat="1" applyFont="1" applyAlignment="1">
      <alignment vertical="top"/>
    </xf>
    <xf numFmtId="164" fontId="4" fillId="5" borderId="69" xfId="0" applyNumberFormat="1" applyFont="1" applyFill="1" applyBorder="1" applyAlignment="1">
      <alignment horizontal="center" vertical="top"/>
    </xf>
    <xf numFmtId="164" fontId="4" fillId="5" borderId="13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/>
    </xf>
    <xf numFmtId="164" fontId="4" fillId="5" borderId="9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 wrapText="1"/>
    </xf>
    <xf numFmtId="164" fontId="4" fillId="5" borderId="9" xfId="0" applyNumberFormat="1" applyFont="1" applyFill="1" applyBorder="1" applyAlignment="1">
      <alignment horizontal="center" vertical="top" wrapText="1"/>
    </xf>
    <xf numFmtId="164" fontId="4" fillId="5" borderId="28" xfId="0" applyNumberFormat="1" applyFont="1" applyFill="1" applyBorder="1" applyAlignment="1">
      <alignment horizontal="center" vertical="top"/>
    </xf>
    <xf numFmtId="164" fontId="4" fillId="5" borderId="76" xfId="0" applyNumberFormat="1" applyFont="1" applyFill="1" applyBorder="1" applyAlignment="1">
      <alignment horizontal="center" vertical="top"/>
    </xf>
    <xf numFmtId="164" fontId="4" fillId="5" borderId="44" xfId="0" applyNumberFormat="1" applyFont="1" applyFill="1" applyBorder="1" applyAlignment="1">
      <alignment horizontal="center" vertical="top"/>
    </xf>
    <xf numFmtId="164" fontId="4" fillId="5" borderId="75" xfId="0" applyNumberFormat="1" applyFont="1" applyFill="1" applyBorder="1" applyAlignment="1">
      <alignment horizontal="center" vertical="top"/>
    </xf>
    <xf numFmtId="164" fontId="4" fillId="5" borderId="49" xfId="0" applyNumberFormat="1" applyFont="1" applyFill="1" applyBorder="1" applyAlignment="1">
      <alignment horizontal="center" vertical="top"/>
    </xf>
    <xf numFmtId="164" fontId="4" fillId="5" borderId="70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 wrapText="1"/>
    </xf>
    <xf numFmtId="164" fontId="4" fillId="5" borderId="0" xfId="0" applyNumberFormat="1" applyFont="1" applyFill="1" applyBorder="1" applyAlignment="1">
      <alignment horizontal="center" vertical="top"/>
    </xf>
    <xf numFmtId="164" fontId="4" fillId="5" borderId="22" xfId="0" applyNumberFormat="1" applyFont="1" applyFill="1" applyBorder="1" applyAlignment="1">
      <alignment horizontal="center" vertical="top"/>
    </xf>
    <xf numFmtId="164" fontId="4" fillId="5" borderId="64" xfId="0" applyNumberFormat="1" applyFont="1" applyFill="1" applyBorder="1" applyAlignment="1">
      <alignment horizontal="center" vertical="top" wrapText="1"/>
    </xf>
    <xf numFmtId="164" fontId="4" fillId="5" borderId="64" xfId="0" applyNumberFormat="1" applyFont="1" applyFill="1" applyBorder="1" applyAlignment="1">
      <alignment horizontal="center" vertical="top"/>
    </xf>
    <xf numFmtId="164" fontId="4" fillId="0" borderId="39" xfId="0" applyNumberFormat="1" applyFont="1" applyFill="1" applyBorder="1" applyAlignment="1">
      <alignment vertical="top" wrapText="1"/>
    </xf>
    <xf numFmtId="164" fontId="4" fillId="5" borderId="30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top" wrapText="1"/>
    </xf>
    <xf numFmtId="0" fontId="4" fillId="0" borderId="74" xfId="0" applyNumberFormat="1" applyFont="1" applyFill="1" applyBorder="1" applyAlignment="1">
      <alignment horizontal="center" vertical="top" wrapText="1"/>
    </xf>
    <xf numFmtId="49" fontId="5" fillId="3" borderId="5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center" textRotation="90" wrapText="1"/>
    </xf>
    <xf numFmtId="0" fontId="5" fillId="0" borderId="9" xfId="0" applyFont="1" applyFill="1" applyBorder="1" applyAlignment="1">
      <alignment vertical="center" textRotation="90" wrapText="1"/>
    </xf>
    <xf numFmtId="0" fontId="4" fillId="0" borderId="9" xfId="0" applyFont="1" applyBorder="1"/>
    <xf numFmtId="0" fontId="4" fillId="0" borderId="13" xfId="0" applyFont="1" applyBorder="1"/>
    <xf numFmtId="164" fontId="5" fillId="3" borderId="2" xfId="0" applyNumberFormat="1" applyFont="1" applyFill="1" applyBorder="1" applyAlignment="1">
      <alignment horizontal="center" vertical="top"/>
    </xf>
    <xf numFmtId="164" fontId="5" fillId="3" borderId="15" xfId="0" applyNumberFormat="1" applyFont="1" applyFill="1" applyBorder="1" applyAlignment="1">
      <alignment horizontal="center" vertical="top"/>
    </xf>
    <xf numFmtId="164" fontId="4" fillId="0" borderId="35" xfId="0" applyNumberFormat="1" applyFont="1" applyBorder="1" applyAlignment="1">
      <alignment horizontal="center" vertical="top"/>
    </xf>
    <xf numFmtId="164" fontId="4" fillId="0" borderId="40" xfId="0" applyNumberFormat="1" applyFont="1" applyBorder="1" applyAlignment="1">
      <alignment horizontal="center" vertical="top"/>
    </xf>
    <xf numFmtId="164" fontId="5" fillId="3" borderId="74" xfId="0" applyNumberFormat="1" applyFont="1" applyFill="1" applyBorder="1" applyAlignment="1">
      <alignment horizontal="center" vertical="top"/>
    </xf>
    <xf numFmtId="164" fontId="5" fillId="2" borderId="7" xfId="0" applyNumberFormat="1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horizontal="center" vertical="top"/>
    </xf>
    <xf numFmtId="164" fontId="5" fillId="2" borderId="5" xfId="0" applyNumberFormat="1" applyFont="1" applyFill="1" applyBorder="1" applyAlignment="1">
      <alignment horizontal="center" vertical="top"/>
    </xf>
    <xf numFmtId="164" fontId="5" fillId="3" borderId="20" xfId="0" applyNumberFormat="1" applyFont="1" applyFill="1" applyBorder="1" applyAlignment="1">
      <alignment horizontal="center" vertical="top"/>
    </xf>
    <xf numFmtId="164" fontId="5" fillId="3" borderId="3" xfId="0" applyNumberFormat="1" applyFont="1" applyFill="1" applyBorder="1" applyAlignment="1">
      <alignment horizontal="center" vertical="top"/>
    </xf>
    <xf numFmtId="164" fontId="5" fillId="3" borderId="17" xfId="0" applyNumberFormat="1" applyFont="1" applyFill="1" applyBorder="1" applyAlignment="1">
      <alignment horizontal="center" vertical="top"/>
    </xf>
    <xf numFmtId="0" fontId="4" fillId="0" borderId="31" xfId="0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/>
    </xf>
    <xf numFmtId="164" fontId="4" fillId="0" borderId="43" xfId="0" applyNumberFormat="1" applyFont="1" applyBorder="1" applyAlignment="1">
      <alignment horizontal="center" vertical="top"/>
    </xf>
    <xf numFmtId="0" fontId="4" fillId="0" borderId="38" xfId="0" applyFont="1" applyBorder="1" applyAlignment="1">
      <alignment vertical="top" wrapText="1"/>
    </xf>
    <xf numFmtId="0" fontId="4" fillId="5" borderId="38" xfId="1" applyFont="1" applyFill="1" applyBorder="1" applyAlignment="1">
      <alignment horizontal="center" vertical="top" wrapText="1"/>
    </xf>
    <xf numFmtId="0" fontId="4" fillId="5" borderId="30" xfId="0" applyFont="1" applyFill="1" applyBorder="1" applyAlignment="1">
      <alignment horizontal="center" vertical="top" wrapText="1"/>
    </xf>
    <xf numFmtId="0" fontId="4" fillId="0" borderId="71" xfId="0" applyNumberFormat="1" applyFont="1" applyFill="1" applyBorder="1" applyAlignment="1">
      <alignment vertical="top"/>
    </xf>
    <xf numFmtId="164" fontId="4" fillId="5" borderId="45" xfId="0" applyNumberFormat="1" applyFont="1" applyFill="1" applyBorder="1" applyAlignment="1">
      <alignment horizontal="center" vertical="top"/>
    </xf>
    <xf numFmtId="164" fontId="4" fillId="5" borderId="40" xfId="0" applyNumberFormat="1" applyFont="1" applyFill="1" applyBorder="1" applyAlignment="1">
      <alignment horizontal="center" vertical="top"/>
    </xf>
    <xf numFmtId="0" fontId="4" fillId="0" borderId="36" xfId="0" applyNumberFormat="1" applyFont="1" applyBorder="1" applyAlignment="1">
      <alignment vertical="top"/>
    </xf>
    <xf numFmtId="164" fontId="4" fillId="5" borderId="71" xfId="0" applyNumberFormat="1" applyFont="1" applyFill="1" applyBorder="1" applyAlignment="1">
      <alignment horizontal="center" vertical="top"/>
    </xf>
    <xf numFmtId="0" fontId="4" fillId="0" borderId="24" xfId="0" applyFont="1" applyFill="1" applyBorder="1" applyAlignment="1">
      <alignment horizontal="left" vertical="top" wrapText="1"/>
    </xf>
    <xf numFmtId="0" fontId="4" fillId="0" borderId="44" xfId="0" applyFont="1" applyBorder="1" applyAlignment="1">
      <alignment vertical="top"/>
    </xf>
    <xf numFmtId="0" fontId="4" fillId="0" borderId="60" xfId="0" applyFont="1" applyBorder="1" applyAlignment="1">
      <alignment vertical="top"/>
    </xf>
    <xf numFmtId="164" fontId="4" fillId="0" borderId="44" xfId="0" applyNumberFormat="1" applyFont="1" applyBorder="1" applyAlignment="1">
      <alignment horizontal="center" vertical="top"/>
    </xf>
    <xf numFmtId="164" fontId="4" fillId="0" borderId="45" xfId="0" applyNumberFormat="1" applyFont="1" applyBorder="1" applyAlignment="1">
      <alignment horizontal="center" vertical="top"/>
    </xf>
    <xf numFmtId="164" fontId="4" fillId="0" borderId="9" xfId="0" applyNumberFormat="1" applyFont="1" applyBorder="1" applyAlignment="1">
      <alignment horizontal="center" vertical="top"/>
    </xf>
    <xf numFmtId="0" fontId="2" fillId="0" borderId="0" xfId="0" applyFont="1"/>
    <xf numFmtId="0" fontId="2" fillId="0" borderId="39" xfId="0" applyFont="1" applyBorder="1" applyAlignment="1">
      <alignment horizontal="center" vertical="top"/>
    </xf>
    <xf numFmtId="164" fontId="2" fillId="5" borderId="78" xfId="0" applyNumberFormat="1" applyFont="1" applyFill="1" applyBorder="1" applyAlignment="1">
      <alignment horizontal="center" vertical="top"/>
    </xf>
    <xf numFmtId="164" fontId="2" fillId="5" borderId="48" xfId="0" applyNumberFormat="1" applyFont="1" applyFill="1" applyBorder="1" applyAlignment="1">
      <alignment horizontal="center" vertical="top"/>
    </xf>
    <xf numFmtId="164" fontId="2" fillId="5" borderId="77" xfId="0" applyNumberFormat="1" applyFont="1" applyFill="1" applyBorder="1" applyAlignment="1">
      <alignment horizontal="center" vertical="top"/>
    </xf>
    <xf numFmtId="164" fontId="4" fillId="5" borderId="58" xfId="0" applyNumberFormat="1" applyFont="1" applyFill="1" applyBorder="1" applyAlignment="1">
      <alignment horizontal="center" vertical="top"/>
    </xf>
    <xf numFmtId="0" fontId="2" fillId="0" borderId="13" xfId="0" applyFont="1" applyBorder="1"/>
    <xf numFmtId="164" fontId="2" fillId="5" borderId="23" xfId="0" applyNumberFormat="1" applyFont="1" applyFill="1" applyBorder="1" applyAlignment="1">
      <alignment horizontal="center" vertical="top"/>
    </xf>
    <xf numFmtId="164" fontId="2" fillId="5" borderId="57" xfId="0" applyNumberFormat="1" applyFont="1" applyFill="1" applyBorder="1" applyAlignment="1">
      <alignment horizontal="center" vertical="top"/>
    </xf>
    <xf numFmtId="164" fontId="2" fillId="5" borderId="38" xfId="0" applyNumberFormat="1" applyFont="1" applyFill="1" applyBorder="1" applyAlignment="1">
      <alignment horizontal="center" vertical="top"/>
    </xf>
    <xf numFmtId="164" fontId="4" fillId="5" borderId="68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 wrapText="1"/>
    </xf>
    <xf numFmtId="0" fontId="4" fillId="0" borderId="58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4" fillId="0" borderId="73" xfId="0" applyNumberFormat="1" applyFont="1" applyFill="1" applyBorder="1" applyAlignment="1">
      <alignment vertical="top" wrapText="1"/>
    </xf>
    <xf numFmtId="164" fontId="4" fillId="5" borderId="39" xfId="0" applyNumberFormat="1" applyFont="1" applyFill="1" applyBorder="1" applyAlignment="1">
      <alignment horizontal="center" vertical="center" wrapText="1"/>
    </xf>
    <xf numFmtId="164" fontId="4" fillId="5" borderId="78" xfId="1" applyNumberFormat="1" applyFont="1" applyFill="1" applyBorder="1" applyAlignment="1">
      <alignment horizontal="center" vertical="top"/>
    </xf>
    <xf numFmtId="1" fontId="4" fillId="0" borderId="23" xfId="0" applyNumberFormat="1" applyFont="1" applyFill="1" applyBorder="1" applyAlignment="1">
      <alignment horizontal="center" vertical="top"/>
    </xf>
    <xf numFmtId="49" fontId="4" fillId="0" borderId="13" xfId="0" applyNumberFormat="1" applyFont="1" applyFill="1" applyBorder="1" applyAlignment="1">
      <alignment horizontal="center" vertical="top"/>
    </xf>
    <xf numFmtId="49" fontId="4" fillId="0" borderId="37" xfId="0" applyNumberFormat="1" applyFont="1" applyFill="1" applyBorder="1" applyAlignment="1">
      <alignment horizontal="center" vertical="top"/>
    </xf>
    <xf numFmtId="164" fontId="4" fillId="5" borderId="42" xfId="1" applyNumberFormat="1" applyFont="1" applyFill="1" applyBorder="1" applyAlignment="1">
      <alignment horizontal="center" vertical="top"/>
    </xf>
    <xf numFmtId="164" fontId="4" fillId="5" borderId="24" xfId="1" applyNumberFormat="1" applyFont="1" applyFill="1" applyBorder="1" applyAlignment="1">
      <alignment horizontal="center" vertical="top"/>
    </xf>
    <xf numFmtId="164" fontId="4" fillId="5" borderId="27" xfId="1" applyNumberFormat="1" applyFont="1" applyFill="1" applyBorder="1" applyAlignment="1">
      <alignment horizontal="center" vertical="top"/>
    </xf>
    <xf numFmtId="49" fontId="4" fillId="0" borderId="35" xfId="0" applyNumberFormat="1" applyFont="1" applyFill="1" applyBorder="1" applyAlignment="1">
      <alignment horizontal="center" vertical="top"/>
    </xf>
    <xf numFmtId="0" fontId="4" fillId="5" borderId="13" xfId="0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164" fontId="4" fillId="0" borderId="58" xfId="0" applyNumberFormat="1" applyFont="1" applyFill="1" applyBorder="1" applyAlignment="1">
      <alignment horizontal="center" vertical="top"/>
    </xf>
    <xf numFmtId="164" fontId="4" fillId="0" borderId="3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5" borderId="61" xfId="0" applyFont="1" applyFill="1" applyBorder="1" applyAlignment="1">
      <alignment horizontal="center" vertical="top"/>
    </xf>
    <xf numFmtId="164" fontId="4" fillId="0" borderId="60" xfId="0" applyNumberFormat="1" applyFont="1" applyBorder="1" applyAlignment="1">
      <alignment horizontal="center" vertical="top"/>
    </xf>
    <xf numFmtId="164" fontId="4" fillId="0" borderId="22" xfId="0" applyNumberFormat="1" applyFont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5" borderId="36" xfId="0" applyFont="1" applyFill="1" applyBorder="1" applyAlignment="1">
      <alignment horizontal="center" vertical="top"/>
    </xf>
    <xf numFmtId="164" fontId="4" fillId="0" borderId="37" xfId="0" applyNumberFormat="1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/>
    </xf>
    <xf numFmtId="0" fontId="2" fillId="5" borderId="58" xfId="0" applyFont="1" applyFill="1" applyBorder="1" applyAlignment="1">
      <alignment horizontal="center" vertical="top"/>
    </xf>
    <xf numFmtId="0" fontId="4" fillId="5" borderId="69" xfId="0" applyFont="1" applyFill="1" applyBorder="1" applyAlignment="1">
      <alignment horizontal="center" vertical="top"/>
    </xf>
    <xf numFmtId="0" fontId="4" fillId="5" borderId="57" xfId="0" applyFont="1" applyFill="1" applyBorder="1" applyAlignment="1">
      <alignment horizontal="center" vertical="top"/>
    </xf>
    <xf numFmtId="0" fontId="4" fillId="5" borderId="19" xfId="0" applyFont="1" applyFill="1" applyBorder="1" applyAlignment="1">
      <alignment horizontal="center" vertical="top"/>
    </xf>
    <xf numFmtId="164" fontId="2" fillId="5" borderId="39" xfId="0" applyNumberFormat="1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left" vertical="top" wrapText="1"/>
    </xf>
    <xf numFmtId="0" fontId="2" fillId="5" borderId="21" xfId="0" applyFont="1" applyFill="1" applyBorder="1" applyAlignment="1">
      <alignment horizontal="center" vertical="top"/>
    </xf>
    <xf numFmtId="0" fontId="2" fillId="5" borderId="13" xfId="0" applyFont="1" applyFill="1" applyBorder="1" applyAlignment="1">
      <alignment horizontal="center" vertical="top"/>
    </xf>
    <xf numFmtId="0" fontId="2" fillId="5" borderId="57" xfId="0" applyFont="1" applyFill="1" applyBorder="1" applyAlignment="1">
      <alignment horizontal="center" vertical="top"/>
    </xf>
    <xf numFmtId="0" fontId="2" fillId="5" borderId="70" xfId="0" applyFont="1" applyFill="1" applyBorder="1" applyAlignment="1">
      <alignment horizontal="left" vertical="top" wrapText="1"/>
    </xf>
    <xf numFmtId="0" fontId="2" fillId="5" borderId="17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73" xfId="0" applyFont="1" applyFill="1" applyBorder="1" applyAlignment="1">
      <alignment horizontal="center" vertical="top"/>
    </xf>
    <xf numFmtId="164" fontId="5" fillId="4" borderId="2" xfId="0" applyNumberFormat="1" applyFont="1" applyFill="1" applyBorder="1" applyAlignment="1">
      <alignment horizontal="center" vertical="top"/>
    </xf>
    <xf numFmtId="164" fontId="5" fillId="4" borderId="7" xfId="0" applyNumberFormat="1" applyFont="1" applyFill="1" applyBorder="1" applyAlignment="1">
      <alignment horizontal="center" vertical="top"/>
    </xf>
    <xf numFmtId="164" fontId="5" fillId="4" borderId="5" xfId="0" applyNumberFormat="1" applyFont="1" applyFill="1" applyBorder="1" applyAlignment="1">
      <alignment horizontal="center" vertical="top"/>
    </xf>
    <xf numFmtId="164" fontId="5" fillId="4" borderId="79" xfId="0" applyNumberFormat="1" applyFont="1" applyFill="1" applyBorder="1" applyAlignment="1">
      <alignment horizontal="center" vertical="top"/>
    </xf>
    <xf numFmtId="164" fontId="5" fillId="4" borderId="14" xfId="0" applyNumberFormat="1" applyFont="1" applyFill="1" applyBorder="1" applyAlignment="1">
      <alignment horizontal="center" vertical="top"/>
    </xf>
    <xf numFmtId="164" fontId="5" fillId="4" borderId="8" xfId="0" applyNumberFormat="1" applyFont="1" applyFill="1" applyBorder="1" applyAlignment="1">
      <alignment horizontal="center" vertical="top"/>
    </xf>
    <xf numFmtId="164" fontId="5" fillId="4" borderId="10" xfId="0" applyNumberFormat="1" applyFont="1" applyFill="1" applyBorder="1" applyAlignment="1">
      <alignment horizontal="center" vertical="top"/>
    </xf>
    <xf numFmtId="164" fontId="5" fillId="4" borderId="6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vertical="top" wrapText="1"/>
    </xf>
    <xf numFmtId="49" fontId="5" fillId="0" borderId="13" xfId="0" applyNumberFormat="1" applyFont="1" applyFill="1" applyBorder="1" applyAlignment="1">
      <alignment vertical="center" textRotation="90" wrapText="1"/>
    </xf>
    <xf numFmtId="49" fontId="5" fillId="0" borderId="9" xfId="0" applyNumberFormat="1" applyFont="1" applyFill="1" applyBorder="1" applyAlignment="1">
      <alignment vertical="center" textRotation="90" wrapText="1"/>
    </xf>
    <xf numFmtId="49" fontId="5" fillId="0" borderId="3" xfId="0" applyNumberFormat="1" applyFont="1" applyFill="1" applyBorder="1" applyAlignment="1">
      <alignment vertical="center" textRotation="90" wrapText="1"/>
    </xf>
    <xf numFmtId="49" fontId="4" fillId="0" borderId="57" xfId="0" applyNumberFormat="1" applyFont="1" applyBorder="1" applyAlignment="1">
      <alignment vertical="top" wrapText="1"/>
    </xf>
    <xf numFmtId="49" fontId="4" fillId="0" borderId="58" xfId="0" applyNumberFormat="1" applyFont="1" applyBorder="1" applyAlignment="1">
      <alignment vertical="top" wrapText="1"/>
    </xf>
    <xf numFmtId="49" fontId="5" fillId="0" borderId="30" xfId="0" applyNumberFormat="1" applyFont="1" applyBorder="1" applyAlignment="1">
      <alignment vertical="top" wrapText="1"/>
    </xf>
    <xf numFmtId="49" fontId="5" fillId="0" borderId="72" xfId="0" applyNumberFormat="1" applyFont="1" applyBorder="1" applyAlignment="1">
      <alignment vertical="top" wrapText="1"/>
    </xf>
    <xf numFmtId="164" fontId="4" fillId="5" borderId="78" xfId="0" applyNumberFormat="1" applyFont="1" applyFill="1" applyBorder="1" applyAlignment="1">
      <alignment horizontal="center" vertical="top" wrapText="1"/>
    </xf>
    <xf numFmtId="164" fontId="4" fillId="5" borderId="77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49" fontId="4" fillId="0" borderId="22" xfId="0" applyNumberFormat="1" applyFont="1" applyBorder="1" applyAlignment="1">
      <alignment vertical="top"/>
    </xf>
    <xf numFmtId="0" fontId="5" fillId="0" borderId="38" xfId="0" applyNumberFormat="1" applyFont="1" applyBorder="1" applyAlignment="1">
      <alignment horizontal="center" vertical="top"/>
    </xf>
    <xf numFmtId="0" fontId="5" fillId="0" borderId="30" xfId="0" applyNumberFormat="1" applyFont="1" applyBorder="1" applyAlignment="1">
      <alignment vertical="top"/>
    </xf>
    <xf numFmtId="0" fontId="4" fillId="5" borderId="18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vertical="top" wrapText="1"/>
    </xf>
    <xf numFmtId="164" fontId="4" fillId="5" borderId="16" xfId="0" applyNumberFormat="1" applyFont="1" applyFill="1" applyBorder="1" applyAlignment="1">
      <alignment horizontal="center" vertical="top"/>
    </xf>
    <xf numFmtId="164" fontId="4" fillId="5" borderId="19" xfId="0" applyNumberFormat="1" applyFont="1" applyFill="1" applyBorder="1" applyAlignment="1">
      <alignment horizontal="center" vertical="top"/>
    </xf>
    <xf numFmtId="164" fontId="4" fillId="5" borderId="3" xfId="0" applyNumberFormat="1" applyFont="1" applyFill="1" applyBorder="1" applyAlignment="1">
      <alignment horizontal="center" vertical="top"/>
    </xf>
    <xf numFmtId="164" fontId="4" fillId="0" borderId="17" xfId="0" applyNumberFormat="1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top"/>
    </xf>
    <xf numFmtId="49" fontId="4" fillId="0" borderId="40" xfId="0" applyNumberFormat="1" applyFont="1" applyFill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/>
    </xf>
    <xf numFmtId="0" fontId="4" fillId="0" borderId="45" xfId="0" applyFont="1" applyBorder="1" applyAlignment="1">
      <alignment horizontal="center" vertical="top"/>
    </xf>
    <xf numFmtId="164" fontId="2" fillId="0" borderId="54" xfId="0" applyNumberFormat="1" applyFont="1" applyBorder="1" applyAlignment="1">
      <alignment horizontal="center" vertical="top"/>
    </xf>
    <xf numFmtId="164" fontId="2" fillId="0" borderId="49" xfId="0" applyNumberFormat="1" applyFont="1" applyBorder="1" applyAlignment="1">
      <alignment horizontal="center" vertical="top"/>
    </xf>
    <xf numFmtId="164" fontId="2" fillId="0" borderId="71" xfId="0" applyNumberFormat="1" applyFont="1" applyBorder="1" applyAlignment="1">
      <alignment horizontal="center" vertical="top"/>
    </xf>
    <xf numFmtId="164" fontId="2" fillId="0" borderId="63" xfId="0" applyNumberFormat="1" applyFont="1" applyBorder="1" applyAlignment="1">
      <alignment horizontal="center" vertical="top"/>
    </xf>
    <xf numFmtId="164" fontId="4" fillId="7" borderId="18" xfId="0" applyNumberFormat="1" applyFont="1" applyFill="1" applyBorder="1" applyAlignment="1">
      <alignment horizontal="center" vertical="top"/>
    </xf>
    <xf numFmtId="49" fontId="5" fillId="0" borderId="30" xfId="0" applyNumberFormat="1" applyFont="1" applyBorder="1" applyAlignment="1">
      <alignment vertical="top"/>
    </xf>
    <xf numFmtId="49" fontId="5" fillId="0" borderId="72" xfId="0" applyNumberFormat="1" applyFont="1" applyBorder="1" applyAlignment="1">
      <alignment vertical="top"/>
    </xf>
    <xf numFmtId="0" fontId="4" fillId="5" borderId="0" xfId="0" applyNumberFormat="1" applyFont="1" applyFill="1" applyBorder="1" applyAlignment="1">
      <alignment horizontal="center" vertical="top" wrapText="1"/>
    </xf>
    <xf numFmtId="164" fontId="4" fillId="0" borderId="32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right" vertical="top" wrapText="1"/>
    </xf>
    <xf numFmtId="0" fontId="5" fillId="5" borderId="9" xfId="0" applyFont="1" applyFill="1" applyBorder="1" applyAlignment="1">
      <alignment horizontal="center" vertical="top" wrapText="1"/>
    </xf>
    <xf numFmtId="0" fontId="4" fillId="0" borderId="50" xfId="0" applyNumberFormat="1" applyFont="1" applyFill="1" applyBorder="1" applyAlignment="1">
      <alignment horizontal="center" vertical="top" wrapText="1"/>
    </xf>
    <xf numFmtId="49" fontId="5" fillId="0" borderId="38" xfId="0" applyNumberFormat="1" applyFont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164" fontId="4" fillId="0" borderId="72" xfId="0" applyNumberFormat="1" applyFont="1" applyFill="1" applyBorder="1" applyAlignment="1">
      <alignment vertical="top" wrapText="1"/>
    </xf>
    <xf numFmtId="164" fontId="4" fillId="0" borderId="32" xfId="0" applyNumberFormat="1" applyFont="1" applyBorder="1" applyAlignment="1">
      <alignment horizontal="center" vertical="top"/>
    </xf>
    <xf numFmtId="49" fontId="4" fillId="0" borderId="28" xfId="0" applyNumberFormat="1" applyFont="1" applyBorder="1" applyAlignment="1">
      <alignment horizontal="center" vertical="top"/>
    </xf>
    <xf numFmtId="164" fontId="5" fillId="3" borderId="10" xfId="0" applyNumberFormat="1" applyFont="1" applyFill="1" applyBorder="1" applyAlignment="1">
      <alignment horizontal="center" vertical="top"/>
    </xf>
    <xf numFmtId="164" fontId="5" fillId="3" borderId="79" xfId="0" applyNumberFormat="1" applyFont="1" applyFill="1" applyBorder="1" applyAlignment="1">
      <alignment horizontal="center" vertical="top"/>
    </xf>
    <xf numFmtId="49" fontId="4" fillId="0" borderId="22" xfId="0" applyNumberFormat="1" applyFont="1" applyBorder="1" applyAlignment="1">
      <alignment vertical="top" wrapText="1"/>
    </xf>
    <xf numFmtId="164" fontId="4" fillId="0" borderId="62" xfId="0" applyNumberFormat="1" applyFont="1" applyBorder="1" applyAlignment="1">
      <alignment horizontal="center" vertical="top"/>
    </xf>
    <xf numFmtId="164" fontId="4" fillId="0" borderId="49" xfId="0" applyNumberFormat="1" applyFont="1" applyBorder="1" applyAlignment="1">
      <alignment horizontal="center" vertical="top"/>
    </xf>
    <xf numFmtId="164" fontId="4" fillId="0" borderId="63" xfId="0" applyNumberFormat="1" applyFont="1" applyBorder="1" applyAlignment="1">
      <alignment horizontal="center" vertical="top"/>
    </xf>
    <xf numFmtId="164" fontId="4" fillId="0" borderId="13" xfId="0" applyNumberFormat="1" applyFont="1" applyBorder="1" applyAlignment="1">
      <alignment horizontal="center" vertical="top"/>
    </xf>
    <xf numFmtId="164" fontId="4" fillId="8" borderId="24" xfId="0" applyNumberFormat="1" applyFont="1" applyFill="1" applyBorder="1" applyAlignment="1">
      <alignment horizontal="center" vertical="top"/>
    </xf>
    <xf numFmtId="164" fontId="4" fillId="8" borderId="9" xfId="0" applyNumberFormat="1" applyFont="1" applyFill="1" applyBorder="1" applyAlignment="1">
      <alignment horizontal="center" vertical="top"/>
    </xf>
    <xf numFmtId="164" fontId="4" fillId="8" borderId="69" xfId="0" applyNumberFormat="1" applyFont="1" applyFill="1" applyBorder="1" applyAlignment="1">
      <alignment horizontal="center" vertical="top"/>
    </xf>
    <xf numFmtId="164" fontId="4" fillId="8" borderId="13" xfId="0" applyNumberFormat="1" applyFont="1" applyFill="1" applyBorder="1" applyAlignment="1">
      <alignment horizontal="center" vertical="top"/>
    </xf>
    <xf numFmtId="164" fontId="4" fillId="8" borderId="28" xfId="0" applyNumberFormat="1" applyFont="1" applyFill="1" applyBorder="1" applyAlignment="1">
      <alignment horizontal="center" vertical="top"/>
    </xf>
    <xf numFmtId="164" fontId="4" fillId="8" borderId="42" xfId="0" applyNumberFormat="1" applyFont="1" applyFill="1" applyBorder="1" applyAlignment="1">
      <alignment horizontal="center" vertical="top"/>
    </xf>
    <xf numFmtId="164" fontId="4" fillId="8" borderId="27" xfId="0" applyNumberFormat="1" applyFont="1" applyFill="1" applyBorder="1" applyAlignment="1">
      <alignment horizontal="center" vertical="top"/>
    </xf>
    <xf numFmtId="164" fontId="4" fillId="8" borderId="76" xfId="0" applyNumberFormat="1" applyFont="1" applyFill="1" applyBorder="1" applyAlignment="1">
      <alignment horizontal="center" vertical="top"/>
    </xf>
    <xf numFmtId="164" fontId="4" fillId="8" borderId="44" xfId="0" applyNumberFormat="1" applyFont="1" applyFill="1" applyBorder="1" applyAlignment="1">
      <alignment horizontal="center" vertical="top"/>
    </xf>
    <xf numFmtId="164" fontId="4" fillId="8" borderId="60" xfId="0" applyNumberFormat="1" applyFont="1" applyFill="1" applyBorder="1" applyAlignment="1">
      <alignment horizontal="center" vertical="top"/>
    </xf>
    <xf numFmtId="164" fontId="5" fillId="8" borderId="65" xfId="0" applyNumberFormat="1" applyFont="1" applyFill="1" applyBorder="1" applyAlignment="1">
      <alignment horizontal="center" vertical="top"/>
    </xf>
    <xf numFmtId="164" fontId="5" fillId="8" borderId="4" xfId="0" applyNumberFormat="1" applyFont="1" applyFill="1" applyBorder="1" applyAlignment="1">
      <alignment horizontal="center" vertical="top"/>
    </xf>
    <xf numFmtId="164" fontId="5" fillId="8" borderId="66" xfId="0" applyNumberFormat="1" applyFont="1" applyFill="1" applyBorder="1" applyAlignment="1">
      <alignment horizontal="center" vertical="top"/>
    </xf>
    <xf numFmtId="164" fontId="4" fillId="8" borderId="78" xfId="0" applyNumberFormat="1" applyFont="1" applyFill="1" applyBorder="1" applyAlignment="1">
      <alignment horizontal="center" vertical="top" wrapText="1"/>
    </xf>
    <xf numFmtId="164" fontId="4" fillId="8" borderId="48" xfId="0" applyNumberFormat="1" applyFont="1" applyFill="1" applyBorder="1" applyAlignment="1">
      <alignment horizontal="center" vertical="top" wrapText="1"/>
    </xf>
    <xf numFmtId="164" fontId="4" fillId="8" borderId="77" xfId="0" applyNumberFormat="1" applyFont="1" applyFill="1" applyBorder="1" applyAlignment="1">
      <alignment horizontal="center" vertical="top" wrapText="1"/>
    </xf>
    <xf numFmtId="164" fontId="4" fillId="8" borderId="9" xfId="0" applyNumberFormat="1" applyFont="1" applyFill="1" applyBorder="1" applyAlignment="1">
      <alignment horizontal="center" vertical="top" wrapText="1"/>
    </xf>
    <xf numFmtId="164" fontId="4" fillId="8" borderId="22" xfId="0" applyNumberFormat="1" applyFont="1" applyFill="1" applyBorder="1" applyAlignment="1">
      <alignment horizontal="center" vertical="top" wrapText="1"/>
    </xf>
    <xf numFmtId="0" fontId="5" fillId="8" borderId="41" xfId="0" applyFont="1" applyFill="1" applyBorder="1" applyAlignment="1">
      <alignment horizontal="left" vertical="top" wrapText="1"/>
    </xf>
    <xf numFmtId="164" fontId="5" fillId="8" borderId="34" xfId="0" applyNumberFormat="1" applyFont="1" applyFill="1" applyBorder="1" applyAlignment="1">
      <alignment horizontal="center" vertical="top"/>
    </xf>
    <xf numFmtId="164" fontId="5" fillId="8" borderId="41" xfId="0" applyNumberFormat="1" applyFont="1" applyFill="1" applyBorder="1" applyAlignment="1">
      <alignment horizontal="center" vertical="top"/>
    </xf>
    <xf numFmtId="0" fontId="5" fillId="8" borderId="41" xfId="0" applyFont="1" applyFill="1" applyBorder="1" applyAlignment="1">
      <alignment horizontal="center" vertical="top" wrapText="1"/>
    </xf>
    <xf numFmtId="164" fontId="4" fillId="8" borderId="33" xfId="0" applyNumberFormat="1" applyFont="1" applyFill="1" applyBorder="1" applyAlignment="1">
      <alignment horizontal="center" vertical="top" wrapText="1"/>
    </xf>
    <xf numFmtId="164" fontId="4" fillId="8" borderId="64" xfId="0" applyNumberFormat="1" applyFont="1" applyFill="1" applyBorder="1" applyAlignment="1">
      <alignment horizontal="center" vertical="top"/>
    </xf>
    <xf numFmtId="164" fontId="4" fillId="8" borderId="18" xfId="0" applyNumberFormat="1" applyFont="1" applyFill="1" applyBorder="1" applyAlignment="1">
      <alignment horizontal="center" vertical="top"/>
    </xf>
    <xf numFmtId="164" fontId="4" fillId="8" borderId="22" xfId="0" applyNumberFormat="1" applyFont="1" applyFill="1" applyBorder="1" applyAlignment="1">
      <alignment horizontal="center" vertical="top"/>
    </xf>
    <xf numFmtId="164" fontId="4" fillId="8" borderId="66" xfId="0" applyNumberFormat="1" applyFont="1" applyFill="1" applyBorder="1" applyAlignment="1">
      <alignment horizontal="center" vertical="top"/>
    </xf>
    <xf numFmtId="0" fontId="5" fillId="8" borderId="40" xfId="0" applyFont="1" applyFill="1" applyBorder="1" applyAlignment="1">
      <alignment horizontal="center" vertical="top" wrapText="1"/>
    </xf>
    <xf numFmtId="164" fontId="4" fillId="8" borderId="0" xfId="0" applyNumberFormat="1" applyFont="1" applyFill="1" applyBorder="1" applyAlignment="1">
      <alignment horizontal="center" vertical="top"/>
    </xf>
    <xf numFmtId="164" fontId="4" fillId="8" borderId="71" xfId="0" applyNumberFormat="1" applyFont="1" applyFill="1" applyBorder="1" applyAlignment="1">
      <alignment horizontal="center" vertical="top"/>
    </xf>
    <xf numFmtId="164" fontId="4" fillId="8" borderId="70" xfId="0" applyNumberFormat="1" applyFont="1" applyFill="1" applyBorder="1" applyAlignment="1">
      <alignment horizontal="center" vertical="top"/>
    </xf>
    <xf numFmtId="164" fontId="4" fillId="8" borderId="75" xfId="0" applyNumberFormat="1" applyFont="1" applyFill="1" applyBorder="1" applyAlignment="1">
      <alignment horizontal="center" vertical="top"/>
    </xf>
    <xf numFmtId="164" fontId="4" fillId="8" borderId="49" xfId="0" applyNumberFormat="1" applyFont="1" applyFill="1" applyBorder="1" applyAlignment="1">
      <alignment horizontal="center" vertical="top"/>
    </xf>
    <xf numFmtId="164" fontId="5" fillId="8" borderId="26" xfId="0" applyNumberFormat="1" applyFont="1" applyFill="1" applyBorder="1" applyAlignment="1">
      <alignment horizontal="center" vertical="top"/>
    </xf>
    <xf numFmtId="164" fontId="5" fillId="8" borderId="27" xfId="0" applyNumberFormat="1" applyFont="1" applyFill="1" applyBorder="1" applyAlignment="1">
      <alignment horizontal="center" vertical="top"/>
    </xf>
    <xf numFmtId="0" fontId="5" fillId="8" borderId="31" xfId="0" applyFont="1" applyFill="1" applyBorder="1" applyAlignment="1">
      <alignment horizontal="center" vertical="top" wrapText="1"/>
    </xf>
    <xf numFmtId="164" fontId="5" fillId="8" borderId="29" xfId="0" applyNumberFormat="1" applyFont="1" applyFill="1" applyBorder="1" applyAlignment="1">
      <alignment horizontal="center" vertical="top"/>
    </xf>
    <xf numFmtId="164" fontId="5" fillId="8" borderId="31" xfId="0" applyNumberFormat="1" applyFont="1" applyFill="1" applyBorder="1" applyAlignment="1">
      <alignment horizontal="center" vertical="top"/>
    </xf>
    <xf numFmtId="164" fontId="4" fillId="8" borderId="23" xfId="0" applyNumberFormat="1" applyFont="1" applyFill="1" applyBorder="1" applyAlignment="1">
      <alignment horizontal="center" vertical="top"/>
    </xf>
    <xf numFmtId="164" fontId="5" fillId="8" borderId="24" xfId="0" applyNumberFormat="1" applyFont="1" applyFill="1" applyBorder="1" applyAlignment="1">
      <alignment horizontal="center" vertical="top"/>
    </xf>
    <xf numFmtId="164" fontId="5" fillId="8" borderId="61" xfId="0" applyNumberFormat="1" applyFont="1" applyFill="1" applyBorder="1" applyAlignment="1">
      <alignment horizontal="center" vertical="top"/>
    </xf>
    <xf numFmtId="164" fontId="5" fillId="8" borderId="32" xfId="0" applyNumberFormat="1" applyFont="1" applyFill="1" applyBorder="1" applyAlignment="1">
      <alignment horizontal="center" vertical="top"/>
    </xf>
    <xf numFmtId="164" fontId="1" fillId="8" borderId="52" xfId="0" applyNumberFormat="1" applyFont="1" applyFill="1" applyBorder="1" applyAlignment="1">
      <alignment horizontal="center" vertical="top"/>
    </xf>
    <xf numFmtId="164" fontId="1" fillId="8" borderId="4" xfId="0" applyNumberFormat="1" applyFont="1" applyFill="1" applyBorder="1" applyAlignment="1">
      <alignment horizontal="center" vertical="top"/>
    </xf>
    <xf numFmtId="164" fontId="1" fillId="8" borderId="1" xfId="0" applyNumberFormat="1" applyFont="1" applyFill="1" applyBorder="1" applyAlignment="1">
      <alignment horizontal="center" vertical="top"/>
    </xf>
    <xf numFmtId="164" fontId="2" fillId="8" borderId="69" xfId="0" applyNumberFormat="1" applyFont="1" applyFill="1" applyBorder="1" applyAlignment="1">
      <alignment horizontal="center" vertical="top"/>
    </xf>
    <xf numFmtId="164" fontId="2" fillId="8" borderId="23" xfId="0" applyNumberFormat="1" applyFont="1" applyFill="1" applyBorder="1" applyAlignment="1">
      <alignment horizontal="center" vertical="top"/>
    </xf>
    <xf numFmtId="164" fontId="2" fillId="8" borderId="13" xfId="0" applyNumberFormat="1" applyFont="1" applyFill="1" applyBorder="1" applyAlignment="1">
      <alignment horizontal="center" vertical="top"/>
    </xf>
    <xf numFmtId="164" fontId="1" fillId="8" borderId="76" xfId="0" applyNumberFormat="1" applyFont="1" applyFill="1" applyBorder="1" applyAlignment="1">
      <alignment horizontal="center" vertical="top"/>
    </xf>
    <xf numFmtId="164" fontId="1" fillId="8" borderId="64" xfId="0" applyNumberFormat="1" applyFont="1" applyFill="1" applyBorder="1" applyAlignment="1">
      <alignment horizontal="center" vertical="top"/>
    </xf>
    <xf numFmtId="164" fontId="1" fillId="8" borderId="44" xfId="0" applyNumberFormat="1" applyFont="1" applyFill="1" applyBorder="1" applyAlignment="1">
      <alignment horizontal="center" vertical="top"/>
    </xf>
    <xf numFmtId="164" fontId="2" fillId="8" borderId="78" xfId="0" applyNumberFormat="1" applyFont="1" applyFill="1" applyBorder="1" applyAlignment="1">
      <alignment horizontal="center" vertical="top"/>
    </xf>
    <xf numFmtId="164" fontId="2" fillId="8" borderId="33" xfId="0" applyNumberFormat="1" applyFont="1" applyFill="1" applyBorder="1" applyAlignment="1">
      <alignment horizontal="center" vertical="top"/>
    </xf>
    <xf numFmtId="164" fontId="2" fillId="8" borderId="48" xfId="0" applyNumberFormat="1" applyFont="1" applyFill="1" applyBorder="1" applyAlignment="1">
      <alignment horizontal="center" vertical="top"/>
    </xf>
    <xf numFmtId="164" fontId="1" fillId="8" borderId="67" xfId="0" applyNumberFormat="1" applyFont="1" applyFill="1" applyBorder="1" applyAlignment="1">
      <alignment horizontal="center" vertical="top"/>
    </xf>
    <xf numFmtId="164" fontId="1" fillId="8" borderId="66" xfId="0" applyNumberFormat="1" applyFont="1" applyFill="1" applyBorder="1" applyAlignment="1">
      <alignment horizontal="center" vertical="top"/>
    </xf>
    <xf numFmtId="164" fontId="1" fillId="8" borderId="41" xfId="0" applyNumberFormat="1" applyFont="1" applyFill="1" applyBorder="1" applyAlignment="1">
      <alignment horizontal="center" vertical="top"/>
    </xf>
    <xf numFmtId="0" fontId="1" fillId="8" borderId="40" xfId="0" applyFont="1" applyFill="1" applyBorder="1" applyAlignment="1">
      <alignment horizontal="center" vertical="top" wrapText="1"/>
    </xf>
    <xf numFmtId="164" fontId="1" fillId="8" borderId="60" xfId="0" applyNumberFormat="1" applyFont="1" applyFill="1" applyBorder="1" applyAlignment="1">
      <alignment horizontal="center" vertical="top"/>
    </xf>
    <xf numFmtId="164" fontId="1" fillId="8" borderId="68" xfId="0" applyNumberFormat="1" applyFont="1" applyFill="1" applyBorder="1" applyAlignment="1">
      <alignment horizontal="center" vertical="top"/>
    </xf>
    <xf numFmtId="164" fontId="1" fillId="8" borderId="45" xfId="0" applyNumberFormat="1" applyFont="1" applyFill="1" applyBorder="1" applyAlignment="1">
      <alignment horizontal="center" vertical="top"/>
    </xf>
    <xf numFmtId="164" fontId="1" fillId="8" borderId="40" xfId="0" applyNumberFormat="1" applyFont="1" applyFill="1" applyBorder="1" applyAlignment="1">
      <alignment horizontal="center" vertical="top"/>
    </xf>
    <xf numFmtId="164" fontId="5" fillId="8" borderId="67" xfId="0" applyNumberFormat="1" applyFont="1" applyFill="1" applyBorder="1" applyAlignment="1">
      <alignment horizontal="center" vertical="top"/>
    </xf>
    <xf numFmtId="0" fontId="1" fillId="8" borderId="41" xfId="0" applyFont="1" applyFill="1" applyBorder="1" applyAlignment="1">
      <alignment horizontal="center" vertical="top" wrapText="1"/>
    </xf>
    <xf numFmtId="0" fontId="4" fillId="0" borderId="37" xfId="0" applyNumberFormat="1" applyFont="1" applyBorder="1" applyAlignment="1">
      <alignment horizontal="center" vertical="top"/>
    </xf>
    <xf numFmtId="49" fontId="4" fillId="0" borderId="57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164" fontId="5" fillId="8" borderId="52" xfId="0" applyNumberFormat="1" applyFont="1" applyFill="1" applyBorder="1" applyAlignment="1">
      <alignment horizontal="center" vertical="top"/>
    </xf>
    <xf numFmtId="164" fontId="5" fillId="8" borderId="1" xfId="0" applyNumberFormat="1" applyFont="1" applyFill="1" applyBorder="1" applyAlignment="1">
      <alignment horizontal="center" vertical="top"/>
    </xf>
    <xf numFmtId="164" fontId="5" fillId="8" borderId="51" xfId="0" applyNumberFormat="1" applyFont="1" applyFill="1" applyBorder="1" applyAlignment="1">
      <alignment horizontal="center" vertical="top"/>
    </xf>
    <xf numFmtId="49" fontId="4" fillId="0" borderId="22" xfId="0" applyNumberFormat="1" applyFont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164" fontId="4" fillId="0" borderId="30" xfId="0" applyNumberFormat="1" applyFont="1" applyFill="1" applyBorder="1" applyAlignment="1">
      <alignment horizontal="left" vertical="top" wrapText="1"/>
    </xf>
    <xf numFmtId="0" fontId="4" fillId="5" borderId="36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49" fontId="4" fillId="0" borderId="57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49" fontId="4" fillId="0" borderId="73" xfId="0" applyNumberFormat="1" applyFont="1" applyBorder="1" applyAlignment="1">
      <alignment horizontal="center" vertical="top"/>
    </xf>
    <xf numFmtId="164" fontId="5" fillId="8" borderId="52" xfId="0" applyNumberFormat="1" applyFont="1" applyFill="1" applyBorder="1" applyAlignment="1">
      <alignment horizontal="center" vertical="top"/>
    </xf>
    <xf numFmtId="164" fontId="5" fillId="8" borderId="1" xfId="0" applyNumberFormat="1" applyFont="1" applyFill="1" applyBorder="1" applyAlignment="1">
      <alignment horizontal="center" vertical="top"/>
    </xf>
    <xf numFmtId="164" fontId="5" fillId="8" borderId="51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0" fontId="4" fillId="5" borderId="3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7" borderId="9" xfId="0" applyFont="1" applyFill="1" applyBorder="1" applyAlignment="1">
      <alignment horizontal="left" vertical="top" wrapText="1"/>
    </xf>
    <xf numFmtId="0" fontId="4" fillId="0" borderId="37" xfId="0" applyNumberFormat="1" applyFont="1" applyBorder="1" applyAlignment="1">
      <alignment horizontal="center" vertical="top"/>
    </xf>
    <xf numFmtId="0" fontId="5" fillId="0" borderId="72" xfId="0" applyFont="1" applyBorder="1" applyAlignment="1">
      <alignment horizontal="center" vertical="top"/>
    </xf>
    <xf numFmtId="0" fontId="4" fillId="5" borderId="31" xfId="1" applyFont="1" applyFill="1" applyBorder="1" applyAlignment="1">
      <alignment horizontal="center" vertical="top" wrapText="1"/>
    </xf>
    <xf numFmtId="49" fontId="5" fillId="0" borderId="74" xfId="0" applyNumberFormat="1" applyFont="1" applyBorder="1" applyAlignment="1">
      <alignment horizontal="center" vertical="top"/>
    </xf>
    <xf numFmtId="1" fontId="4" fillId="0" borderId="13" xfId="0" applyNumberFormat="1" applyFont="1" applyFill="1" applyBorder="1" applyAlignment="1">
      <alignment horizontal="center" vertical="top"/>
    </xf>
    <xf numFmtId="1" fontId="4" fillId="0" borderId="37" xfId="0" applyNumberFormat="1" applyFont="1" applyFill="1" applyBorder="1" applyAlignment="1">
      <alignment horizontal="center" vertical="top"/>
    </xf>
    <xf numFmtId="0" fontId="4" fillId="5" borderId="38" xfId="0" applyFont="1" applyFill="1" applyBorder="1" applyAlignment="1">
      <alignment vertical="top" wrapText="1"/>
    </xf>
    <xf numFmtId="1" fontId="4" fillId="0" borderId="11" xfId="0" applyNumberFormat="1" applyFont="1" applyFill="1" applyBorder="1" applyAlignment="1">
      <alignment horizontal="center" vertical="top"/>
    </xf>
    <xf numFmtId="1" fontId="4" fillId="0" borderId="68" xfId="0" applyNumberFormat="1" applyFont="1" applyFill="1" applyBorder="1" applyAlignment="1">
      <alignment horizontal="center" vertical="top"/>
    </xf>
    <xf numFmtId="1" fontId="4" fillId="0" borderId="35" xfId="0" applyNumberFormat="1" applyFont="1" applyFill="1" applyBorder="1" applyAlignment="1">
      <alignment horizontal="center" vertical="top"/>
    </xf>
    <xf numFmtId="164" fontId="8" fillId="0" borderId="44" xfId="0" applyNumberFormat="1" applyFont="1" applyBorder="1" applyAlignment="1">
      <alignment horizontal="center" vertical="top"/>
    </xf>
    <xf numFmtId="1" fontId="4" fillId="0" borderId="24" xfId="0" applyNumberFormat="1" applyFont="1" applyFill="1" applyBorder="1" applyAlignment="1">
      <alignment horizontal="center" vertical="top"/>
    </xf>
    <xf numFmtId="164" fontId="11" fillId="0" borderId="61" xfId="0" applyNumberFormat="1" applyFont="1" applyFill="1" applyBorder="1" applyAlignment="1">
      <alignment horizontal="center" vertical="top"/>
    </xf>
    <xf numFmtId="164" fontId="11" fillId="0" borderId="24" xfId="0" applyNumberFormat="1" applyFont="1" applyFill="1" applyBorder="1" applyAlignment="1">
      <alignment horizontal="center" vertical="top"/>
    </xf>
    <xf numFmtId="164" fontId="11" fillId="0" borderId="25" xfId="0" applyNumberFormat="1" applyFont="1" applyFill="1" applyBorder="1" applyAlignment="1">
      <alignment horizontal="center" vertical="top"/>
    </xf>
    <xf numFmtId="164" fontId="4" fillId="0" borderId="24" xfId="0" applyNumberFormat="1" applyFont="1" applyFill="1" applyBorder="1" applyAlignment="1">
      <alignment horizontal="center" vertical="top"/>
    </xf>
    <xf numFmtId="164" fontId="4" fillId="0" borderId="25" xfId="0" applyNumberFormat="1" applyFont="1" applyFill="1" applyBorder="1" applyAlignment="1">
      <alignment horizontal="center" vertical="top"/>
    </xf>
    <xf numFmtId="164" fontId="4" fillId="0" borderId="31" xfId="0" applyNumberFormat="1" applyFont="1" applyFill="1" applyBorder="1" applyAlignment="1">
      <alignment horizontal="center" vertical="top"/>
    </xf>
    <xf numFmtId="164" fontId="8" fillId="0" borderId="49" xfId="0" applyNumberFormat="1" applyFont="1" applyBorder="1" applyAlignment="1">
      <alignment horizontal="center" vertical="top"/>
    </xf>
    <xf numFmtId="164" fontId="4" fillId="5" borderId="53" xfId="0" applyNumberFormat="1" applyFont="1" applyFill="1" applyBorder="1" applyAlignment="1">
      <alignment horizontal="center" vertical="top" wrapText="1"/>
    </xf>
    <xf numFmtId="164" fontId="4" fillId="0" borderId="70" xfId="0" applyNumberFormat="1" applyFont="1" applyBorder="1" applyAlignment="1">
      <alignment horizontal="center" vertical="top"/>
    </xf>
    <xf numFmtId="164" fontId="8" fillId="0" borderId="62" xfId="0" applyNumberFormat="1" applyFont="1" applyBorder="1" applyAlignment="1">
      <alignment horizontal="center" vertical="top"/>
    </xf>
    <xf numFmtId="164" fontId="8" fillId="0" borderId="63" xfId="0" applyNumberFormat="1" applyFont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4" fillId="0" borderId="36" xfId="0" applyFont="1" applyFill="1" applyBorder="1" applyAlignment="1">
      <alignment horizontal="center" vertical="top"/>
    </xf>
    <xf numFmtId="0" fontId="4" fillId="0" borderId="53" xfId="0" applyFont="1" applyFill="1" applyBorder="1" applyAlignment="1">
      <alignment horizontal="center" vertical="top"/>
    </xf>
    <xf numFmtId="164" fontId="11" fillId="0" borderId="16" xfId="0" applyNumberFormat="1" applyFont="1" applyFill="1" applyBorder="1" applyAlignment="1">
      <alignment horizontal="center" vertical="top"/>
    </xf>
    <xf numFmtId="164" fontId="11" fillId="0" borderId="9" xfId="0" applyNumberFormat="1" applyFont="1" applyFill="1" applyBorder="1" applyAlignment="1">
      <alignment horizontal="center" vertical="top"/>
    </xf>
    <xf numFmtId="164" fontId="11" fillId="0" borderId="58" xfId="0" applyNumberFormat="1" applyFont="1" applyFill="1" applyBorder="1" applyAlignment="1">
      <alignment horizontal="center" vertical="top"/>
    </xf>
    <xf numFmtId="164" fontId="4" fillId="0" borderId="16" xfId="0" applyNumberFormat="1" applyFont="1" applyBorder="1" applyAlignment="1">
      <alignment horizontal="center" vertical="top"/>
    </xf>
    <xf numFmtId="164" fontId="11" fillId="0" borderId="22" xfId="0" applyNumberFormat="1" applyFont="1" applyFill="1" applyBorder="1" applyAlignment="1">
      <alignment horizontal="center" vertical="top"/>
    </xf>
    <xf numFmtId="164" fontId="4" fillId="0" borderId="58" xfId="0" applyNumberFormat="1" applyFont="1" applyBorder="1" applyAlignment="1">
      <alignment horizontal="center" vertical="top"/>
    </xf>
    <xf numFmtId="164" fontId="8" fillId="0" borderId="9" xfId="0" applyNumberFormat="1" applyFont="1" applyBorder="1" applyAlignment="1">
      <alignment horizontal="center" vertical="top"/>
    </xf>
    <xf numFmtId="164" fontId="8" fillId="0" borderId="22" xfId="0" applyNumberFormat="1" applyFont="1" applyBorder="1" applyAlignment="1">
      <alignment horizontal="center" vertical="top"/>
    </xf>
    <xf numFmtId="164" fontId="4" fillId="0" borderId="18" xfId="0" applyNumberFormat="1" applyFont="1" applyBorder="1" applyAlignment="1">
      <alignment horizontal="center" vertical="top"/>
    </xf>
    <xf numFmtId="164" fontId="4" fillId="8" borderId="16" xfId="0" applyNumberFormat="1" applyFont="1" applyFill="1" applyBorder="1" applyAlignment="1">
      <alignment horizontal="center" vertical="top"/>
    </xf>
    <xf numFmtId="0" fontId="4" fillId="0" borderId="30" xfId="0" applyFont="1" applyFill="1" applyBorder="1" applyAlignment="1">
      <alignment vertical="top" wrapText="1"/>
    </xf>
    <xf numFmtId="0" fontId="4" fillId="5" borderId="12" xfId="0" applyNumberFormat="1" applyFont="1" applyFill="1" applyBorder="1" applyAlignment="1">
      <alignment horizontal="center" vertical="top"/>
    </xf>
    <xf numFmtId="0" fontId="4" fillId="0" borderId="12" xfId="0" applyNumberFormat="1" applyFont="1" applyFill="1" applyBorder="1" applyAlignment="1">
      <alignment horizontal="center" vertical="top"/>
    </xf>
    <xf numFmtId="0" fontId="4" fillId="0" borderId="15" xfId="0" applyNumberFormat="1" applyFont="1" applyFill="1" applyBorder="1" applyAlignment="1">
      <alignment vertical="top"/>
    </xf>
    <xf numFmtId="0" fontId="4" fillId="0" borderId="3" xfId="0" applyNumberFormat="1" applyFont="1" applyFill="1" applyBorder="1" applyAlignment="1">
      <alignment vertical="top"/>
    </xf>
    <xf numFmtId="0" fontId="4" fillId="0" borderId="50" xfId="0" applyNumberFormat="1" applyFont="1" applyFill="1" applyBorder="1" applyAlignment="1">
      <alignment vertical="top"/>
    </xf>
    <xf numFmtId="0" fontId="4" fillId="0" borderId="30" xfId="0" applyFont="1" applyBorder="1" applyAlignment="1">
      <alignment vertical="top"/>
    </xf>
    <xf numFmtId="164" fontId="5" fillId="3" borderId="72" xfId="0" applyNumberFormat="1" applyFont="1" applyFill="1" applyBorder="1" applyAlignment="1">
      <alignment horizontal="center" vertical="top"/>
    </xf>
    <xf numFmtId="0" fontId="5" fillId="0" borderId="23" xfId="0" applyFont="1" applyBorder="1" applyAlignment="1">
      <alignment vertical="top" wrapText="1"/>
    </xf>
    <xf numFmtId="0" fontId="5" fillId="0" borderId="0" xfId="0" applyFont="1" applyFill="1" applyBorder="1" applyAlignment="1">
      <alignment horizontal="center" textRotation="90" wrapText="1"/>
    </xf>
    <xf numFmtId="164" fontId="4" fillId="0" borderId="38" xfId="0" applyNumberFormat="1" applyFont="1" applyFill="1" applyBorder="1" applyAlignment="1">
      <alignment horizontal="left" vertical="top" wrapText="1"/>
    </xf>
    <xf numFmtId="0" fontId="4" fillId="0" borderId="21" xfId="0" applyFont="1" applyBorder="1" applyAlignment="1">
      <alignment vertical="top"/>
    </xf>
    <xf numFmtId="164" fontId="4" fillId="8" borderId="12" xfId="0" applyNumberFormat="1" applyFont="1" applyFill="1" applyBorder="1" applyAlignment="1">
      <alignment horizontal="center" vertical="top"/>
    </xf>
    <xf numFmtId="49" fontId="5" fillId="2" borderId="52" xfId="0" applyNumberFormat="1" applyFont="1" applyFill="1" applyBorder="1" applyAlignment="1">
      <alignment horizontal="center" vertical="top"/>
    </xf>
    <xf numFmtId="49" fontId="5" fillId="3" borderId="65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vertical="center" textRotation="90" wrapText="1"/>
    </xf>
    <xf numFmtId="164" fontId="2" fillId="8" borderId="75" xfId="0" applyNumberFormat="1" applyFont="1" applyFill="1" applyBorder="1" applyAlignment="1">
      <alignment horizontal="center" vertical="top"/>
    </xf>
    <xf numFmtId="164" fontId="2" fillId="8" borderId="71" xfId="0" applyNumberFormat="1" applyFont="1" applyFill="1" applyBorder="1" applyAlignment="1">
      <alignment horizontal="center" vertical="top"/>
    </xf>
    <xf numFmtId="164" fontId="2" fillId="8" borderId="49" xfId="0" applyNumberFormat="1" applyFont="1" applyFill="1" applyBorder="1" applyAlignment="1">
      <alignment horizontal="center" vertical="top"/>
    </xf>
    <xf numFmtId="164" fontId="2" fillId="5" borderId="53" xfId="0" applyNumberFormat="1" applyFont="1" applyFill="1" applyBorder="1" applyAlignment="1">
      <alignment horizontal="center" vertical="top" wrapText="1"/>
    </xf>
    <xf numFmtId="0" fontId="4" fillId="0" borderId="11" xfId="0" applyFont="1" applyBorder="1"/>
    <xf numFmtId="164" fontId="2" fillId="0" borderId="12" xfId="0" applyNumberFormat="1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 vertical="top"/>
    </xf>
    <xf numFmtId="164" fontId="2" fillId="0" borderId="58" xfId="0" applyNumberFormat="1" applyFont="1" applyBorder="1" applyAlignment="1">
      <alignment horizontal="center" vertical="top"/>
    </xf>
    <xf numFmtId="164" fontId="2" fillId="8" borderId="18" xfId="0" applyNumberFormat="1" applyFont="1" applyFill="1" applyBorder="1" applyAlignment="1">
      <alignment horizontal="center" vertical="top"/>
    </xf>
    <xf numFmtId="164" fontId="2" fillId="8" borderId="0" xfId="0" applyNumberFormat="1" applyFont="1" applyFill="1" applyBorder="1" applyAlignment="1">
      <alignment horizontal="center" vertical="top"/>
    </xf>
    <xf numFmtId="164" fontId="2" fillId="8" borderId="9" xfId="0" applyNumberFormat="1" applyFont="1" applyFill="1" applyBorder="1" applyAlignment="1">
      <alignment horizontal="center" vertical="top"/>
    </xf>
    <xf numFmtId="164" fontId="2" fillId="5" borderId="30" xfId="0" applyNumberFormat="1" applyFont="1" applyFill="1" applyBorder="1" applyAlignment="1">
      <alignment horizontal="center" vertical="top" wrapText="1"/>
    </xf>
    <xf numFmtId="0" fontId="4" fillId="5" borderId="50" xfId="0" applyFont="1" applyFill="1" applyBorder="1" applyAlignment="1">
      <alignment horizontal="left" vertical="top" wrapText="1"/>
    </xf>
    <xf numFmtId="0" fontId="2" fillId="0" borderId="11" xfId="0" applyFont="1" applyBorder="1"/>
    <xf numFmtId="0" fontId="2" fillId="0" borderId="53" xfId="0" applyFont="1" applyBorder="1" applyAlignment="1">
      <alignment horizontal="center" vertical="top"/>
    </xf>
    <xf numFmtId="164" fontId="2" fillId="5" borderId="75" xfId="0" applyNumberFormat="1" applyFont="1" applyFill="1" applyBorder="1" applyAlignment="1">
      <alignment horizontal="center" vertical="top"/>
    </xf>
    <xf numFmtId="164" fontId="2" fillId="5" borderId="49" xfId="0" applyNumberFormat="1" applyFont="1" applyFill="1" applyBorder="1" applyAlignment="1">
      <alignment horizontal="center" vertical="top"/>
    </xf>
    <xf numFmtId="164" fontId="2" fillId="5" borderId="70" xfId="0" applyNumberFormat="1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164" fontId="2" fillId="0" borderId="22" xfId="0" applyNumberFormat="1" applyFont="1" applyBorder="1" applyAlignment="1">
      <alignment horizontal="center" vertical="top"/>
    </xf>
    <xf numFmtId="164" fontId="2" fillId="0" borderId="16" xfId="0" applyNumberFormat="1" applyFont="1" applyBorder="1" applyAlignment="1">
      <alignment horizontal="center" vertical="top"/>
    </xf>
    <xf numFmtId="164" fontId="2" fillId="8" borderId="22" xfId="0" applyNumberFormat="1" applyFont="1" applyFill="1" applyBorder="1" applyAlignment="1">
      <alignment horizontal="center" vertical="top"/>
    </xf>
    <xf numFmtId="164" fontId="2" fillId="5" borderId="36" xfId="0" applyNumberFormat="1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/>
    </xf>
    <xf numFmtId="164" fontId="4" fillId="0" borderId="21" xfId="0" applyNumberFormat="1" applyFont="1" applyBorder="1" applyAlignment="1">
      <alignment horizontal="center" vertical="top"/>
    </xf>
    <xf numFmtId="0" fontId="4" fillId="0" borderId="57" xfId="0" applyFont="1" applyBorder="1"/>
    <xf numFmtId="0" fontId="4" fillId="0" borderId="58" xfId="0" applyFont="1" applyBorder="1"/>
    <xf numFmtId="0" fontId="4" fillId="5" borderId="18" xfId="1" applyFont="1" applyFill="1" applyBorder="1" applyAlignment="1">
      <alignment horizontal="center" vertical="top"/>
    </xf>
    <xf numFmtId="0" fontId="4" fillId="5" borderId="9" xfId="1" applyFont="1" applyFill="1" applyBorder="1" applyAlignment="1">
      <alignment horizontal="center" vertical="top"/>
    </xf>
    <xf numFmtId="0" fontId="4" fillId="5" borderId="58" xfId="1" applyFont="1" applyFill="1" applyBorder="1" applyAlignment="1">
      <alignment horizontal="center" vertical="top"/>
    </xf>
    <xf numFmtId="0" fontId="4" fillId="5" borderId="16" xfId="1" applyFont="1" applyFill="1" applyBorder="1" applyAlignment="1">
      <alignment horizontal="center" vertical="top"/>
    </xf>
    <xf numFmtId="0" fontId="4" fillId="5" borderId="30" xfId="1" applyFont="1" applyFill="1" applyBorder="1" applyAlignment="1">
      <alignment horizontal="left" vertical="top" wrapText="1"/>
    </xf>
    <xf numFmtId="0" fontId="4" fillId="0" borderId="22" xfId="0" applyFont="1" applyBorder="1" applyAlignment="1">
      <alignment vertical="top"/>
    </xf>
    <xf numFmtId="164" fontId="4" fillId="0" borderId="30" xfId="0" applyNumberFormat="1" applyFont="1" applyBorder="1" applyAlignment="1">
      <alignment horizontal="center" vertical="top"/>
    </xf>
    <xf numFmtId="164" fontId="4" fillId="0" borderId="0" xfId="0" applyNumberFormat="1" applyFont="1" applyBorder="1" applyAlignment="1">
      <alignment horizontal="center" vertical="top"/>
    </xf>
    <xf numFmtId="49" fontId="4" fillId="0" borderId="17" xfId="0" applyNumberFormat="1" applyFont="1" applyFill="1" applyBorder="1" applyAlignment="1">
      <alignment horizontal="center" vertical="top"/>
    </xf>
    <xf numFmtId="49" fontId="4" fillId="0" borderId="20" xfId="0" applyNumberFormat="1" applyFont="1" applyFill="1" applyBorder="1" applyAlignment="1">
      <alignment horizontal="center" vertical="top"/>
    </xf>
    <xf numFmtId="49" fontId="4" fillId="0" borderId="73" xfId="0" applyNumberFormat="1" applyFont="1" applyFill="1" applyBorder="1" applyAlignment="1">
      <alignment horizontal="center" vertical="top"/>
    </xf>
    <xf numFmtId="0" fontId="5" fillId="0" borderId="30" xfId="0" applyFont="1" applyBorder="1" applyAlignment="1">
      <alignment vertical="top"/>
    </xf>
    <xf numFmtId="0" fontId="5" fillId="0" borderId="72" xfId="0" applyFont="1" applyBorder="1" applyAlignment="1">
      <alignment vertical="top"/>
    </xf>
    <xf numFmtId="0" fontId="2" fillId="5" borderId="3" xfId="0" applyFont="1" applyFill="1" applyBorder="1" applyAlignment="1">
      <alignment horizontal="left" vertical="top" wrapText="1"/>
    </xf>
    <xf numFmtId="0" fontId="4" fillId="0" borderId="72" xfId="0" applyFont="1" applyBorder="1" applyAlignment="1">
      <alignment vertical="top"/>
    </xf>
    <xf numFmtId="164" fontId="4" fillId="5" borderId="20" xfId="0" applyNumberFormat="1" applyFont="1" applyFill="1" applyBorder="1" applyAlignment="1">
      <alignment horizontal="center" vertical="top"/>
    </xf>
    <xf numFmtId="164" fontId="2" fillId="0" borderId="15" xfId="0" applyNumberFormat="1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top"/>
    </xf>
    <xf numFmtId="164" fontId="2" fillId="0" borderId="74" xfId="0" applyNumberFormat="1" applyFont="1" applyBorder="1" applyAlignment="1">
      <alignment horizontal="center" vertical="top"/>
    </xf>
    <xf numFmtId="164" fontId="2" fillId="0" borderId="73" xfId="0" applyNumberFormat="1" applyFont="1" applyBorder="1" applyAlignment="1">
      <alignment horizontal="center" vertical="top"/>
    </xf>
    <xf numFmtId="164" fontId="2" fillId="8" borderId="19" xfId="0" applyNumberFormat="1" applyFont="1" applyFill="1" applyBorder="1" applyAlignment="1">
      <alignment horizontal="center" vertical="top"/>
    </xf>
    <xf numFmtId="164" fontId="2" fillId="8" borderId="74" xfId="0" applyNumberFormat="1" applyFont="1" applyFill="1" applyBorder="1" applyAlignment="1">
      <alignment horizontal="center" vertical="top"/>
    </xf>
    <xf numFmtId="164" fontId="2" fillId="8" borderId="3" xfId="0" applyNumberFormat="1" applyFont="1" applyFill="1" applyBorder="1" applyAlignment="1">
      <alignment horizontal="center" vertical="top"/>
    </xf>
    <xf numFmtId="164" fontId="2" fillId="5" borderId="72" xfId="0" applyNumberFormat="1" applyFont="1" applyFill="1" applyBorder="1" applyAlignment="1">
      <alignment horizontal="center" vertical="top" wrapText="1"/>
    </xf>
    <xf numFmtId="164" fontId="4" fillId="0" borderId="50" xfId="0" applyNumberFormat="1" applyFont="1" applyFill="1" applyBorder="1" applyAlignment="1">
      <alignment vertical="top" wrapText="1"/>
    </xf>
    <xf numFmtId="0" fontId="4" fillId="0" borderId="13" xfId="0" applyFont="1" applyBorder="1" applyAlignment="1">
      <alignment vertical="top"/>
    </xf>
    <xf numFmtId="0" fontId="5" fillId="7" borderId="9" xfId="0" applyFont="1" applyFill="1" applyBorder="1" applyAlignment="1">
      <alignment vertical="center" textRotation="90" wrapText="1"/>
    </xf>
    <xf numFmtId="164" fontId="4" fillId="7" borderId="16" xfId="0" applyNumberFormat="1" applyFont="1" applyFill="1" applyBorder="1" applyAlignment="1">
      <alignment horizontal="center" vertical="top"/>
    </xf>
    <xf numFmtId="164" fontId="4" fillId="7" borderId="9" xfId="0" applyNumberFormat="1" applyFont="1" applyFill="1" applyBorder="1" applyAlignment="1">
      <alignment horizontal="center" vertical="top"/>
    </xf>
    <xf numFmtId="0" fontId="4" fillId="0" borderId="72" xfId="0" applyFont="1" applyBorder="1" applyAlignment="1">
      <alignment horizontal="center" vertical="top"/>
    </xf>
    <xf numFmtId="164" fontId="4" fillId="0" borderId="61" xfId="0" applyNumberFormat="1" applyFont="1" applyBorder="1" applyAlignment="1">
      <alignment horizontal="center" vertical="top"/>
    </xf>
    <xf numFmtId="164" fontId="5" fillId="8" borderId="52" xfId="0" applyNumberFormat="1" applyFont="1" applyFill="1" applyBorder="1" applyAlignment="1">
      <alignment horizontal="center" vertical="top"/>
    </xf>
    <xf numFmtId="164" fontId="5" fillId="8" borderId="1" xfId="0" applyNumberFormat="1" applyFont="1" applyFill="1" applyBorder="1" applyAlignment="1">
      <alignment horizontal="center" vertical="top"/>
    </xf>
    <xf numFmtId="164" fontId="5" fillId="8" borderId="51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/>
    </xf>
    <xf numFmtId="0" fontId="4" fillId="5" borderId="9" xfId="0" applyFont="1" applyFill="1" applyBorder="1" applyAlignment="1">
      <alignment horizontal="left" vertical="top" wrapText="1"/>
    </xf>
    <xf numFmtId="49" fontId="4" fillId="0" borderId="22" xfId="0" applyNumberFormat="1" applyFont="1" applyBorder="1" applyAlignment="1">
      <alignment horizontal="center" vertical="top"/>
    </xf>
    <xf numFmtId="0" fontId="4" fillId="5" borderId="40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0" fontId="4" fillId="5" borderId="16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0" fontId="4" fillId="5" borderId="72" xfId="0" applyFont="1" applyFill="1" applyBorder="1" applyAlignment="1">
      <alignment horizontal="left" vertical="top" wrapText="1"/>
    </xf>
    <xf numFmtId="0" fontId="4" fillId="5" borderId="17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0" borderId="72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vertical="top" wrapText="1"/>
    </xf>
    <xf numFmtId="49" fontId="4" fillId="0" borderId="30" xfId="0" applyNumberFormat="1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0" fontId="4" fillId="0" borderId="58" xfId="0" applyFont="1" applyBorder="1" applyAlignment="1">
      <alignment horizontal="center" vertical="top"/>
    </xf>
    <xf numFmtId="164" fontId="4" fillId="0" borderId="36" xfId="0" applyNumberFormat="1" applyFont="1" applyBorder="1" applyAlignment="1">
      <alignment horizontal="center" vertical="top"/>
    </xf>
    <xf numFmtId="164" fontId="4" fillId="8" borderId="16" xfId="0" applyNumberFormat="1" applyFont="1" applyFill="1" applyBorder="1" applyAlignment="1">
      <alignment horizontal="center" vertical="top" wrapText="1"/>
    </xf>
    <xf numFmtId="0" fontId="4" fillId="5" borderId="31" xfId="0" applyFont="1" applyFill="1" applyBorder="1" applyAlignment="1">
      <alignment vertical="top" wrapText="1"/>
    </xf>
    <xf numFmtId="49" fontId="4" fillId="0" borderId="24" xfId="0" applyNumberFormat="1" applyFont="1" applyFill="1" applyBorder="1" applyAlignment="1">
      <alignment horizontal="center" vertical="top"/>
    </xf>
    <xf numFmtId="49" fontId="4" fillId="0" borderId="32" xfId="0" applyNumberFormat="1" applyFont="1" applyFill="1" applyBorder="1" applyAlignment="1">
      <alignment horizontal="center" vertical="top"/>
    </xf>
    <xf numFmtId="164" fontId="4" fillId="0" borderId="26" xfId="0" applyNumberFormat="1" applyFont="1" applyFill="1" applyBorder="1" applyAlignment="1">
      <alignment horizontal="center" vertical="top"/>
    </xf>
    <xf numFmtId="164" fontId="4" fillId="5" borderId="33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vertical="top"/>
    </xf>
    <xf numFmtId="49" fontId="4" fillId="0" borderId="20" xfId="0" applyNumberFormat="1" applyFont="1" applyBorder="1" applyAlignment="1">
      <alignment vertical="top"/>
    </xf>
    <xf numFmtId="0" fontId="5" fillId="0" borderId="72" xfId="0" applyNumberFormat="1" applyFont="1" applyBorder="1" applyAlignment="1">
      <alignment vertical="top"/>
    </xf>
    <xf numFmtId="164" fontId="4" fillId="5" borderId="19" xfId="0" applyNumberFormat="1" applyFont="1" applyFill="1" applyBorder="1" applyAlignment="1">
      <alignment horizontal="center" vertical="top" wrapText="1"/>
    </xf>
    <xf numFmtId="164" fontId="4" fillId="5" borderId="3" xfId="0" applyNumberFormat="1" applyFont="1" applyFill="1" applyBorder="1" applyAlignment="1">
      <alignment horizontal="center" vertical="top" wrapText="1"/>
    </xf>
    <xf numFmtId="164" fontId="4" fillId="0" borderId="20" xfId="0" applyNumberFormat="1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center"/>
    </xf>
    <xf numFmtId="164" fontId="4" fillId="0" borderId="73" xfId="0" applyNumberFormat="1" applyFont="1" applyBorder="1" applyAlignment="1">
      <alignment horizontal="center" vertical="center"/>
    </xf>
    <xf numFmtId="164" fontId="4" fillId="8" borderId="19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164" fontId="4" fillId="8" borderId="20" xfId="0" applyNumberFormat="1" applyFont="1" applyFill="1" applyBorder="1" applyAlignment="1">
      <alignment horizontal="center" vertical="center"/>
    </xf>
    <xf numFmtId="164" fontId="4" fillId="5" borderId="72" xfId="0" applyNumberFormat="1" applyFont="1" applyFill="1" applyBorder="1" applyAlignment="1">
      <alignment horizontal="center" vertical="center" wrapText="1"/>
    </xf>
    <xf numFmtId="164" fontId="4" fillId="5" borderId="74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top" wrapText="1"/>
    </xf>
    <xf numFmtId="1" fontId="13" fillId="0" borderId="37" xfId="0" applyNumberFormat="1" applyFont="1" applyBorder="1" applyAlignment="1">
      <alignment horizontal="center" vertical="top" wrapText="1"/>
    </xf>
    <xf numFmtId="1" fontId="13" fillId="0" borderId="38" xfId="0" applyNumberFormat="1" applyFont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0" fontId="12" fillId="0" borderId="13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center" vertical="top" wrapText="1"/>
    </xf>
    <xf numFmtId="49" fontId="4" fillId="2" borderId="17" xfId="0" applyNumberFormat="1" applyFont="1" applyFill="1" applyBorder="1" applyAlignment="1">
      <alignment horizontal="center" vertical="top"/>
    </xf>
    <xf numFmtId="164" fontId="4" fillId="0" borderId="40" xfId="0" applyNumberFormat="1" applyFont="1" applyFill="1" applyBorder="1" applyAlignment="1">
      <alignment vertical="top" wrapText="1"/>
    </xf>
    <xf numFmtId="0" fontId="4" fillId="0" borderId="44" xfId="0" applyNumberFormat="1" applyFont="1" applyFill="1" applyBorder="1" applyAlignment="1">
      <alignment horizontal="center" vertical="top" wrapText="1"/>
    </xf>
    <xf numFmtId="0" fontId="4" fillId="0" borderId="45" xfId="0" applyNumberFormat="1" applyFont="1" applyFill="1" applyBorder="1" applyAlignment="1">
      <alignment horizontal="center" vertical="top" wrapText="1"/>
    </xf>
    <xf numFmtId="0" fontId="4" fillId="5" borderId="35" xfId="0" applyFont="1" applyFill="1" applyBorder="1" applyAlignment="1">
      <alignment horizontal="center" vertical="top"/>
    </xf>
    <xf numFmtId="0" fontId="4" fillId="5" borderId="21" xfId="0" applyFont="1" applyFill="1" applyBorder="1" applyAlignment="1">
      <alignment horizontal="center" vertical="top"/>
    </xf>
    <xf numFmtId="0" fontId="4" fillId="5" borderId="49" xfId="0" applyFont="1" applyFill="1" applyBorder="1" applyAlignment="1">
      <alignment horizontal="center" vertical="top"/>
    </xf>
    <xf numFmtId="0" fontId="4" fillId="5" borderId="53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left" vertical="top" wrapText="1"/>
    </xf>
    <xf numFmtId="0" fontId="4" fillId="5" borderId="76" xfId="0" applyFont="1" applyFill="1" applyBorder="1" applyAlignment="1">
      <alignment horizontal="center" vertical="top"/>
    </xf>
    <xf numFmtId="164" fontId="4" fillId="0" borderId="0" xfId="0" applyNumberFormat="1" applyFont="1"/>
    <xf numFmtId="0" fontId="4" fillId="0" borderId="12" xfId="0" applyFont="1" applyBorder="1" applyAlignment="1">
      <alignment horizontal="center" vertical="top"/>
    </xf>
    <xf numFmtId="0" fontId="5" fillId="8" borderId="67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left" vertical="top" wrapText="1"/>
    </xf>
    <xf numFmtId="164" fontId="2" fillId="0" borderId="36" xfId="0" applyNumberFormat="1" applyFont="1" applyFill="1" applyBorder="1" applyAlignment="1">
      <alignment vertical="top" wrapText="1"/>
    </xf>
    <xf numFmtId="0" fontId="4" fillId="5" borderId="12" xfId="1" applyFont="1" applyFill="1" applyBorder="1" applyAlignment="1">
      <alignment vertical="top" wrapText="1"/>
    </xf>
    <xf numFmtId="0" fontId="4" fillId="5" borderId="70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center" vertical="top" wrapText="1"/>
    </xf>
    <xf numFmtId="0" fontId="4" fillId="0" borderId="30" xfId="0" applyFont="1" applyBorder="1" applyAlignment="1">
      <alignment vertical="top" wrapText="1"/>
    </xf>
    <xf numFmtId="0" fontId="5" fillId="0" borderId="49" xfId="0" applyFont="1" applyFill="1" applyBorder="1" applyAlignment="1">
      <alignment vertical="top" wrapText="1"/>
    </xf>
    <xf numFmtId="0" fontId="4" fillId="5" borderId="72" xfId="0" applyFont="1" applyFill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top"/>
    </xf>
    <xf numFmtId="49" fontId="5" fillId="0" borderId="49" xfId="0" applyNumberFormat="1" applyFont="1" applyBorder="1" applyAlignment="1">
      <alignment vertical="top"/>
    </xf>
    <xf numFmtId="0" fontId="5" fillId="0" borderId="53" xfId="0" applyNumberFormat="1" applyFont="1" applyBorder="1" applyAlignment="1">
      <alignment vertical="top"/>
    </xf>
    <xf numFmtId="164" fontId="2" fillId="0" borderId="12" xfId="0" applyNumberFormat="1" applyFont="1" applyFill="1" applyBorder="1" applyAlignment="1">
      <alignment horizontal="left" vertical="top" wrapText="1"/>
    </xf>
    <xf numFmtId="49" fontId="4" fillId="2" borderId="12" xfId="0" applyNumberFormat="1" applyFont="1" applyFill="1" applyBorder="1" applyAlignment="1">
      <alignment horizontal="center" vertical="top"/>
    </xf>
    <xf numFmtId="0" fontId="4" fillId="7" borderId="40" xfId="0" applyFont="1" applyFill="1" applyBorder="1" applyAlignment="1">
      <alignment horizontal="center" vertical="top" wrapText="1"/>
    </xf>
    <xf numFmtId="0" fontId="4" fillId="0" borderId="22" xfId="0" applyFont="1" applyBorder="1"/>
    <xf numFmtId="0" fontId="4" fillId="0" borderId="31" xfId="0" applyFont="1" applyFill="1" applyBorder="1" applyAlignment="1">
      <alignment horizontal="center" vertical="top" wrapText="1"/>
    </xf>
    <xf numFmtId="49" fontId="5" fillId="0" borderId="40" xfId="0" applyNumberFormat="1" applyFont="1" applyBorder="1" applyAlignment="1">
      <alignment horizontal="center" vertical="top"/>
    </xf>
    <xf numFmtId="164" fontId="4" fillId="0" borderId="11" xfId="0" applyNumberFormat="1" applyFont="1" applyFill="1" applyBorder="1" applyAlignment="1">
      <alignment horizontal="left" vertical="top"/>
    </xf>
    <xf numFmtId="0" fontId="4" fillId="0" borderId="11" xfId="0" applyNumberFormat="1" applyFont="1" applyFill="1" applyBorder="1" applyAlignment="1">
      <alignment horizontal="center" vertical="top"/>
    </xf>
    <xf numFmtId="164" fontId="4" fillId="0" borderId="12" xfId="0" applyNumberFormat="1" applyFont="1" applyFill="1" applyBorder="1" applyAlignment="1">
      <alignment horizontal="left" vertical="top"/>
    </xf>
    <xf numFmtId="0" fontId="11" fillId="0" borderId="44" xfId="0" applyFont="1" applyFill="1" applyBorder="1" applyAlignment="1">
      <alignment horizontal="center" vertical="top" wrapText="1"/>
    </xf>
    <xf numFmtId="0" fontId="11" fillId="0" borderId="45" xfId="0" applyFont="1" applyFill="1" applyBorder="1" applyAlignment="1">
      <alignment horizontal="center" vertical="top" wrapText="1"/>
    </xf>
    <xf numFmtId="0" fontId="11" fillId="0" borderId="36" xfId="0" applyNumberFormat="1" applyFont="1" applyFill="1" applyBorder="1" applyAlignment="1">
      <alignment horizontal="center" vertical="top"/>
    </xf>
    <xf numFmtId="0" fontId="4" fillId="0" borderId="58" xfId="0" applyNumberFormat="1" applyFont="1" applyFill="1" applyBorder="1" applyAlignment="1">
      <alignment horizontal="center" vertical="top"/>
    </xf>
    <xf numFmtId="0" fontId="11" fillId="0" borderId="45" xfId="0" applyFont="1" applyFill="1" applyBorder="1" applyAlignment="1">
      <alignment horizontal="center" wrapText="1"/>
    </xf>
    <xf numFmtId="0" fontId="4" fillId="0" borderId="35" xfId="0" applyNumberFormat="1" applyFont="1" applyFill="1" applyBorder="1" applyAlignment="1">
      <alignment horizontal="center" vertical="top"/>
    </xf>
    <xf numFmtId="0" fontId="4" fillId="5" borderId="37" xfId="0" applyFont="1" applyFill="1" applyBorder="1" applyAlignment="1">
      <alignment vertical="top" wrapText="1"/>
    </xf>
    <xf numFmtId="49" fontId="5" fillId="3" borderId="49" xfId="0" applyNumberFormat="1" applyFont="1" applyFill="1" applyBorder="1" applyAlignment="1">
      <alignment horizontal="center" vertical="top"/>
    </xf>
    <xf numFmtId="49" fontId="5" fillId="2" borderId="54" xfId="0" applyNumberFormat="1" applyFont="1" applyFill="1" applyBorder="1" applyAlignment="1">
      <alignment horizontal="center" vertical="top"/>
    </xf>
    <xf numFmtId="49" fontId="5" fillId="0" borderId="53" xfId="0" applyNumberFormat="1" applyFont="1" applyBorder="1" applyAlignment="1">
      <alignment vertical="top"/>
    </xf>
    <xf numFmtId="0" fontId="4" fillId="7" borderId="30" xfId="0" applyFont="1" applyFill="1" applyBorder="1" applyAlignment="1">
      <alignment vertical="top" wrapText="1"/>
    </xf>
    <xf numFmtId="0" fontId="4" fillId="0" borderId="73" xfId="0" applyNumberFormat="1" applyFont="1" applyFill="1" applyBorder="1" applyAlignment="1">
      <alignment horizontal="center" vertical="top" wrapText="1"/>
    </xf>
    <xf numFmtId="0" fontId="11" fillId="0" borderId="12" xfId="0" applyNumberFormat="1" applyFont="1" applyFill="1" applyBorder="1" applyAlignment="1">
      <alignment horizontal="center" vertical="top"/>
    </xf>
    <xf numFmtId="0" fontId="11" fillId="0" borderId="9" xfId="0" applyNumberFormat="1" applyFont="1" applyFill="1" applyBorder="1" applyAlignment="1">
      <alignment horizontal="center" vertical="top"/>
    </xf>
    <xf numFmtId="0" fontId="11" fillId="0" borderId="49" xfId="0" applyNumberFormat="1" applyFont="1" applyFill="1" applyBorder="1" applyAlignment="1">
      <alignment horizontal="center" vertical="top"/>
    </xf>
    <xf numFmtId="0" fontId="4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44" xfId="0" applyFont="1" applyBorder="1"/>
    <xf numFmtId="49" fontId="5" fillId="7" borderId="9" xfId="0" applyNumberFormat="1" applyFont="1" applyFill="1" applyBorder="1" applyAlignment="1">
      <alignment vertical="center" textRotation="90" wrapText="1"/>
    </xf>
    <xf numFmtId="49" fontId="5" fillId="7" borderId="30" xfId="0" applyNumberFormat="1" applyFont="1" applyFill="1" applyBorder="1" applyAlignment="1">
      <alignment vertical="top" wrapText="1"/>
    </xf>
    <xf numFmtId="0" fontId="4" fillId="7" borderId="9" xfId="0" applyFont="1" applyFill="1" applyBorder="1" applyAlignment="1">
      <alignment vertical="top" wrapText="1"/>
    </xf>
    <xf numFmtId="0" fontId="4" fillId="0" borderId="43" xfId="0" applyNumberFormat="1" applyFont="1" applyFill="1" applyBorder="1" applyAlignment="1">
      <alignment horizontal="center" vertical="top" wrapText="1"/>
    </xf>
    <xf numFmtId="49" fontId="4" fillId="0" borderId="9" xfId="0" applyNumberFormat="1" applyFont="1" applyFill="1" applyBorder="1" applyAlignment="1">
      <alignment vertical="top" wrapText="1"/>
    </xf>
    <xf numFmtId="0" fontId="4" fillId="0" borderId="47" xfId="0" applyFont="1" applyBorder="1" applyAlignment="1">
      <alignment horizontal="center" vertical="top"/>
    </xf>
    <xf numFmtId="0" fontId="4" fillId="0" borderId="54" xfId="0" applyFont="1" applyBorder="1" applyAlignment="1">
      <alignment horizontal="center" vertical="top"/>
    </xf>
    <xf numFmtId="0" fontId="4" fillId="0" borderId="36" xfId="0" applyNumberFormat="1" applyFont="1" applyBorder="1" applyAlignment="1">
      <alignment horizontal="center" vertical="top"/>
    </xf>
    <xf numFmtId="164" fontId="5" fillId="7" borderId="0" xfId="0" applyNumberFormat="1" applyFont="1" applyFill="1" applyBorder="1" applyAlignment="1">
      <alignment horizontal="center" vertical="top" wrapText="1"/>
    </xf>
    <xf numFmtId="49" fontId="5" fillId="7" borderId="23" xfId="0" applyNumberFormat="1" applyFont="1" applyFill="1" applyBorder="1" applyAlignment="1">
      <alignment horizontal="center" vertical="top"/>
    </xf>
    <xf numFmtId="0" fontId="5" fillId="7" borderId="23" xfId="0" applyFont="1" applyFill="1" applyBorder="1" applyAlignment="1">
      <alignment horizontal="right" vertical="top"/>
    </xf>
    <xf numFmtId="0" fontId="4" fillId="0" borderId="12" xfId="0" applyFont="1" applyBorder="1" applyAlignment="1">
      <alignment horizontal="right"/>
    </xf>
    <xf numFmtId="0" fontId="4" fillId="0" borderId="44" xfId="0" applyNumberFormat="1" applyFont="1" applyFill="1" applyBorder="1" applyAlignment="1">
      <alignment horizontal="center" vertical="top"/>
    </xf>
    <xf numFmtId="0" fontId="4" fillId="0" borderId="49" xfId="0" applyNumberFormat="1" applyFont="1" applyFill="1" applyBorder="1" applyAlignment="1">
      <alignment horizontal="center" vertical="top"/>
    </xf>
    <xf numFmtId="49" fontId="4" fillId="0" borderId="36" xfId="0" applyNumberFormat="1" applyFont="1" applyFill="1" applyBorder="1" applyAlignment="1">
      <alignment horizontal="center" vertical="top"/>
    </xf>
    <xf numFmtId="0" fontId="4" fillId="0" borderId="16" xfId="0" applyNumberFormat="1" applyFont="1" applyFill="1" applyBorder="1" applyAlignment="1">
      <alignment horizontal="center" vertical="top" wrapText="1"/>
    </xf>
    <xf numFmtId="0" fontId="4" fillId="0" borderId="12" xfId="0" applyNumberFormat="1" applyFont="1" applyBorder="1" applyAlignment="1">
      <alignment horizontal="center" vertical="top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9" xfId="0" applyNumberFormat="1" applyFont="1" applyBorder="1" applyAlignment="1">
      <alignment horizontal="center" vertical="top"/>
    </xf>
    <xf numFmtId="49" fontId="4" fillId="0" borderId="68" xfId="0" applyNumberFormat="1" applyFont="1" applyFill="1" applyBorder="1" applyAlignment="1">
      <alignment horizontal="center" vertical="top"/>
    </xf>
    <xf numFmtId="49" fontId="4" fillId="0" borderId="12" xfId="0" applyNumberFormat="1" applyFont="1" applyFill="1" applyBorder="1" applyAlignment="1">
      <alignment horizontal="center" vertical="top"/>
    </xf>
    <xf numFmtId="49" fontId="4" fillId="5" borderId="73" xfId="0" applyNumberFormat="1" applyFont="1" applyFill="1" applyBorder="1" applyAlignment="1">
      <alignment horizontal="center" vertical="top"/>
    </xf>
    <xf numFmtId="164" fontId="4" fillId="0" borderId="0" xfId="0" applyNumberFormat="1" applyFont="1" applyBorder="1"/>
    <xf numFmtId="0" fontId="4" fillId="0" borderId="31" xfId="0" applyFont="1" applyBorder="1" applyAlignment="1">
      <alignment horizontal="left" vertical="top" wrapText="1"/>
    </xf>
    <xf numFmtId="1" fontId="4" fillId="0" borderId="26" xfId="0" applyNumberFormat="1" applyFont="1" applyFill="1" applyBorder="1" applyAlignment="1">
      <alignment horizontal="center" vertical="top"/>
    </xf>
    <xf numFmtId="0" fontId="4" fillId="7" borderId="12" xfId="0" applyFont="1" applyFill="1" applyBorder="1" applyAlignment="1">
      <alignment horizontal="center" vertical="top"/>
    </xf>
    <xf numFmtId="0" fontId="4" fillId="5" borderId="30" xfId="0" applyFont="1" applyFill="1" applyBorder="1" applyAlignment="1">
      <alignment horizontal="left" vertical="top" wrapText="1" shrinkToFit="1"/>
    </xf>
    <xf numFmtId="0" fontId="4" fillId="5" borderId="0" xfId="0" applyFont="1" applyFill="1" applyBorder="1" applyAlignment="1">
      <alignment horizontal="center" vertical="top"/>
    </xf>
    <xf numFmtId="0" fontId="5" fillId="0" borderId="58" xfId="0" applyFont="1" applyFill="1" applyBorder="1" applyAlignment="1">
      <alignment vertical="center" textRotation="90" wrapText="1"/>
    </xf>
    <xf numFmtId="0" fontId="5" fillId="8" borderId="41" xfId="0" applyFont="1" applyFill="1" applyBorder="1" applyAlignment="1">
      <alignment horizontal="center" vertical="top"/>
    </xf>
    <xf numFmtId="164" fontId="4" fillId="0" borderId="68" xfId="0" applyNumberFormat="1" applyFont="1" applyFill="1" applyBorder="1" applyAlignment="1">
      <alignment horizontal="left" vertical="top" wrapText="1"/>
    </xf>
    <xf numFmtId="0" fontId="4" fillId="7" borderId="1" xfId="0" applyNumberFormat="1" applyFont="1" applyFill="1" applyBorder="1" applyAlignment="1">
      <alignment horizontal="center" vertical="top"/>
    </xf>
    <xf numFmtId="0" fontId="4" fillId="7" borderId="34" xfId="0" applyNumberFormat="1" applyFont="1" applyFill="1" applyBorder="1" applyAlignment="1">
      <alignment horizontal="center" vertical="top"/>
    </xf>
    <xf numFmtId="164" fontId="4" fillId="0" borderId="54" xfId="0" applyNumberFormat="1" applyFont="1" applyFill="1" applyBorder="1" applyAlignment="1">
      <alignment vertical="top" wrapText="1"/>
    </xf>
    <xf numFmtId="0" fontId="4" fillId="0" borderId="54" xfId="0" applyNumberFormat="1" applyFont="1" applyFill="1" applyBorder="1" applyAlignment="1">
      <alignment horizontal="center" vertical="top"/>
    </xf>
    <xf numFmtId="0" fontId="4" fillId="0" borderId="55" xfId="0" applyNumberFormat="1" applyFont="1" applyFill="1" applyBorder="1" applyAlignment="1">
      <alignment horizontal="center" vertical="top"/>
    </xf>
    <xf numFmtId="0" fontId="4" fillId="0" borderId="16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164" fontId="4" fillId="7" borderId="41" xfId="0" applyNumberFormat="1" applyFont="1" applyFill="1" applyBorder="1" applyAlignment="1">
      <alignment vertical="top" wrapText="1"/>
    </xf>
    <xf numFmtId="0" fontId="4" fillId="7" borderId="4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vertical="top" wrapText="1"/>
    </xf>
    <xf numFmtId="0" fontId="5" fillId="0" borderId="22" xfId="0" applyFont="1" applyFill="1" applyBorder="1" applyAlignment="1">
      <alignment vertical="top" wrapText="1"/>
    </xf>
    <xf numFmtId="49" fontId="4" fillId="7" borderId="74" xfId="0" applyNumberFormat="1" applyFont="1" applyFill="1" applyBorder="1" applyAlignment="1">
      <alignment vertical="top"/>
    </xf>
    <xf numFmtId="49" fontId="4" fillId="7" borderId="72" xfId="0" applyNumberFormat="1" applyFont="1" applyFill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2" fillId="7" borderId="18" xfId="0" applyFont="1" applyFill="1" applyBorder="1" applyAlignment="1">
      <alignment horizontal="center" vertical="top"/>
    </xf>
    <xf numFmtId="0" fontId="2" fillId="7" borderId="9" xfId="0" applyFont="1" applyFill="1" applyBorder="1" applyAlignment="1">
      <alignment horizontal="center" vertical="top"/>
    </xf>
    <xf numFmtId="0" fontId="2" fillId="7" borderId="58" xfId="0" applyFont="1" applyFill="1" applyBorder="1" applyAlignment="1">
      <alignment horizontal="center" vertical="top"/>
    </xf>
    <xf numFmtId="0" fontId="2" fillId="7" borderId="30" xfId="0" applyFont="1" applyFill="1" applyBorder="1" applyAlignment="1">
      <alignment horizontal="left" vertical="top" wrapText="1"/>
    </xf>
    <xf numFmtId="0" fontId="5" fillId="7" borderId="13" xfId="0" applyFont="1" applyFill="1" applyBorder="1" applyAlignment="1">
      <alignment horizontal="left" vertical="top" wrapText="1"/>
    </xf>
    <xf numFmtId="0" fontId="4" fillId="5" borderId="12" xfId="0" applyFont="1" applyFill="1" applyBorder="1" applyAlignment="1">
      <alignment horizontal="left" vertical="top" wrapText="1"/>
    </xf>
    <xf numFmtId="49" fontId="5" fillId="2" borderId="54" xfId="0" applyNumberFormat="1" applyFont="1" applyFill="1" applyBorder="1" applyAlignment="1">
      <alignment vertical="top"/>
    </xf>
    <xf numFmtId="49" fontId="5" fillId="3" borderId="49" xfId="0" applyNumberFormat="1" applyFont="1" applyFill="1" applyBorder="1" applyAlignment="1">
      <alignment vertical="top"/>
    </xf>
    <xf numFmtId="0" fontId="5" fillId="0" borderId="58" xfId="0" applyFont="1" applyFill="1" applyBorder="1" applyAlignment="1">
      <alignment vertical="top" textRotation="90" wrapText="1"/>
    </xf>
    <xf numFmtId="0" fontId="5" fillId="0" borderId="73" xfId="0" applyFont="1" applyFill="1" applyBorder="1" applyAlignment="1">
      <alignment vertical="top" textRotation="90" wrapText="1"/>
    </xf>
    <xf numFmtId="0" fontId="5" fillId="0" borderId="0" xfId="0" applyFont="1" applyAlignment="1">
      <alignment vertical="top" wrapText="1"/>
    </xf>
    <xf numFmtId="3" fontId="4" fillId="0" borderId="0" xfId="0" applyNumberFormat="1" applyFont="1"/>
    <xf numFmtId="3" fontId="4" fillId="0" borderId="0" xfId="0" applyNumberFormat="1" applyFont="1" applyAlignment="1">
      <alignment horizontal="center" vertical="top"/>
    </xf>
    <xf numFmtId="3" fontId="2" fillId="0" borderId="0" xfId="0" applyNumberFormat="1" applyFont="1" applyAlignment="1">
      <alignment vertical="top"/>
    </xf>
    <xf numFmtId="3" fontId="4" fillId="8" borderId="11" xfId="0" applyNumberFormat="1" applyFont="1" applyFill="1" applyBorder="1" applyAlignment="1">
      <alignment horizontal="center" vertical="top"/>
    </xf>
    <xf numFmtId="3" fontId="4" fillId="5" borderId="38" xfId="0" applyNumberFormat="1" applyFont="1" applyFill="1" applyBorder="1" applyAlignment="1">
      <alignment horizontal="center" vertical="top"/>
    </xf>
    <xf numFmtId="3" fontId="4" fillId="5" borderId="23" xfId="0" applyNumberFormat="1" applyFont="1" applyFill="1" applyBorder="1" applyAlignment="1">
      <alignment horizontal="center" vertical="top"/>
    </xf>
    <xf numFmtId="3" fontId="4" fillId="8" borderId="12" xfId="0" applyNumberFormat="1" applyFont="1" applyFill="1" applyBorder="1" applyAlignment="1">
      <alignment horizontal="center" vertical="top"/>
    </xf>
    <xf numFmtId="3" fontId="4" fillId="0" borderId="30" xfId="0" applyNumberFormat="1" applyFont="1" applyBorder="1" applyAlignment="1">
      <alignment horizontal="center" vertical="top"/>
    </xf>
    <xf numFmtId="3" fontId="4" fillId="0" borderId="0" xfId="0" applyNumberFormat="1" applyFont="1" applyBorder="1" applyAlignment="1">
      <alignment horizontal="center" vertical="top"/>
    </xf>
    <xf numFmtId="3" fontId="4" fillId="5" borderId="30" xfId="0" applyNumberFormat="1" applyFont="1" applyFill="1" applyBorder="1" applyAlignment="1">
      <alignment horizontal="center" vertical="top"/>
    </xf>
    <xf numFmtId="3" fontId="4" fillId="5" borderId="0" xfId="0" applyNumberFormat="1" applyFont="1" applyFill="1" applyBorder="1" applyAlignment="1">
      <alignment horizontal="center" vertical="top"/>
    </xf>
    <xf numFmtId="3" fontId="4" fillId="8" borderId="54" xfId="0" applyNumberFormat="1" applyFont="1" applyFill="1" applyBorder="1" applyAlignment="1">
      <alignment horizontal="center" vertical="top"/>
    </xf>
    <xf numFmtId="3" fontId="4" fillId="5" borderId="53" xfId="0" applyNumberFormat="1" applyFont="1" applyFill="1" applyBorder="1" applyAlignment="1">
      <alignment horizontal="center" vertical="top"/>
    </xf>
    <xf numFmtId="3" fontId="4" fillId="5" borderId="71" xfId="0" applyNumberFormat="1" applyFont="1" applyFill="1" applyBorder="1" applyAlignment="1">
      <alignment horizontal="center" vertical="top"/>
    </xf>
    <xf numFmtId="3" fontId="5" fillId="8" borderId="67" xfId="0" applyNumberFormat="1" applyFont="1" applyFill="1" applyBorder="1" applyAlignment="1">
      <alignment horizontal="center" vertical="top" wrapText="1"/>
    </xf>
    <xf numFmtId="3" fontId="5" fillId="8" borderId="52" xfId="0" applyNumberFormat="1" applyFont="1" applyFill="1" applyBorder="1" applyAlignment="1">
      <alignment horizontal="center" vertical="top"/>
    </xf>
    <xf numFmtId="3" fontId="5" fillId="8" borderId="41" xfId="0" applyNumberFormat="1" applyFont="1" applyFill="1" applyBorder="1" applyAlignment="1">
      <alignment horizontal="center" vertical="top"/>
    </xf>
    <xf numFmtId="3" fontId="5" fillId="8" borderId="4" xfId="0" applyNumberFormat="1" applyFont="1" applyFill="1" applyBorder="1" applyAlignment="1">
      <alignment horizontal="center" vertical="top"/>
    </xf>
    <xf numFmtId="3" fontId="4" fillId="5" borderId="39" xfId="0" applyNumberFormat="1" applyFont="1" applyFill="1" applyBorder="1" applyAlignment="1">
      <alignment horizontal="center" vertical="top" wrapText="1"/>
    </xf>
    <xf numFmtId="3" fontId="4" fillId="5" borderId="26" xfId="0" applyNumberFormat="1" applyFont="1" applyFill="1" applyBorder="1" applyAlignment="1">
      <alignment horizontal="center" vertical="top" wrapText="1"/>
    </xf>
    <xf numFmtId="3" fontId="4" fillId="8" borderId="40" xfId="0" applyNumberFormat="1" applyFont="1" applyFill="1" applyBorder="1" applyAlignment="1">
      <alignment horizontal="center" vertical="top" wrapText="1"/>
    </xf>
    <xf numFmtId="3" fontId="4" fillId="5" borderId="29" xfId="0" applyNumberFormat="1" applyFont="1" applyFill="1" applyBorder="1" applyAlignment="1">
      <alignment horizontal="center" vertical="top" wrapText="1"/>
    </xf>
    <xf numFmtId="3" fontId="4" fillId="5" borderId="68" xfId="0" applyNumberFormat="1" applyFont="1" applyFill="1" applyBorder="1" applyAlignment="1">
      <alignment horizontal="center" vertical="top" wrapText="1"/>
    </xf>
    <xf numFmtId="3" fontId="4" fillId="5" borderId="40" xfId="0" applyNumberFormat="1" applyFont="1" applyFill="1" applyBorder="1" applyAlignment="1">
      <alignment horizontal="center" vertical="top" wrapText="1"/>
    </xf>
    <xf numFmtId="3" fontId="4" fillId="8" borderId="30" xfId="0" applyNumberFormat="1" applyFont="1" applyFill="1" applyBorder="1" applyAlignment="1">
      <alignment horizontal="center" vertical="top" wrapText="1"/>
    </xf>
    <xf numFmtId="3" fontId="4" fillId="5" borderId="12" xfId="0" applyNumberFormat="1" applyFont="1" applyFill="1" applyBorder="1" applyAlignment="1">
      <alignment horizontal="center" vertical="top" wrapText="1"/>
    </xf>
    <xf numFmtId="3" fontId="4" fillId="5" borderId="30" xfId="0" applyNumberFormat="1" applyFont="1" applyFill="1" applyBorder="1" applyAlignment="1">
      <alignment horizontal="center" vertical="top" wrapText="1"/>
    </xf>
    <xf numFmtId="3" fontId="4" fillId="8" borderId="30" xfId="0" applyNumberFormat="1" applyFont="1" applyFill="1" applyBorder="1" applyAlignment="1">
      <alignment horizontal="center" vertical="top"/>
    </xf>
    <xf numFmtId="3" fontId="4" fillId="0" borderId="12" xfId="0" applyNumberFormat="1" applyFont="1" applyBorder="1" applyAlignment="1">
      <alignment horizontal="center" vertical="top"/>
    </xf>
    <xf numFmtId="3" fontId="5" fillId="8" borderId="41" xfId="0" applyNumberFormat="1" applyFont="1" applyFill="1" applyBorder="1" applyAlignment="1">
      <alignment horizontal="center" vertical="top" wrapText="1"/>
    </xf>
    <xf numFmtId="3" fontId="5" fillId="3" borderId="7" xfId="0" applyNumberFormat="1" applyFont="1" applyFill="1" applyBorder="1" applyAlignment="1">
      <alignment horizontal="center" vertical="top"/>
    </xf>
    <xf numFmtId="3" fontId="5" fillId="3" borderId="6" xfId="0" applyNumberFormat="1" applyFont="1" applyFill="1" applyBorder="1" applyAlignment="1">
      <alignment horizontal="center" vertical="top"/>
    </xf>
    <xf numFmtId="3" fontId="4" fillId="5" borderId="38" xfId="0" applyNumberFormat="1" applyFont="1" applyFill="1" applyBorder="1" applyAlignment="1">
      <alignment horizontal="center" vertical="top" wrapText="1"/>
    </xf>
    <xf numFmtId="3" fontId="4" fillId="8" borderId="29" xfId="0" applyNumberFormat="1" applyFont="1" applyFill="1" applyBorder="1" applyAlignment="1">
      <alignment horizontal="center" vertical="top"/>
    </xf>
    <xf numFmtId="3" fontId="4" fillId="5" borderId="31" xfId="0" applyNumberFormat="1" applyFont="1" applyFill="1" applyBorder="1" applyAlignment="1">
      <alignment horizontal="center" vertical="top" wrapText="1"/>
    </xf>
    <xf numFmtId="3" fontId="4" fillId="8" borderId="12" xfId="0" applyNumberFormat="1" applyFont="1" applyFill="1" applyBorder="1" applyAlignment="1">
      <alignment horizontal="center" vertical="top" wrapText="1"/>
    </xf>
    <xf numFmtId="3" fontId="4" fillId="0" borderId="30" xfId="0" applyNumberFormat="1" applyFont="1" applyFill="1" applyBorder="1" applyAlignment="1">
      <alignment horizontal="center" vertical="top"/>
    </xf>
    <xf numFmtId="3" fontId="5" fillId="5" borderId="30" xfId="0" applyNumberFormat="1" applyFont="1" applyFill="1" applyBorder="1" applyAlignment="1">
      <alignment horizontal="center" vertical="top"/>
    </xf>
    <xf numFmtId="3" fontId="4" fillId="5" borderId="53" xfId="0" applyNumberFormat="1" applyFont="1" applyFill="1" applyBorder="1" applyAlignment="1">
      <alignment horizontal="center" vertical="top" wrapText="1"/>
    </xf>
    <xf numFmtId="3" fontId="5" fillId="8" borderId="67" xfId="0" applyNumberFormat="1" applyFont="1" applyFill="1" applyBorder="1" applyAlignment="1">
      <alignment horizontal="center" vertical="top"/>
    </xf>
    <xf numFmtId="3" fontId="5" fillId="8" borderId="68" xfId="0" applyNumberFormat="1" applyFont="1" applyFill="1" applyBorder="1" applyAlignment="1">
      <alignment horizontal="center" vertical="top" wrapText="1"/>
    </xf>
    <xf numFmtId="3" fontId="5" fillId="8" borderId="40" xfId="0" applyNumberFormat="1" applyFont="1" applyFill="1" applyBorder="1" applyAlignment="1">
      <alignment horizontal="center" vertical="top"/>
    </xf>
    <xf numFmtId="3" fontId="5" fillId="8" borderId="4" xfId="0" applyNumberFormat="1" applyFont="1" applyFill="1" applyBorder="1" applyAlignment="1">
      <alignment horizontal="center" vertical="top" wrapText="1"/>
    </xf>
    <xf numFmtId="3" fontId="4" fillId="5" borderId="31" xfId="0" applyNumberFormat="1" applyFont="1" applyFill="1" applyBorder="1" applyAlignment="1">
      <alignment horizontal="center" vertical="top"/>
    </xf>
    <xf numFmtId="3" fontId="4" fillId="5" borderId="32" xfId="0" applyNumberFormat="1" applyFont="1" applyFill="1" applyBorder="1" applyAlignment="1">
      <alignment horizontal="center" vertical="top"/>
    </xf>
    <xf numFmtId="3" fontId="5" fillId="8" borderId="29" xfId="0" applyNumberFormat="1" applyFont="1" applyFill="1" applyBorder="1" applyAlignment="1">
      <alignment horizontal="center" vertical="top" wrapText="1"/>
    </xf>
    <xf numFmtId="3" fontId="5" fillId="8" borderId="26" xfId="0" applyNumberFormat="1" applyFont="1" applyFill="1" applyBorder="1" applyAlignment="1">
      <alignment horizontal="center" vertical="top"/>
    </xf>
    <xf numFmtId="3" fontId="5" fillId="8" borderId="31" xfId="0" applyNumberFormat="1" applyFont="1" applyFill="1" applyBorder="1" applyAlignment="1">
      <alignment horizontal="center" vertical="top"/>
    </xf>
    <xf numFmtId="3" fontId="4" fillId="8" borderId="68" xfId="0" applyNumberFormat="1" applyFont="1" applyFill="1" applyBorder="1" applyAlignment="1">
      <alignment horizontal="center" vertical="top" wrapText="1"/>
    </xf>
    <xf numFmtId="3" fontId="4" fillId="8" borderId="68" xfId="0" applyNumberFormat="1" applyFont="1" applyFill="1" applyBorder="1" applyAlignment="1">
      <alignment horizontal="center" vertical="top"/>
    </xf>
    <xf numFmtId="3" fontId="4" fillId="7" borderId="64" xfId="0" applyNumberFormat="1" applyFont="1" applyFill="1" applyBorder="1" applyAlignment="1">
      <alignment horizontal="center" vertical="top"/>
    </xf>
    <xf numFmtId="3" fontId="5" fillId="7" borderId="40" xfId="0" applyNumberFormat="1" applyFont="1" applyFill="1" applyBorder="1" applyAlignment="1">
      <alignment horizontal="center" vertical="top"/>
    </xf>
    <xf numFmtId="3" fontId="5" fillId="7" borderId="64" xfId="0" applyNumberFormat="1" applyFont="1" applyFill="1" applyBorder="1" applyAlignment="1">
      <alignment horizontal="center" vertical="top"/>
    </xf>
    <xf numFmtId="3" fontId="4" fillId="7" borderId="40" xfId="0" applyNumberFormat="1" applyFont="1" applyFill="1" applyBorder="1" applyAlignment="1">
      <alignment horizontal="center" vertical="top"/>
    </xf>
    <xf numFmtId="3" fontId="5" fillId="8" borderId="64" xfId="0" applyNumberFormat="1" applyFont="1" applyFill="1" applyBorder="1" applyAlignment="1">
      <alignment horizontal="center" vertical="top"/>
    </xf>
    <xf numFmtId="3" fontId="4" fillId="5" borderId="40" xfId="0" applyNumberFormat="1" applyFont="1" applyFill="1" applyBorder="1" applyAlignment="1">
      <alignment horizontal="center" vertical="top"/>
    </xf>
    <xf numFmtId="3" fontId="4" fillId="5" borderId="35" xfId="0" applyNumberFormat="1" applyFont="1" applyFill="1" applyBorder="1" applyAlignment="1">
      <alignment horizontal="center" vertical="top"/>
    </xf>
    <xf numFmtId="3" fontId="4" fillId="5" borderId="36" xfId="0" applyNumberFormat="1" applyFont="1" applyFill="1" applyBorder="1" applyAlignment="1">
      <alignment horizontal="center" vertical="top"/>
    </xf>
    <xf numFmtId="3" fontId="4" fillId="8" borderId="29" xfId="0" applyNumberFormat="1" applyFont="1" applyFill="1" applyBorder="1" applyAlignment="1">
      <alignment horizontal="center" vertical="top" wrapText="1"/>
    </xf>
    <xf numFmtId="3" fontId="4" fillId="8" borderId="0" xfId="0" applyNumberFormat="1" applyFont="1" applyFill="1" applyBorder="1" applyAlignment="1">
      <alignment horizontal="center" vertical="top"/>
    </xf>
    <xf numFmtId="3" fontId="2" fillId="5" borderId="30" xfId="0" applyNumberFormat="1" applyFont="1" applyFill="1" applyBorder="1" applyAlignment="1">
      <alignment horizontal="center" vertical="top" wrapText="1"/>
    </xf>
    <xf numFmtId="3" fontId="2" fillId="7" borderId="30" xfId="0" applyNumberFormat="1" applyFont="1" applyFill="1" applyBorder="1" applyAlignment="1">
      <alignment horizontal="center" vertical="top" wrapText="1"/>
    </xf>
    <xf numFmtId="3" fontId="2" fillId="5" borderId="53" xfId="0" applyNumberFormat="1" applyFont="1" applyFill="1" applyBorder="1" applyAlignment="1">
      <alignment horizontal="center" vertical="top" wrapText="1"/>
    </xf>
    <xf numFmtId="3" fontId="1" fillId="8" borderId="41" xfId="0" applyNumberFormat="1" applyFont="1" applyFill="1" applyBorder="1" applyAlignment="1">
      <alignment horizontal="center" vertical="top"/>
    </xf>
    <xf numFmtId="3" fontId="2" fillId="5" borderId="38" xfId="0" applyNumberFormat="1" applyFont="1" applyFill="1" applyBorder="1" applyAlignment="1">
      <alignment horizontal="center" vertical="top"/>
    </xf>
    <xf numFmtId="3" fontId="4" fillId="7" borderId="30" xfId="0" applyNumberFormat="1" applyFont="1" applyFill="1" applyBorder="1" applyAlignment="1">
      <alignment horizontal="center" vertical="top" wrapText="1"/>
    </xf>
    <xf numFmtId="3" fontId="2" fillId="0" borderId="38" xfId="0" applyNumberFormat="1" applyFont="1" applyBorder="1" applyAlignment="1">
      <alignment horizontal="center" vertical="top"/>
    </xf>
    <xf numFmtId="3" fontId="4" fillId="5" borderId="54" xfId="0" applyNumberFormat="1" applyFont="1" applyFill="1" applyBorder="1" applyAlignment="1">
      <alignment horizontal="center" vertical="top" wrapText="1"/>
    </xf>
    <xf numFmtId="3" fontId="4" fillId="0" borderId="53" xfId="0" applyNumberFormat="1" applyFont="1" applyBorder="1" applyAlignment="1">
      <alignment horizontal="center" vertical="top"/>
    </xf>
    <xf numFmtId="3" fontId="5" fillId="3" borderId="74" xfId="0" applyNumberFormat="1" applyFont="1" applyFill="1" applyBorder="1" applyAlignment="1">
      <alignment horizontal="center" vertical="top"/>
    </xf>
    <xf numFmtId="3" fontId="5" fillId="3" borderId="15" xfId="0" applyNumberFormat="1" applyFont="1" applyFill="1" applyBorder="1" applyAlignment="1">
      <alignment horizontal="center" vertical="top"/>
    </xf>
    <xf numFmtId="3" fontId="5" fillId="2" borderId="7" xfId="0" applyNumberFormat="1" applyFont="1" applyFill="1" applyBorder="1" applyAlignment="1">
      <alignment horizontal="center" vertical="top"/>
    </xf>
    <xf numFmtId="3" fontId="5" fillId="2" borderId="8" xfId="0" applyNumberFormat="1" applyFont="1" applyFill="1" applyBorder="1" applyAlignment="1">
      <alignment horizontal="center" vertical="top"/>
    </xf>
    <xf numFmtId="3" fontId="5" fillId="4" borderId="7" xfId="0" applyNumberFormat="1" applyFont="1" applyFill="1" applyBorder="1" applyAlignment="1">
      <alignment horizontal="center" vertical="top"/>
    </xf>
    <xf numFmtId="3" fontId="5" fillId="4" borderId="14" xfId="0" applyNumberFormat="1" applyFont="1" applyFill="1" applyBorder="1" applyAlignment="1">
      <alignment horizontal="center" vertical="top"/>
    </xf>
    <xf numFmtId="3" fontId="5" fillId="4" borderId="6" xfId="0" applyNumberFormat="1" applyFont="1" applyFill="1" applyBorder="1" applyAlignment="1">
      <alignment horizontal="center" vertical="top"/>
    </xf>
    <xf numFmtId="3" fontId="5" fillId="7" borderId="23" xfId="0" applyNumberFormat="1" applyFont="1" applyFill="1" applyBorder="1" applyAlignment="1">
      <alignment horizontal="center" vertical="top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top" wrapText="1"/>
    </xf>
    <xf numFmtId="3" fontId="5" fillId="4" borderId="26" xfId="0" applyNumberFormat="1" applyFont="1" applyFill="1" applyBorder="1" applyAlignment="1">
      <alignment horizontal="center" vertical="top"/>
    </xf>
    <xf numFmtId="3" fontId="5" fillId="4" borderId="31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Border="1" applyAlignment="1">
      <alignment horizontal="center" vertical="top"/>
    </xf>
    <xf numFmtId="3" fontId="4" fillId="0" borderId="31" xfId="0" applyNumberFormat="1" applyFont="1" applyBorder="1" applyAlignment="1">
      <alignment horizontal="center" vertical="top"/>
    </xf>
    <xf numFmtId="3" fontId="4" fillId="0" borderId="26" xfId="0" applyNumberFormat="1" applyFont="1" applyBorder="1" applyAlignment="1">
      <alignment horizontal="center" vertical="top" wrapText="1"/>
    </xf>
    <xf numFmtId="3" fontId="4" fillId="0" borderId="31" xfId="0" applyNumberFormat="1" applyFont="1" applyBorder="1" applyAlignment="1">
      <alignment horizontal="center" vertical="top" wrapText="1"/>
    </xf>
    <xf numFmtId="3" fontId="2" fillId="0" borderId="26" xfId="0" applyNumberFormat="1" applyFont="1" applyBorder="1" applyAlignment="1">
      <alignment horizontal="center" vertical="top" wrapText="1"/>
    </xf>
    <xf numFmtId="3" fontId="4" fillId="0" borderId="31" xfId="0" applyNumberFormat="1" applyFont="1" applyFill="1" applyBorder="1" applyAlignment="1">
      <alignment horizontal="center" vertical="top" wrapText="1"/>
    </xf>
    <xf numFmtId="3" fontId="4" fillId="0" borderId="32" xfId="0" applyNumberFormat="1" applyFont="1" applyFill="1" applyBorder="1" applyAlignment="1">
      <alignment horizontal="center" vertical="top" wrapText="1"/>
    </xf>
    <xf numFmtId="3" fontId="5" fillId="4" borderId="31" xfId="0" applyNumberFormat="1" applyFont="1" applyFill="1" applyBorder="1" applyAlignment="1">
      <alignment horizontal="center" vertical="top"/>
    </xf>
    <xf numFmtId="3" fontId="4" fillId="0" borderId="0" xfId="0" applyNumberFormat="1" applyFont="1" applyAlignment="1">
      <alignment vertical="top"/>
    </xf>
    <xf numFmtId="3" fontId="4" fillId="0" borderId="0" xfId="0" applyNumberFormat="1" applyFont="1" applyAlignment="1">
      <alignment horizontal="center"/>
    </xf>
    <xf numFmtId="3" fontId="4" fillId="5" borderId="11" xfId="0" applyNumberFormat="1" applyFont="1" applyFill="1" applyBorder="1" applyAlignment="1">
      <alignment horizontal="center" vertical="top" wrapText="1"/>
    </xf>
    <xf numFmtId="3" fontId="4" fillId="0" borderId="12" xfId="0" applyNumberFormat="1" applyFont="1" applyBorder="1" applyAlignment="1">
      <alignment horizontal="center" vertical="top" wrapText="1"/>
    </xf>
    <xf numFmtId="3" fontId="4" fillId="0" borderId="12" xfId="0" applyNumberFormat="1" applyFont="1" applyFill="1" applyBorder="1" applyAlignment="1">
      <alignment horizontal="center" vertical="top"/>
    </xf>
    <xf numFmtId="3" fontId="5" fillId="5" borderId="12" xfId="0" applyNumberFormat="1" applyFont="1" applyFill="1" applyBorder="1" applyAlignment="1">
      <alignment horizontal="center" vertical="top"/>
    </xf>
    <xf numFmtId="0" fontId="4" fillId="0" borderId="3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textRotation="90"/>
    </xf>
    <xf numFmtId="0" fontId="4" fillId="0" borderId="40" xfId="0" applyNumberFormat="1" applyFont="1" applyFill="1" applyBorder="1" applyAlignment="1">
      <alignment horizontal="center" vertical="top" wrapText="1"/>
    </xf>
    <xf numFmtId="0" fontId="4" fillId="0" borderId="39" xfId="0" applyNumberFormat="1" applyFont="1" applyFill="1" applyBorder="1" applyAlignment="1">
      <alignment horizontal="center" vertical="top" wrapText="1"/>
    </xf>
    <xf numFmtId="49" fontId="4" fillId="0" borderId="72" xfId="0" applyNumberFormat="1" applyFont="1" applyFill="1" applyBorder="1" applyAlignment="1">
      <alignment horizontal="center" vertical="top"/>
    </xf>
    <xf numFmtId="0" fontId="4" fillId="5" borderId="38" xfId="0" applyFont="1" applyFill="1" applyBorder="1" applyAlignment="1">
      <alignment horizontal="center" vertical="top"/>
    </xf>
    <xf numFmtId="0" fontId="4" fillId="5" borderId="53" xfId="0" applyFont="1" applyFill="1" applyBorder="1" applyAlignment="1">
      <alignment horizontal="center" vertical="top"/>
    </xf>
    <xf numFmtId="0" fontId="4" fillId="5" borderId="72" xfId="0" applyFont="1" applyFill="1" applyBorder="1" applyAlignment="1">
      <alignment horizontal="center" vertical="top"/>
    </xf>
    <xf numFmtId="0" fontId="4" fillId="0" borderId="38" xfId="0" applyNumberFormat="1" applyFont="1" applyFill="1" applyBorder="1" applyAlignment="1">
      <alignment horizontal="center" vertical="top"/>
    </xf>
    <xf numFmtId="0" fontId="4" fillId="5" borderId="30" xfId="0" applyNumberFormat="1" applyFont="1" applyFill="1" applyBorder="1" applyAlignment="1">
      <alignment horizontal="center" vertical="top"/>
    </xf>
    <xf numFmtId="0" fontId="4" fillId="0" borderId="30" xfId="0" applyNumberFormat="1" applyFont="1" applyFill="1" applyBorder="1" applyAlignment="1">
      <alignment horizontal="center" vertical="top"/>
    </xf>
    <xf numFmtId="0" fontId="11" fillId="0" borderId="30" xfId="0" applyNumberFormat="1" applyFont="1" applyFill="1" applyBorder="1" applyAlignment="1">
      <alignment horizontal="center" vertical="top"/>
    </xf>
    <xf numFmtId="0" fontId="2" fillId="5" borderId="36" xfId="0" applyFont="1" applyFill="1" applyBorder="1" applyAlignment="1">
      <alignment horizontal="center" vertical="top"/>
    </xf>
    <xf numFmtId="0" fontId="4" fillId="0" borderId="72" xfId="0" applyFont="1" applyBorder="1" applyAlignment="1">
      <alignment horizontal="center"/>
    </xf>
    <xf numFmtId="0" fontId="4" fillId="5" borderId="23" xfId="0" applyFont="1" applyFill="1" applyBorder="1" applyAlignment="1">
      <alignment horizontal="left" vertical="top" wrapText="1"/>
    </xf>
    <xf numFmtId="0" fontId="4" fillId="5" borderId="71" xfId="0" applyFont="1" applyFill="1" applyBorder="1" applyAlignment="1">
      <alignment horizontal="left" vertical="top" wrapText="1"/>
    </xf>
    <xf numFmtId="0" fontId="4" fillId="0" borderId="53" xfId="0" applyNumberFormat="1" applyFont="1" applyFill="1" applyBorder="1" applyAlignment="1">
      <alignment horizontal="center" vertical="top"/>
    </xf>
    <xf numFmtId="0" fontId="4" fillId="0" borderId="30" xfId="0" applyNumberFormat="1" applyFont="1" applyBorder="1" applyAlignment="1">
      <alignment horizontal="center" vertical="top"/>
    </xf>
    <xf numFmtId="0" fontId="4" fillId="0" borderId="30" xfId="0" applyNumberFormat="1" applyFont="1" applyFill="1" applyBorder="1" applyAlignment="1">
      <alignment horizontal="center" vertical="top" wrapText="1"/>
    </xf>
    <xf numFmtId="0" fontId="4" fillId="0" borderId="72" xfId="0" applyNumberFormat="1" applyFont="1" applyFill="1" applyBorder="1" applyAlignment="1">
      <alignment horizontal="center" vertical="top" wrapText="1"/>
    </xf>
    <xf numFmtId="49" fontId="4" fillId="0" borderId="40" xfId="0" applyNumberFormat="1" applyFont="1" applyFill="1" applyBorder="1" applyAlignment="1">
      <alignment horizontal="center" vertical="top"/>
    </xf>
    <xf numFmtId="49" fontId="4" fillId="0" borderId="30" xfId="0" applyNumberFormat="1" applyFont="1" applyFill="1" applyBorder="1" applyAlignment="1">
      <alignment horizontal="center" vertical="top"/>
    </xf>
    <xf numFmtId="1" fontId="4" fillId="0" borderId="32" xfId="0" applyNumberFormat="1" applyFont="1" applyFill="1" applyBorder="1" applyAlignment="1">
      <alignment horizontal="center" vertical="top"/>
    </xf>
    <xf numFmtId="0" fontId="4" fillId="0" borderId="30" xfId="0" applyFont="1" applyBorder="1" applyAlignment="1">
      <alignment horizontal="center"/>
    </xf>
    <xf numFmtId="0" fontId="4" fillId="7" borderId="72" xfId="0" applyNumberFormat="1" applyFont="1" applyFill="1" applyBorder="1" applyAlignment="1">
      <alignment horizontal="center" vertical="top"/>
    </xf>
    <xf numFmtId="0" fontId="2" fillId="7" borderId="36" xfId="0" applyFont="1" applyFill="1" applyBorder="1" applyAlignment="1">
      <alignment horizontal="center" vertical="top"/>
    </xf>
    <xf numFmtId="0" fontId="2" fillId="5" borderId="30" xfId="0" applyFont="1" applyFill="1" applyBorder="1" applyAlignment="1">
      <alignment horizontal="center" vertical="top"/>
    </xf>
    <xf numFmtId="3" fontId="4" fillId="7" borderId="0" xfId="0" applyNumberFormat="1" applyFont="1" applyFill="1" applyBorder="1" applyAlignment="1">
      <alignment horizontal="center" vertical="top"/>
    </xf>
    <xf numFmtId="3" fontId="5" fillId="2" borderId="10" xfId="0" applyNumberFormat="1" applyFont="1" applyFill="1" applyBorder="1" applyAlignment="1">
      <alignment horizontal="center" vertical="top"/>
    </xf>
    <xf numFmtId="3" fontId="5" fillId="4" borderId="10" xfId="0" applyNumberFormat="1" applyFont="1" applyFill="1" applyBorder="1" applyAlignment="1">
      <alignment horizontal="center" vertical="top"/>
    </xf>
    <xf numFmtId="3" fontId="4" fillId="7" borderId="23" xfId="0" applyNumberFormat="1" applyFont="1" applyFill="1" applyBorder="1" applyAlignment="1">
      <alignment horizontal="center" vertical="top"/>
    </xf>
    <xf numFmtId="3" fontId="4" fillId="7" borderId="71" xfId="0" applyNumberFormat="1" applyFont="1" applyFill="1" applyBorder="1" applyAlignment="1">
      <alignment horizontal="center" vertical="top"/>
    </xf>
    <xf numFmtId="3" fontId="4" fillId="7" borderId="13" xfId="0" applyNumberFormat="1" applyFont="1" applyFill="1" applyBorder="1" applyAlignment="1">
      <alignment horizontal="center" vertical="top"/>
    </xf>
    <xf numFmtId="3" fontId="4" fillId="7" borderId="9" xfId="0" applyNumberFormat="1" applyFont="1" applyFill="1" applyBorder="1" applyAlignment="1">
      <alignment horizontal="center" vertical="top"/>
    </xf>
    <xf numFmtId="3" fontId="4" fillId="7" borderId="49" xfId="0" applyNumberFormat="1" applyFont="1" applyFill="1" applyBorder="1" applyAlignment="1">
      <alignment horizontal="center" vertical="top"/>
    </xf>
    <xf numFmtId="3" fontId="5" fillId="8" borderId="1" xfId="0" applyNumberFormat="1" applyFont="1" applyFill="1" applyBorder="1" applyAlignment="1">
      <alignment horizontal="center" vertical="top" wrapText="1"/>
    </xf>
    <xf numFmtId="3" fontId="5" fillId="2" borderId="5" xfId="0" applyNumberFormat="1" applyFont="1" applyFill="1" applyBorder="1" applyAlignment="1">
      <alignment horizontal="center" vertical="top"/>
    </xf>
    <xf numFmtId="3" fontId="5" fillId="4" borderId="5" xfId="0" applyNumberFormat="1" applyFont="1" applyFill="1" applyBorder="1" applyAlignment="1">
      <alignment horizontal="center" vertical="top"/>
    </xf>
    <xf numFmtId="3" fontId="4" fillId="7" borderId="26" xfId="0" applyNumberFormat="1" applyFont="1" applyFill="1" applyBorder="1" applyAlignment="1">
      <alignment horizontal="center" vertical="top"/>
    </xf>
    <xf numFmtId="3" fontId="4" fillId="7" borderId="0" xfId="0" applyNumberFormat="1" applyFont="1" applyFill="1" applyBorder="1" applyAlignment="1">
      <alignment horizontal="center" vertical="top" wrapText="1"/>
    </xf>
    <xf numFmtId="3" fontId="5" fillId="8" borderId="26" xfId="0" applyNumberFormat="1" applyFont="1" applyFill="1" applyBorder="1" applyAlignment="1">
      <alignment horizontal="center" vertical="top" wrapText="1"/>
    </xf>
    <xf numFmtId="3" fontId="4" fillId="7" borderId="64" xfId="0" applyNumberFormat="1" applyFont="1" applyFill="1" applyBorder="1" applyAlignment="1">
      <alignment horizontal="center" vertical="top" wrapText="1"/>
    </xf>
    <xf numFmtId="3" fontId="5" fillId="8" borderId="64" xfId="0" applyNumberFormat="1" applyFont="1" applyFill="1" applyBorder="1" applyAlignment="1">
      <alignment horizontal="center" vertical="top" wrapText="1"/>
    </xf>
    <xf numFmtId="3" fontId="4" fillId="7" borderId="26" xfId="0" applyNumberFormat="1" applyFont="1" applyFill="1" applyBorder="1" applyAlignment="1">
      <alignment horizontal="center" vertical="top" wrapText="1"/>
    </xf>
    <xf numFmtId="3" fontId="4" fillId="7" borderId="24" xfId="0" applyNumberFormat="1" applyFont="1" applyFill="1" applyBorder="1" applyAlignment="1">
      <alignment horizontal="center" vertical="top"/>
    </xf>
    <xf numFmtId="3" fontId="4" fillId="7" borderId="9" xfId="0" applyNumberFormat="1" applyFont="1" applyFill="1" applyBorder="1" applyAlignment="1">
      <alignment horizontal="center" vertical="top" wrapText="1"/>
    </xf>
    <xf numFmtId="3" fontId="5" fillId="8" borderId="1" xfId="0" applyNumberFormat="1" applyFont="1" applyFill="1" applyBorder="1" applyAlignment="1">
      <alignment horizontal="center" vertical="top"/>
    </xf>
    <xf numFmtId="3" fontId="5" fillId="8" borderId="24" xfId="0" applyNumberFormat="1" applyFont="1" applyFill="1" applyBorder="1" applyAlignment="1">
      <alignment horizontal="center" vertical="top" wrapText="1"/>
    </xf>
    <xf numFmtId="3" fontId="4" fillId="7" borderId="44" xfId="0" applyNumberFormat="1" applyFont="1" applyFill="1" applyBorder="1" applyAlignment="1">
      <alignment horizontal="center" vertical="top" wrapText="1"/>
    </xf>
    <xf numFmtId="3" fontId="5" fillId="8" borderId="44" xfId="0" applyNumberFormat="1" applyFont="1" applyFill="1" applyBorder="1" applyAlignment="1">
      <alignment horizontal="center" vertical="top" wrapText="1"/>
    </xf>
    <xf numFmtId="3" fontId="4" fillId="7" borderId="44" xfId="0" applyNumberFormat="1" applyFont="1" applyFill="1" applyBorder="1" applyAlignment="1">
      <alignment horizontal="center" vertical="top"/>
    </xf>
    <xf numFmtId="3" fontId="4" fillId="7" borderId="24" xfId="0" applyNumberFormat="1" applyFont="1" applyFill="1" applyBorder="1" applyAlignment="1">
      <alignment horizontal="center" vertical="top" wrapText="1"/>
    </xf>
    <xf numFmtId="3" fontId="5" fillId="3" borderId="5" xfId="0" applyNumberFormat="1" applyFont="1" applyFill="1" applyBorder="1" applyAlignment="1">
      <alignment horizontal="center" vertical="top"/>
    </xf>
    <xf numFmtId="0" fontId="2" fillId="7" borderId="36" xfId="0" applyFont="1" applyFill="1" applyBorder="1" applyAlignment="1">
      <alignment horizontal="left" vertical="top" wrapText="1"/>
    </xf>
    <xf numFmtId="164" fontId="2" fillId="0" borderId="36" xfId="0" applyNumberFormat="1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3" fontId="4" fillId="7" borderId="37" xfId="0" applyNumberFormat="1" applyFont="1" applyFill="1" applyBorder="1" applyAlignment="1">
      <alignment horizontal="center" vertical="top"/>
    </xf>
    <xf numFmtId="3" fontId="4" fillId="7" borderId="36" xfId="0" applyNumberFormat="1" applyFont="1" applyFill="1" applyBorder="1" applyAlignment="1">
      <alignment horizontal="center" vertical="top"/>
    </xf>
    <xf numFmtId="3" fontId="4" fillId="7" borderId="55" xfId="0" applyNumberFormat="1" applyFont="1" applyFill="1" applyBorder="1" applyAlignment="1">
      <alignment horizontal="center" vertical="top"/>
    </xf>
    <xf numFmtId="3" fontId="5" fillId="8" borderId="34" xfId="0" applyNumberFormat="1" applyFont="1" applyFill="1" applyBorder="1" applyAlignment="1">
      <alignment horizontal="center" vertical="top" wrapText="1"/>
    </xf>
    <xf numFmtId="3" fontId="5" fillId="4" borderId="8" xfId="0" applyNumberFormat="1" applyFont="1" applyFill="1" applyBorder="1" applyAlignment="1">
      <alignment horizontal="center" vertical="top"/>
    </xf>
    <xf numFmtId="3" fontId="14" fillId="7" borderId="13" xfId="0" applyNumberFormat="1" applyFont="1" applyFill="1" applyBorder="1" applyAlignment="1">
      <alignment horizontal="center" vertical="top"/>
    </xf>
    <xf numFmtId="3" fontId="14" fillId="7" borderId="23" xfId="0" applyNumberFormat="1" applyFont="1" applyFill="1" applyBorder="1" applyAlignment="1">
      <alignment horizontal="center" vertical="top"/>
    </xf>
    <xf numFmtId="3" fontId="5" fillId="4" borderId="24" xfId="0" applyNumberFormat="1" applyFont="1" applyFill="1" applyBorder="1" applyAlignment="1">
      <alignment horizontal="center" vertical="top"/>
    </xf>
    <xf numFmtId="3" fontId="4" fillId="0" borderId="24" xfId="0" applyNumberFormat="1" applyFont="1" applyBorder="1" applyAlignment="1">
      <alignment horizontal="center" vertical="top"/>
    </xf>
    <xf numFmtId="3" fontId="4" fillId="0" borderId="24" xfId="0" applyNumberFormat="1" applyFont="1" applyBorder="1" applyAlignment="1">
      <alignment horizontal="center" vertical="top" wrapText="1"/>
    </xf>
    <xf numFmtId="3" fontId="4" fillId="0" borderId="11" xfId="0" applyNumberFormat="1" applyFont="1" applyBorder="1" applyAlignment="1">
      <alignment horizontal="center" vertical="center" wrapText="1"/>
    </xf>
    <xf numFmtId="3" fontId="5" fillId="4" borderId="29" xfId="0" applyNumberFormat="1" applyFont="1" applyFill="1" applyBorder="1" applyAlignment="1">
      <alignment horizontal="center" vertical="top"/>
    </xf>
    <xf numFmtId="3" fontId="4" fillId="0" borderId="29" xfId="0" applyNumberFormat="1" applyFont="1" applyBorder="1" applyAlignment="1">
      <alignment horizontal="center" vertical="top"/>
    </xf>
    <xf numFmtId="3" fontId="4" fillId="0" borderId="29" xfId="0" applyNumberFormat="1" applyFont="1" applyBorder="1" applyAlignment="1">
      <alignment horizontal="center" vertical="top" wrapText="1"/>
    </xf>
    <xf numFmtId="3" fontId="11" fillId="0" borderId="13" xfId="0" applyNumberFormat="1" applyFont="1" applyBorder="1" applyAlignment="1">
      <alignment horizontal="center" vertical="center" wrapText="1"/>
    </xf>
    <xf numFmtId="3" fontId="4" fillId="8" borderId="12" xfId="0" applyNumberFormat="1" applyFont="1" applyFill="1" applyBorder="1" applyAlignment="1">
      <alignment horizontal="center"/>
    </xf>
    <xf numFmtId="3" fontId="4" fillId="7" borderId="9" xfId="0" applyNumberFormat="1" applyFont="1" applyFill="1" applyBorder="1" applyAlignment="1">
      <alignment horizontal="center"/>
    </xf>
    <xf numFmtId="3" fontId="4" fillId="7" borderId="36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vertical="top"/>
    </xf>
    <xf numFmtId="3" fontId="4" fillId="0" borderId="12" xfId="0" applyNumberFormat="1" applyFont="1" applyBorder="1"/>
    <xf numFmtId="3" fontId="2" fillId="0" borderId="0" xfId="0" applyNumberFormat="1" applyFont="1"/>
    <xf numFmtId="0" fontId="4" fillId="0" borderId="74" xfId="0" applyFont="1" applyBorder="1"/>
    <xf numFmtId="164" fontId="4" fillId="0" borderId="40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4" fillId="7" borderId="53" xfId="0" applyFont="1" applyFill="1" applyBorder="1" applyAlignment="1">
      <alignment horizontal="center" vertical="top"/>
    </xf>
    <xf numFmtId="0" fontId="4" fillId="0" borderId="58" xfId="0" applyFont="1" applyFill="1" applyBorder="1" applyAlignment="1">
      <alignment vertical="center" textRotation="90" wrapText="1"/>
    </xf>
    <xf numFmtId="0" fontId="5" fillId="0" borderId="63" xfId="0" applyFont="1" applyFill="1" applyBorder="1" applyAlignment="1">
      <alignment vertical="center" textRotation="90" wrapText="1"/>
    </xf>
    <xf numFmtId="0" fontId="4" fillId="5" borderId="62" xfId="0" applyFont="1" applyFill="1" applyBorder="1" applyAlignment="1">
      <alignment horizontal="center" vertical="top"/>
    </xf>
    <xf numFmtId="0" fontId="4" fillId="5" borderId="55" xfId="0" applyFont="1" applyFill="1" applyBorder="1" applyAlignment="1">
      <alignment horizontal="center" vertical="top"/>
    </xf>
    <xf numFmtId="3" fontId="4" fillId="8" borderId="13" xfId="0" applyNumberFormat="1" applyFont="1" applyFill="1" applyBorder="1" applyAlignment="1">
      <alignment horizontal="center" vertical="top"/>
    </xf>
    <xf numFmtId="3" fontId="4" fillId="8" borderId="13" xfId="1" applyNumberFormat="1" applyFont="1" applyFill="1" applyBorder="1" applyAlignment="1">
      <alignment horizontal="center" vertical="top" wrapText="1"/>
    </xf>
    <xf numFmtId="0" fontId="4" fillId="5" borderId="40" xfId="0" applyFont="1" applyFill="1" applyBorder="1" applyAlignment="1">
      <alignment horizontal="center" vertical="top" wrapText="1"/>
    </xf>
    <xf numFmtId="3" fontId="4" fillId="0" borderId="68" xfId="0" applyNumberFormat="1" applyFont="1" applyBorder="1" applyAlignment="1">
      <alignment horizontal="center" vertical="top" wrapText="1"/>
    </xf>
    <xf numFmtId="3" fontId="4" fillId="0" borderId="40" xfId="0" applyNumberFormat="1" applyFont="1" applyBorder="1" applyAlignment="1">
      <alignment horizontal="center" vertical="top" wrapText="1"/>
    </xf>
    <xf numFmtId="3" fontId="4" fillId="0" borderId="32" xfId="0" applyNumberFormat="1" applyFont="1" applyBorder="1" applyAlignment="1">
      <alignment horizontal="center" vertical="top" wrapText="1"/>
    </xf>
    <xf numFmtId="0" fontId="4" fillId="7" borderId="9" xfId="0" applyFont="1" applyFill="1" applyBorder="1" applyAlignment="1">
      <alignment horizontal="left" vertical="top" wrapText="1"/>
    </xf>
    <xf numFmtId="0" fontId="5" fillId="7" borderId="3" xfId="0" applyFont="1" applyFill="1" applyBorder="1" applyAlignment="1">
      <alignment horizontal="center" vertical="center" textRotation="90" wrapText="1"/>
    </xf>
    <xf numFmtId="0" fontId="4" fillId="5" borderId="30" xfId="0" applyFont="1" applyFill="1" applyBorder="1" applyAlignment="1">
      <alignment horizontal="left" vertical="top" wrapText="1"/>
    </xf>
    <xf numFmtId="0" fontId="4" fillId="0" borderId="37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right"/>
    </xf>
    <xf numFmtId="0" fontId="5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7" borderId="30" xfId="0" applyFont="1" applyFill="1" applyBorder="1" applyAlignment="1">
      <alignment horizontal="left" vertical="top" wrapText="1"/>
    </xf>
    <xf numFmtId="0" fontId="2" fillId="7" borderId="9" xfId="0" applyFont="1" applyFill="1" applyBorder="1" applyAlignment="1">
      <alignment horizontal="left" vertical="top" wrapText="1"/>
    </xf>
    <xf numFmtId="0" fontId="4" fillId="7" borderId="30" xfId="0" applyFont="1" applyFill="1" applyBorder="1" applyAlignment="1">
      <alignment horizontal="center" vertical="top"/>
    </xf>
    <xf numFmtId="0" fontId="4" fillId="5" borderId="30" xfId="0" applyFont="1" applyFill="1" applyBorder="1" applyAlignment="1">
      <alignment horizontal="center" vertical="top"/>
    </xf>
    <xf numFmtId="164" fontId="4" fillId="0" borderId="30" xfId="0" applyNumberFormat="1" applyFont="1" applyFill="1" applyBorder="1" applyAlignment="1">
      <alignment horizontal="left" vertical="top" wrapText="1"/>
    </xf>
    <xf numFmtId="0" fontId="4" fillId="5" borderId="40" xfId="0" applyFont="1" applyFill="1" applyBorder="1" applyAlignment="1">
      <alignment horizontal="center" vertical="top"/>
    </xf>
    <xf numFmtId="0" fontId="4" fillId="5" borderId="30" xfId="0" applyFont="1" applyFill="1" applyBorder="1" applyAlignment="1">
      <alignment horizontal="center" vertical="top"/>
    </xf>
    <xf numFmtId="3" fontId="4" fillId="8" borderId="24" xfId="0" applyNumberFormat="1" applyFont="1" applyFill="1" applyBorder="1" applyAlignment="1">
      <alignment horizontal="center" vertical="top"/>
    </xf>
    <xf numFmtId="3" fontId="4" fillId="8" borderId="9" xfId="0" applyNumberFormat="1" applyFont="1" applyFill="1" applyBorder="1" applyAlignment="1">
      <alignment horizontal="center" vertical="top" wrapText="1"/>
    </xf>
    <xf numFmtId="3" fontId="4" fillId="7" borderId="13" xfId="1" applyNumberFormat="1" applyFont="1" applyFill="1" applyBorder="1" applyAlignment="1">
      <alignment horizontal="center" vertical="top" wrapText="1"/>
    </xf>
    <xf numFmtId="0" fontId="4" fillId="0" borderId="40" xfId="0" applyFont="1" applyFill="1" applyBorder="1" applyAlignment="1">
      <alignment horizontal="center" vertical="top"/>
    </xf>
    <xf numFmtId="3" fontId="4" fillId="8" borderId="44" xfId="0" applyNumberFormat="1" applyFont="1" applyFill="1" applyBorder="1" applyAlignment="1">
      <alignment horizontal="center" vertical="top"/>
    </xf>
    <xf numFmtId="3" fontId="4" fillId="7" borderId="35" xfId="0" applyNumberFormat="1" applyFont="1" applyFill="1" applyBorder="1" applyAlignment="1">
      <alignment horizontal="center" vertical="top"/>
    </xf>
    <xf numFmtId="3" fontId="4" fillId="0" borderId="37" xfId="0" applyNumberFormat="1" applyFont="1" applyBorder="1" applyAlignment="1">
      <alignment horizontal="center" vertical="center" wrapText="1"/>
    </xf>
    <xf numFmtId="3" fontId="5" fillId="4" borderId="32" xfId="0" applyNumberFormat="1" applyFont="1" applyFill="1" applyBorder="1" applyAlignment="1">
      <alignment horizontal="center" vertical="top"/>
    </xf>
    <xf numFmtId="3" fontId="4" fillId="0" borderId="32" xfId="0" applyNumberFormat="1" applyFont="1" applyBorder="1" applyAlignment="1">
      <alignment horizontal="center" vertical="top"/>
    </xf>
    <xf numFmtId="3" fontId="5" fillId="8" borderId="34" xfId="0" applyNumberFormat="1" applyFont="1" applyFill="1" applyBorder="1" applyAlignment="1">
      <alignment horizontal="center" vertical="top"/>
    </xf>
    <xf numFmtId="3" fontId="15" fillId="8" borderId="4" xfId="0" applyNumberFormat="1" applyFont="1" applyFill="1" applyBorder="1" applyAlignment="1">
      <alignment horizontal="center" vertical="top" wrapText="1"/>
    </xf>
    <xf numFmtId="3" fontId="14" fillId="7" borderId="55" xfId="0" applyNumberFormat="1" applyFont="1" applyFill="1" applyBorder="1" applyAlignment="1">
      <alignment horizontal="center" vertical="top"/>
    </xf>
    <xf numFmtId="3" fontId="15" fillId="8" borderId="34" xfId="0" applyNumberFormat="1" applyFont="1" applyFill="1" applyBorder="1" applyAlignment="1">
      <alignment horizontal="center" vertical="top" wrapText="1"/>
    </xf>
    <xf numFmtId="3" fontId="15" fillId="3" borderId="74" xfId="0" applyNumberFormat="1" applyFont="1" applyFill="1" applyBorder="1" applyAlignment="1">
      <alignment horizontal="center" vertical="top"/>
    </xf>
    <xf numFmtId="3" fontId="14" fillId="7" borderId="49" xfId="0" applyNumberFormat="1" applyFont="1" applyFill="1" applyBorder="1" applyAlignment="1">
      <alignment horizontal="center" vertical="top"/>
    </xf>
    <xf numFmtId="3" fontId="4" fillId="8" borderId="39" xfId="0" applyNumberFormat="1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vertical="top" wrapText="1"/>
    </xf>
    <xf numFmtId="0" fontId="4" fillId="0" borderId="53" xfId="0" applyFont="1" applyFill="1" applyBorder="1" applyAlignment="1">
      <alignment vertical="top" wrapText="1"/>
    </xf>
    <xf numFmtId="3" fontId="4" fillId="0" borderId="0" xfId="0" applyNumberFormat="1" applyFont="1" applyBorder="1"/>
    <xf numFmtId="0" fontId="4" fillId="0" borderId="36" xfId="0" applyFont="1" applyBorder="1"/>
    <xf numFmtId="0" fontId="14" fillId="0" borderId="40" xfId="0" applyFont="1" applyFill="1" applyBorder="1" applyAlignment="1">
      <alignment vertical="top" wrapText="1"/>
    </xf>
    <xf numFmtId="0" fontId="16" fillId="0" borderId="40" xfId="0" applyFont="1" applyFill="1" applyBorder="1" applyAlignment="1">
      <alignment horizontal="center" vertical="top" wrapText="1"/>
    </xf>
    <xf numFmtId="164" fontId="4" fillId="7" borderId="72" xfId="0" applyNumberFormat="1" applyFont="1" applyFill="1" applyBorder="1" applyAlignment="1">
      <alignment vertical="top" wrapText="1"/>
    </xf>
    <xf numFmtId="0" fontId="14" fillId="0" borderId="30" xfId="0" applyFont="1" applyBorder="1" applyAlignment="1">
      <alignment vertical="top" wrapText="1"/>
    </xf>
    <xf numFmtId="0" fontId="16" fillId="7" borderId="40" xfId="0" applyFont="1" applyFill="1" applyBorder="1" applyAlignment="1">
      <alignment horizontal="center" vertical="top" wrapText="1"/>
    </xf>
    <xf numFmtId="0" fontId="14" fillId="5" borderId="30" xfId="0" applyFont="1" applyFill="1" applyBorder="1" applyAlignment="1">
      <alignment horizontal="center" vertical="top" wrapText="1"/>
    </xf>
    <xf numFmtId="0" fontId="4" fillId="0" borderId="60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 vertical="top"/>
    </xf>
    <xf numFmtId="0" fontId="11" fillId="7" borderId="16" xfId="0" applyFont="1" applyFill="1" applyBorder="1" applyAlignment="1">
      <alignment horizontal="center" wrapText="1"/>
    </xf>
    <xf numFmtId="0" fontId="11" fillId="7" borderId="9" xfId="0" applyFont="1" applyFill="1" applyBorder="1" applyAlignment="1">
      <alignment horizontal="center" vertical="top" wrapText="1"/>
    </xf>
    <xf numFmtId="0" fontId="11" fillId="7" borderId="58" xfId="0" applyFont="1" applyFill="1" applyBorder="1" applyAlignment="1">
      <alignment horizontal="center" vertical="top" wrapText="1"/>
    </xf>
    <xf numFmtId="0" fontId="11" fillId="0" borderId="16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vertical="top" wrapText="1"/>
    </xf>
    <xf numFmtId="0" fontId="4" fillId="0" borderId="50" xfId="0" applyNumberFormat="1" applyFont="1" applyFill="1" applyBorder="1" applyAlignment="1">
      <alignment horizontal="center" vertical="top"/>
    </xf>
    <xf numFmtId="0" fontId="4" fillId="0" borderId="44" xfId="0" applyNumberFormat="1" applyFont="1" applyBorder="1" applyAlignment="1">
      <alignment horizontal="center" vertical="top"/>
    </xf>
    <xf numFmtId="0" fontId="16" fillId="0" borderId="40" xfId="0" applyFont="1" applyFill="1" applyBorder="1" applyAlignment="1">
      <alignment horizontal="center" wrapText="1"/>
    </xf>
    <xf numFmtId="0" fontId="14" fillId="5" borderId="30" xfId="0" applyFont="1" applyFill="1" applyBorder="1" applyAlignment="1">
      <alignment horizontal="center" vertical="top"/>
    </xf>
    <xf numFmtId="49" fontId="5" fillId="0" borderId="44" xfId="0" applyNumberFormat="1" applyFont="1" applyBorder="1" applyAlignment="1">
      <alignment vertical="top"/>
    </xf>
    <xf numFmtId="49" fontId="5" fillId="2" borderId="43" xfId="0" applyNumberFormat="1" applyFont="1" applyFill="1" applyBorder="1" applyAlignment="1">
      <alignment vertical="top"/>
    </xf>
    <xf numFmtId="49" fontId="5" fillId="3" borderId="44" xfId="0" applyNumberFormat="1" applyFont="1" applyFill="1" applyBorder="1" applyAlignment="1">
      <alignment vertical="top"/>
    </xf>
    <xf numFmtId="0" fontId="5" fillId="0" borderId="40" xfId="0" applyNumberFormat="1" applyFont="1" applyBorder="1" applyAlignment="1">
      <alignment vertical="top"/>
    </xf>
    <xf numFmtId="0" fontId="4" fillId="7" borderId="72" xfId="0" applyFont="1" applyFill="1" applyBorder="1" applyAlignment="1">
      <alignment vertical="top" wrapText="1"/>
    </xf>
    <xf numFmtId="0" fontId="4" fillId="7" borderId="17" xfId="0" applyFont="1" applyFill="1" applyBorder="1" applyAlignment="1">
      <alignment horizontal="center" vertical="top"/>
    </xf>
    <xf numFmtId="0" fontId="4" fillId="7" borderId="3" xfId="0" applyFont="1" applyFill="1" applyBorder="1" applyAlignment="1">
      <alignment horizontal="center" vertical="top"/>
    </xf>
    <xf numFmtId="0" fontId="4" fillId="7" borderId="73" xfId="0" applyFont="1" applyFill="1" applyBorder="1" applyAlignment="1">
      <alignment horizontal="center" vertical="top"/>
    </xf>
    <xf numFmtId="0" fontId="4" fillId="0" borderId="68" xfId="0" applyFont="1" applyFill="1" applyBorder="1" applyAlignment="1">
      <alignment vertical="top" wrapText="1"/>
    </xf>
    <xf numFmtId="0" fontId="11" fillId="0" borderId="43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vertical="top" wrapText="1"/>
    </xf>
    <xf numFmtId="0" fontId="11" fillId="7" borderId="68" xfId="0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top" wrapText="1"/>
    </xf>
    <xf numFmtId="0" fontId="4" fillId="5" borderId="30" xfId="0" applyFont="1" applyFill="1" applyBorder="1" applyAlignment="1">
      <alignment horizontal="center" vertical="top"/>
    </xf>
    <xf numFmtId="3" fontId="14" fillId="7" borderId="44" xfId="0" applyNumberFormat="1" applyFont="1" applyFill="1" applyBorder="1" applyAlignment="1">
      <alignment horizontal="center" vertical="top"/>
    </xf>
    <xf numFmtId="3" fontId="14" fillId="7" borderId="45" xfId="0" applyNumberFormat="1" applyFont="1" applyFill="1" applyBorder="1" applyAlignment="1">
      <alignment horizontal="center" vertical="top"/>
    </xf>
    <xf numFmtId="0" fontId="14" fillId="0" borderId="37" xfId="0" applyNumberFormat="1" applyFont="1" applyFill="1" applyBorder="1" applyAlignment="1">
      <alignment horizontal="center" vertical="top"/>
    </xf>
    <xf numFmtId="0" fontId="4" fillId="7" borderId="50" xfId="0" applyNumberFormat="1" applyFont="1" applyFill="1" applyBorder="1" applyAlignment="1">
      <alignment horizontal="center" vertical="top"/>
    </xf>
    <xf numFmtId="3" fontId="14" fillId="7" borderId="23" xfId="1" applyNumberFormat="1" applyFont="1" applyFill="1" applyBorder="1" applyAlignment="1">
      <alignment horizontal="center" vertical="top" wrapText="1"/>
    </xf>
    <xf numFmtId="164" fontId="2" fillId="0" borderId="30" xfId="0" applyNumberFormat="1" applyFont="1" applyFill="1" applyBorder="1" applyAlignment="1">
      <alignment horizontal="left" vertical="top" wrapText="1"/>
    </xf>
    <xf numFmtId="3" fontId="2" fillId="7" borderId="30" xfId="0" applyNumberFormat="1" applyFont="1" applyFill="1" applyBorder="1"/>
    <xf numFmtId="49" fontId="5" fillId="0" borderId="38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164" fontId="4" fillId="0" borderId="30" xfId="0" applyNumberFormat="1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right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7" borderId="9" xfId="0" applyFont="1" applyFill="1" applyBorder="1" applyAlignment="1">
      <alignment horizontal="left" vertical="top" wrapText="1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center" textRotation="90" wrapText="1"/>
    </xf>
    <xf numFmtId="0" fontId="4" fillId="5" borderId="40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0" fontId="4" fillId="5" borderId="44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45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center" vertical="top"/>
    </xf>
    <xf numFmtId="0" fontId="4" fillId="5" borderId="17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0" borderId="37" xfId="0" applyNumberFormat="1" applyFont="1" applyBorder="1" applyAlignment="1">
      <alignment horizontal="center" vertical="top"/>
    </xf>
    <xf numFmtId="0" fontId="2" fillId="7" borderId="9" xfId="0" applyFont="1" applyFill="1" applyBorder="1" applyAlignment="1">
      <alignment horizontal="left" vertical="top" wrapText="1"/>
    </xf>
    <xf numFmtId="0" fontId="4" fillId="7" borderId="58" xfId="0" applyFont="1" applyFill="1" applyBorder="1" applyAlignment="1">
      <alignment horizontal="center" vertical="top"/>
    </xf>
    <xf numFmtId="0" fontId="4" fillId="7" borderId="16" xfId="0" applyFont="1" applyFill="1" applyBorder="1" applyAlignment="1">
      <alignment horizontal="center" vertical="top"/>
    </xf>
    <xf numFmtId="0" fontId="4" fillId="7" borderId="30" xfId="0" applyFont="1" applyFill="1" applyBorder="1" applyAlignment="1">
      <alignment horizontal="left" vertical="top" wrapText="1"/>
    </xf>
    <xf numFmtId="0" fontId="4" fillId="7" borderId="30" xfId="0" applyFont="1" applyFill="1" applyBorder="1" applyAlignment="1">
      <alignment horizontal="center" vertical="top"/>
    </xf>
    <xf numFmtId="0" fontId="4" fillId="5" borderId="30" xfId="1" applyFont="1" applyFill="1" applyBorder="1" applyAlignment="1">
      <alignment horizontal="left" vertical="top" wrapText="1"/>
    </xf>
    <xf numFmtId="0" fontId="4" fillId="5" borderId="72" xfId="1" applyFont="1" applyFill="1" applyBorder="1" applyAlignment="1">
      <alignment horizontal="left" vertical="top" wrapText="1"/>
    </xf>
    <xf numFmtId="49" fontId="5" fillId="3" borderId="20" xfId="0" applyNumberFormat="1" applyFont="1" applyFill="1" applyBorder="1" applyAlignment="1">
      <alignment horizontal="right" vertical="top"/>
    </xf>
    <xf numFmtId="49" fontId="5" fillId="3" borderId="74" xfId="0" applyNumberFormat="1" applyFont="1" applyFill="1" applyBorder="1" applyAlignment="1">
      <alignment horizontal="right" vertical="top"/>
    </xf>
    <xf numFmtId="49" fontId="5" fillId="3" borderId="50" xfId="0" applyNumberFormat="1" applyFont="1" applyFill="1" applyBorder="1" applyAlignment="1">
      <alignment horizontal="right" vertical="top"/>
    </xf>
    <xf numFmtId="49" fontId="4" fillId="0" borderId="57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49" fontId="4" fillId="0" borderId="73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49" fontId="5" fillId="0" borderId="72" xfId="0" applyNumberFormat="1" applyFont="1" applyBorder="1" applyAlignment="1">
      <alignment horizontal="center" vertical="top"/>
    </xf>
    <xf numFmtId="49" fontId="2" fillId="0" borderId="57" xfId="0" applyNumberFormat="1" applyFont="1" applyBorder="1" applyAlignment="1">
      <alignment horizontal="center" vertical="top"/>
    </xf>
    <xf numFmtId="49" fontId="2" fillId="0" borderId="73" xfId="0" applyNumberFormat="1" applyFont="1" applyBorder="1" applyAlignment="1">
      <alignment horizontal="center" vertical="top"/>
    </xf>
    <xf numFmtId="0" fontId="5" fillId="4" borderId="61" xfId="0" applyFont="1" applyFill="1" applyBorder="1" applyAlignment="1">
      <alignment horizontal="left" vertical="top"/>
    </xf>
    <xf numFmtId="0" fontId="5" fillId="4" borderId="24" xfId="0" applyFont="1" applyFill="1" applyBorder="1" applyAlignment="1">
      <alignment horizontal="left" vertical="top"/>
    </xf>
    <xf numFmtId="0" fontId="5" fillId="4" borderId="25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center" vertical="top" textRotation="90" wrapText="1"/>
    </xf>
    <xf numFmtId="0" fontId="13" fillId="0" borderId="3" xfId="0" applyFont="1" applyFill="1" applyBorder="1" applyAlignment="1">
      <alignment horizontal="center" vertical="top" textRotation="90" wrapText="1"/>
    </xf>
    <xf numFmtId="164" fontId="5" fillId="3" borderId="8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164" fontId="5" fillId="3" borderId="79" xfId="0" applyNumberFormat="1" applyFont="1" applyFill="1" applyBorder="1" applyAlignment="1">
      <alignment horizontal="center" vertical="top" wrapText="1"/>
    </xf>
    <xf numFmtId="0" fontId="4" fillId="5" borderId="36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49" fontId="1" fillId="0" borderId="38" xfId="0" applyNumberFormat="1" applyFont="1" applyBorder="1" applyAlignment="1">
      <alignment horizontal="center" vertical="top"/>
    </xf>
    <xf numFmtId="49" fontId="1" fillId="0" borderId="72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 wrapText="1"/>
    </xf>
    <xf numFmtId="49" fontId="4" fillId="0" borderId="0" xfId="0" applyNumberFormat="1" applyFont="1" applyBorder="1" applyAlignment="1">
      <alignment horizontal="center" vertical="top"/>
    </xf>
    <xf numFmtId="49" fontId="4" fillId="0" borderId="74" xfId="0" applyNumberFormat="1" applyFont="1" applyBorder="1" applyAlignment="1">
      <alignment horizontal="center" vertical="top"/>
    </xf>
    <xf numFmtId="0" fontId="5" fillId="0" borderId="30" xfId="0" applyNumberFormat="1" applyFont="1" applyBorder="1" applyAlignment="1">
      <alignment horizontal="center" vertical="top"/>
    </xf>
    <xf numFmtId="0" fontId="5" fillId="0" borderId="72" xfId="0" applyNumberFormat="1" applyFont="1" applyBorder="1" applyAlignment="1">
      <alignment horizontal="center" vertical="top"/>
    </xf>
    <xf numFmtId="0" fontId="2" fillId="0" borderId="9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164" fontId="5" fillId="4" borderId="8" xfId="0" applyNumberFormat="1" applyFont="1" applyFill="1" applyBorder="1" applyAlignment="1">
      <alignment horizontal="center" vertical="top" wrapText="1"/>
    </xf>
    <xf numFmtId="164" fontId="5" fillId="4" borderId="7" xfId="0" applyNumberFormat="1" applyFont="1" applyFill="1" applyBorder="1" applyAlignment="1">
      <alignment horizontal="center" vertical="top" wrapText="1"/>
    </xf>
    <xf numFmtId="164" fontId="5" fillId="4" borderId="79" xfId="0" applyNumberFormat="1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74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38" xfId="0" applyFont="1" applyBorder="1" applyAlignment="1">
      <alignment horizontal="left" vertical="top" wrapText="1"/>
    </xf>
    <xf numFmtId="0" fontId="4" fillId="0" borderId="72" xfId="0" applyFont="1" applyBorder="1" applyAlignment="1">
      <alignment horizontal="left" vertical="top" wrapText="1"/>
    </xf>
    <xf numFmtId="0" fontId="4" fillId="0" borderId="23" xfId="0" applyNumberFormat="1" applyFont="1" applyBorder="1" applyAlignment="1">
      <alignment horizontal="center" vertical="top"/>
    </xf>
    <xf numFmtId="0" fontId="4" fillId="0" borderId="74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5" fillId="4" borderId="68" xfId="0" applyFont="1" applyFill="1" applyBorder="1" applyAlignment="1">
      <alignment horizontal="left" vertical="top" wrapText="1"/>
    </xf>
    <xf numFmtId="0" fontId="5" fillId="4" borderId="64" xfId="0" applyFont="1" applyFill="1" applyBorder="1" applyAlignment="1">
      <alignment horizontal="left" vertical="top" wrapText="1"/>
    </xf>
    <xf numFmtId="0" fontId="5" fillId="4" borderId="35" xfId="0" applyFont="1" applyFill="1" applyBorder="1" applyAlignment="1">
      <alignment horizontal="left" vertical="top" wrapText="1"/>
    </xf>
    <xf numFmtId="0" fontId="2" fillId="0" borderId="24" xfId="0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top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38" xfId="0" applyNumberFormat="1" applyFont="1" applyBorder="1" applyAlignment="1">
      <alignment horizontal="center" vertical="center" textRotation="90" wrapText="1"/>
    </xf>
    <xf numFmtId="0" fontId="2" fillId="0" borderId="30" xfId="0" applyNumberFormat="1" applyFont="1" applyBorder="1" applyAlignment="1">
      <alignment horizontal="center" vertical="center" textRotation="90" wrapText="1"/>
    </xf>
    <xf numFmtId="0" fontId="2" fillId="0" borderId="72" xfId="0" applyNumberFormat="1" applyFont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164" fontId="4" fillId="0" borderId="30" xfId="0" applyNumberFormat="1" applyFont="1" applyFill="1" applyBorder="1" applyAlignment="1">
      <alignment horizontal="left" vertical="top" wrapText="1"/>
    </xf>
    <xf numFmtId="164" fontId="4" fillId="0" borderId="72" xfId="0" applyNumberFormat="1" applyFont="1" applyFill="1" applyBorder="1" applyAlignment="1">
      <alignment horizontal="left" vertical="top" wrapText="1"/>
    </xf>
    <xf numFmtId="49" fontId="5" fillId="6" borderId="47" xfId="0" applyNumberFormat="1" applyFont="1" applyFill="1" applyBorder="1" applyAlignment="1">
      <alignment horizontal="left" vertical="top" wrapText="1"/>
    </xf>
    <xf numFmtId="49" fontId="5" fillId="6" borderId="33" xfId="0" applyNumberFormat="1" applyFont="1" applyFill="1" applyBorder="1" applyAlignment="1">
      <alignment horizontal="left" vertical="top" wrapText="1"/>
    </xf>
    <xf numFmtId="49" fontId="5" fillId="6" borderId="46" xfId="0" applyNumberFormat="1" applyFont="1" applyFill="1" applyBorder="1" applyAlignment="1">
      <alignment horizontal="left" vertical="top" wrapText="1"/>
    </xf>
    <xf numFmtId="0" fontId="4" fillId="0" borderId="38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 wrapText="1"/>
    </xf>
    <xf numFmtId="0" fontId="4" fillId="0" borderId="72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164" fontId="5" fillId="8" borderId="52" xfId="0" applyNumberFormat="1" applyFont="1" applyFill="1" applyBorder="1" applyAlignment="1">
      <alignment horizontal="center" vertical="top"/>
    </xf>
    <xf numFmtId="164" fontId="5" fillId="8" borderId="1" xfId="0" applyNumberFormat="1" applyFont="1" applyFill="1" applyBorder="1" applyAlignment="1">
      <alignment horizontal="center" vertical="top"/>
    </xf>
    <xf numFmtId="164" fontId="5" fillId="8" borderId="51" xfId="0" applyNumberFormat="1" applyFont="1" applyFill="1" applyBorder="1" applyAlignment="1">
      <alignment horizontal="center" vertical="top"/>
    </xf>
    <xf numFmtId="0" fontId="5" fillId="8" borderId="52" xfId="0" applyFont="1" applyFill="1" applyBorder="1" applyAlignment="1">
      <alignment horizontal="right" vertical="top"/>
    </xf>
    <xf numFmtId="0" fontId="5" fillId="8" borderId="1" xfId="0" applyFont="1" applyFill="1" applyBorder="1" applyAlignment="1">
      <alignment horizontal="right" vertical="top"/>
    </xf>
    <xf numFmtId="0" fontId="5" fillId="8" borderId="51" xfId="0" applyFont="1" applyFill="1" applyBorder="1" applyAlignment="1">
      <alignment horizontal="right" vertical="top"/>
    </xf>
    <xf numFmtId="164" fontId="4" fillId="0" borderId="61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25" xfId="0" applyNumberFormat="1" applyFont="1" applyBorder="1" applyAlignment="1">
      <alignment horizontal="center" vertical="top"/>
    </xf>
    <xf numFmtId="0" fontId="4" fillId="0" borderId="61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 wrapText="1"/>
    </xf>
    <xf numFmtId="164" fontId="4" fillId="0" borderId="29" xfId="0" applyNumberFormat="1" applyFont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/>
    </xf>
    <xf numFmtId="164" fontId="4" fillId="0" borderId="32" xfId="0" applyNumberFormat="1" applyFont="1" applyBorder="1" applyAlignment="1">
      <alignment horizontal="center" vertical="top"/>
    </xf>
    <xf numFmtId="0" fontId="5" fillId="3" borderId="10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79" xfId="0" applyFont="1" applyFill="1" applyBorder="1" applyAlignment="1">
      <alignment horizontal="left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64" fontId="5" fillId="2" borderId="79" xfId="0" applyNumberFormat="1" applyFont="1" applyFill="1" applyBorder="1" applyAlignment="1">
      <alignment horizontal="center" vertical="top" wrapText="1"/>
    </xf>
    <xf numFmtId="164" fontId="4" fillId="0" borderId="61" xfId="0" applyNumberFormat="1" applyFont="1" applyBorder="1" applyAlignment="1">
      <alignment horizontal="center" vertical="top" wrapText="1"/>
    </xf>
    <xf numFmtId="164" fontId="4" fillId="0" borderId="24" xfId="0" applyNumberFormat="1" applyFont="1" applyBorder="1" applyAlignment="1">
      <alignment horizontal="center" vertical="top" wrapText="1"/>
    </xf>
    <xf numFmtId="164" fontId="4" fillId="0" borderId="25" xfId="0" applyNumberFormat="1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72" xfId="0" applyFont="1" applyBorder="1" applyAlignment="1">
      <alignment horizontal="center" vertical="top" wrapText="1"/>
    </xf>
    <xf numFmtId="49" fontId="4" fillId="0" borderId="57" xfId="0" applyNumberFormat="1" applyFont="1" applyBorder="1" applyAlignment="1">
      <alignment horizontal="center" vertical="top" wrapText="1"/>
    </xf>
    <xf numFmtId="49" fontId="4" fillId="0" borderId="58" xfId="0" applyNumberFormat="1" applyFont="1" applyBorder="1" applyAlignment="1">
      <alignment horizontal="center" vertical="top" wrapText="1"/>
    </xf>
    <xf numFmtId="49" fontId="4" fillId="0" borderId="73" xfId="0" applyNumberFormat="1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57" xfId="0" applyNumberFormat="1" applyFont="1" applyBorder="1" applyAlignment="1">
      <alignment horizontal="center" vertical="top" wrapText="1"/>
    </xf>
    <xf numFmtId="49" fontId="5" fillId="0" borderId="23" xfId="0" applyNumberFormat="1" applyFont="1" applyFill="1" applyBorder="1" applyAlignment="1">
      <alignment horizontal="center" wrapText="1"/>
    </xf>
    <xf numFmtId="164" fontId="5" fillId="4" borderId="61" xfId="0" applyNumberFormat="1" applyFont="1" applyFill="1" applyBorder="1" applyAlignment="1">
      <alignment horizontal="center" vertical="top" wrapText="1"/>
    </xf>
    <xf numFmtId="164" fontId="5" fillId="4" borderId="24" xfId="0" applyNumberFormat="1" applyFont="1" applyFill="1" applyBorder="1" applyAlignment="1">
      <alignment horizontal="center" vertical="top" wrapText="1"/>
    </xf>
    <xf numFmtId="164" fontId="5" fillId="4" borderId="25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right"/>
    </xf>
    <xf numFmtId="0" fontId="5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49" fontId="5" fillId="2" borderId="7" xfId="0" applyNumberFormat="1" applyFont="1" applyFill="1" applyBorder="1" applyAlignment="1">
      <alignment horizontal="right" vertical="top"/>
    </xf>
    <xf numFmtId="49" fontId="5" fillId="2" borderId="79" xfId="0" applyNumberFormat="1" applyFont="1" applyFill="1" applyBorder="1" applyAlignment="1">
      <alignment horizontal="right" vertical="top"/>
    </xf>
    <xf numFmtId="164" fontId="5" fillId="4" borderId="61" xfId="0" applyNumberFormat="1" applyFont="1" applyFill="1" applyBorder="1" applyAlignment="1">
      <alignment horizontal="center" vertical="top"/>
    </xf>
    <xf numFmtId="164" fontId="5" fillId="4" borderId="24" xfId="0" applyNumberFormat="1" applyFont="1" applyFill="1" applyBorder="1" applyAlignment="1">
      <alignment horizontal="center" vertical="top"/>
    </xf>
    <xf numFmtId="164" fontId="5" fillId="4" borderId="25" xfId="0" applyNumberFormat="1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right" vertical="top"/>
    </xf>
    <xf numFmtId="0" fontId="5" fillId="4" borderId="79" xfId="0" applyFont="1" applyFill="1" applyBorder="1" applyAlignment="1">
      <alignment horizontal="right" vertical="top"/>
    </xf>
    <xf numFmtId="0" fontId="4" fillId="0" borderId="29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61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center" vertical="top"/>
    </xf>
    <xf numFmtId="0" fontId="5" fillId="0" borderId="48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0" fontId="5" fillId="3" borderId="28" xfId="0" applyFont="1" applyFill="1" applyBorder="1" applyAlignment="1">
      <alignment horizontal="left" vertical="top" wrapText="1"/>
    </xf>
    <xf numFmtId="0" fontId="5" fillId="3" borderId="23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49" fontId="5" fillId="3" borderId="7" xfId="0" applyNumberFormat="1" applyFont="1" applyFill="1" applyBorder="1" applyAlignment="1">
      <alignment horizontal="right" vertical="top"/>
    </xf>
    <xf numFmtId="49" fontId="5" fillId="3" borderId="79" xfId="0" applyNumberFormat="1" applyFont="1" applyFill="1" applyBorder="1" applyAlignment="1">
      <alignment horizontal="right" vertical="top"/>
    </xf>
    <xf numFmtId="0" fontId="4" fillId="7" borderId="9" xfId="0" applyFont="1" applyFill="1" applyBorder="1" applyAlignment="1">
      <alignment horizontal="left" vertical="top" wrapText="1"/>
    </xf>
    <xf numFmtId="0" fontId="5" fillId="0" borderId="49" xfId="0" applyFont="1" applyFill="1" applyBorder="1" applyAlignment="1">
      <alignment horizontal="center" vertical="center" textRotation="90" wrapText="1"/>
    </xf>
    <xf numFmtId="49" fontId="5" fillId="3" borderId="66" xfId="0" applyNumberFormat="1" applyFont="1" applyFill="1" applyBorder="1" applyAlignment="1">
      <alignment horizontal="right" vertical="top"/>
    </xf>
    <xf numFmtId="49" fontId="5" fillId="3" borderId="4" xfId="0" applyNumberFormat="1" applyFont="1" applyFill="1" applyBorder="1" applyAlignment="1">
      <alignment horizontal="right" vertical="top"/>
    </xf>
    <xf numFmtId="49" fontId="5" fillId="3" borderId="34" xfId="0" applyNumberFormat="1" applyFont="1" applyFill="1" applyBorder="1" applyAlignment="1">
      <alignment horizontal="right" vertical="top"/>
    </xf>
    <xf numFmtId="164" fontId="4" fillId="0" borderId="53" xfId="0" applyNumberFormat="1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164" fontId="5" fillId="3" borderId="15" xfId="0" applyNumberFormat="1" applyFont="1" applyFill="1" applyBorder="1" applyAlignment="1">
      <alignment horizontal="center" vertical="top" wrapText="1"/>
    </xf>
    <xf numFmtId="164" fontId="5" fillId="3" borderId="74" xfId="0" applyNumberFormat="1" applyFont="1" applyFill="1" applyBorder="1" applyAlignment="1">
      <alignment horizontal="center" vertical="top" wrapText="1"/>
    </xf>
    <xf numFmtId="164" fontId="5" fillId="3" borderId="50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left" vertical="top" wrapText="1"/>
    </xf>
    <xf numFmtId="0" fontId="4" fillId="7" borderId="44" xfId="0" applyFont="1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center" textRotation="90" wrapText="1"/>
    </xf>
    <xf numFmtId="49" fontId="5" fillId="0" borderId="74" xfId="0" applyNumberFormat="1" applyFont="1" applyFill="1" applyBorder="1" applyAlignment="1">
      <alignment horizontal="center" vertical="center" textRotation="90" wrapText="1"/>
    </xf>
    <xf numFmtId="49" fontId="4" fillId="0" borderId="22" xfId="0" applyNumberFormat="1" applyFont="1" applyBorder="1" applyAlignment="1">
      <alignment horizontal="center" vertical="top" wrapText="1"/>
    </xf>
    <xf numFmtId="49" fontId="4" fillId="0" borderId="20" xfId="0" applyNumberFormat="1" applyFont="1" applyBorder="1" applyAlignment="1">
      <alignment horizontal="center" vertical="top" wrapText="1"/>
    </xf>
    <xf numFmtId="49" fontId="5" fillId="0" borderId="30" xfId="0" applyNumberFormat="1" applyFont="1" applyBorder="1" applyAlignment="1">
      <alignment horizontal="center" vertical="top" wrapText="1"/>
    </xf>
    <xf numFmtId="49" fontId="5" fillId="0" borderId="72" xfId="0" applyNumberFormat="1" applyFont="1" applyBorder="1" applyAlignment="1">
      <alignment horizontal="center" vertical="top" wrapText="1"/>
    </xf>
    <xf numFmtId="49" fontId="4" fillId="0" borderId="22" xfId="0" applyNumberFormat="1" applyFont="1" applyBorder="1" applyAlignment="1">
      <alignment horizontal="center" vertical="top"/>
    </xf>
    <xf numFmtId="0" fontId="1" fillId="0" borderId="5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45" xfId="0" applyFont="1" applyFill="1" applyBorder="1" applyAlignment="1">
      <alignment horizontal="center" vertical="center" textRotation="90" wrapText="1"/>
    </xf>
    <xf numFmtId="0" fontId="2" fillId="0" borderId="73" xfId="0" applyFont="1" applyFill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textRotation="90" wrapText="1"/>
    </xf>
    <xf numFmtId="0" fontId="5" fillId="7" borderId="3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  <xf numFmtId="0" fontId="5" fillId="3" borderId="73" xfId="0" applyFont="1" applyFill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top"/>
    </xf>
    <xf numFmtId="0" fontId="5" fillId="2" borderId="79" xfId="0" applyFont="1" applyFill="1" applyBorder="1" applyAlignment="1">
      <alignment horizontal="left" vertical="top"/>
    </xf>
    <xf numFmtId="0" fontId="4" fillId="5" borderId="40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0" fontId="4" fillId="5" borderId="44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45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49" fontId="4" fillId="0" borderId="43" xfId="0" applyNumberFormat="1" applyFont="1" applyFill="1" applyBorder="1" applyAlignment="1">
      <alignment horizontal="center" vertical="top"/>
    </xf>
    <xf numFmtId="49" fontId="4" fillId="0" borderId="16" xfId="0" applyNumberFormat="1" applyFont="1" applyFill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center" vertical="top"/>
    </xf>
    <xf numFmtId="49" fontId="4" fillId="0" borderId="45" xfId="0" applyNumberFormat="1" applyFont="1" applyFill="1" applyBorder="1" applyAlignment="1">
      <alignment horizontal="center" vertical="top"/>
    </xf>
    <xf numFmtId="49" fontId="4" fillId="0" borderId="58" xfId="0" applyNumberFormat="1" applyFont="1" applyFill="1" applyBorder="1" applyAlignment="1">
      <alignment horizontal="center" vertical="top"/>
    </xf>
    <xf numFmtId="0" fontId="4" fillId="5" borderId="72" xfId="0" applyFont="1" applyFill="1" applyBorder="1" applyAlignment="1">
      <alignment horizontal="left" vertical="top" wrapText="1"/>
    </xf>
    <xf numFmtId="0" fontId="4" fillId="5" borderId="17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0" borderId="40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0" fontId="4" fillId="0" borderId="37" xfId="0" applyNumberFormat="1" applyFont="1" applyBorder="1" applyAlignment="1">
      <alignment horizontal="center" vertical="top"/>
    </xf>
    <xf numFmtId="0" fontId="4" fillId="0" borderId="50" xfId="0" applyNumberFormat="1" applyFont="1" applyBorder="1" applyAlignment="1">
      <alignment horizontal="center" vertical="top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72" xfId="0" applyFont="1" applyBorder="1" applyAlignment="1">
      <alignment horizontal="center" vertical="center" textRotation="90" wrapText="1"/>
    </xf>
    <xf numFmtId="49" fontId="5" fillId="0" borderId="74" xfId="0" applyNumberFormat="1" applyFont="1" applyFill="1" applyBorder="1" applyAlignment="1">
      <alignment horizontal="center" vertical="top" wrapText="1"/>
    </xf>
    <xf numFmtId="0" fontId="5" fillId="0" borderId="4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center" vertical="center" textRotation="90" wrapText="1"/>
    </xf>
    <xf numFmtId="3" fontId="4" fillId="0" borderId="30" xfId="0" applyNumberFormat="1" applyFont="1" applyBorder="1" applyAlignment="1">
      <alignment horizontal="center" vertical="center" textRotation="90" wrapText="1"/>
    </xf>
    <xf numFmtId="3" fontId="4" fillId="0" borderId="72" xfId="0" applyNumberFormat="1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right" vertical="top"/>
    </xf>
    <xf numFmtId="0" fontId="5" fillId="4" borderId="10" xfId="0" applyFont="1" applyFill="1" applyBorder="1" applyAlignment="1">
      <alignment horizontal="right" vertical="top"/>
    </xf>
    <xf numFmtId="0" fontId="4" fillId="0" borderId="29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5" fillId="4" borderId="29" xfId="0" applyFont="1" applyFill="1" applyBorder="1" applyAlignment="1">
      <alignment horizontal="left" vertical="top"/>
    </xf>
    <xf numFmtId="0" fontId="5" fillId="4" borderId="26" xfId="0" applyFont="1" applyFill="1" applyBorder="1" applyAlignment="1">
      <alignment horizontal="left" vertical="top"/>
    </xf>
    <xf numFmtId="0" fontId="5" fillId="4" borderId="32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10" fillId="0" borderId="13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164" fontId="4" fillId="0" borderId="38" xfId="0" applyNumberFormat="1" applyFont="1" applyFill="1" applyBorder="1" applyAlignment="1">
      <alignment horizontal="left" vertical="top" wrapText="1"/>
    </xf>
    <xf numFmtId="0" fontId="5" fillId="8" borderId="67" xfId="0" applyFont="1" applyFill="1" applyBorder="1" applyAlignment="1">
      <alignment horizontal="right" vertical="top"/>
    </xf>
    <xf numFmtId="0" fontId="5" fillId="8" borderId="4" xfId="0" applyFont="1" applyFill="1" applyBorder="1" applyAlignment="1">
      <alignment horizontal="right" vertical="top"/>
    </xf>
    <xf numFmtId="0" fontId="5" fillId="8" borderId="34" xfId="0" applyFont="1" applyFill="1" applyBorder="1" applyAlignment="1">
      <alignment horizontal="right" vertical="top"/>
    </xf>
    <xf numFmtId="0" fontId="5" fillId="0" borderId="22" xfId="0" applyFont="1" applyFill="1" applyBorder="1" applyAlignment="1">
      <alignment horizontal="center" vertical="center" textRotation="90" wrapText="1"/>
    </xf>
    <xf numFmtId="0" fontId="13" fillId="8" borderId="66" xfId="0" applyFont="1" applyFill="1" applyBorder="1" applyAlignment="1">
      <alignment horizontal="right" vertical="top" wrapText="1"/>
    </xf>
    <xf numFmtId="0" fontId="13" fillId="8" borderId="4" xfId="0" applyFont="1" applyFill="1" applyBorder="1" applyAlignment="1">
      <alignment horizontal="right" vertical="top" wrapText="1"/>
    </xf>
    <xf numFmtId="0" fontId="13" fillId="8" borderId="34" xfId="0" applyFont="1" applyFill="1" applyBorder="1" applyAlignment="1">
      <alignment horizontal="right" vertical="top" wrapText="1"/>
    </xf>
    <xf numFmtId="0" fontId="4" fillId="7" borderId="60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4" fillId="7" borderId="20" xfId="0" applyFont="1" applyFill="1" applyBorder="1" applyAlignment="1">
      <alignment horizontal="left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right" vertical="top"/>
    </xf>
    <xf numFmtId="0" fontId="2" fillId="7" borderId="9" xfId="0" applyFont="1" applyFill="1" applyBorder="1" applyAlignment="1">
      <alignment horizontal="left" vertical="top" wrapText="1"/>
    </xf>
    <xf numFmtId="0" fontId="2" fillId="7" borderId="3" xfId="0" applyFont="1" applyFill="1" applyBorder="1" applyAlignment="1">
      <alignment horizontal="left" vertical="top" wrapText="1"/>
    </xf>
    <xf numFmtId="0" fontId="4" fillId="0" borderId="57" xfId="0" applyFont="1" applyFill="1" applyBorder="1" applyAlignment="1">
      <alignment horizontal="center" vertical="top" textRotation="90" wrapText="1"/>
    </xf>
    <xf numFmtId="0" fontId="4" fillId="0" borderId="58" xfId="0" applyFont="1" applyFill="1" applyBorder="1" applyAlignment="1">
      <alignment horizontal="center" vertical="top" textRotation="90" wrapText="1"/>
    </xf>
    <xf numFmtId="0" fontId="4" fillId="7" borderId="9" xfId="0" applyFont="1" applyFill="1" applyBorder="1" applyAlignment="1">
      <alignment horizontal="center" vertical="top"/>
    </xf>
    <xf numFmtId="49" fontId="4" fillId="0" borderId="30" xfId="0" applyNumberFormat="1" applyFont="1" applyBorder="1" applyAlignment="1">
      <alignment horizontal="center" vertical="top"/>
    </xf>
    <xf numFmtId="0" fontId="4" fillId="0" borderId="12" xfId="0" applyFont="1" applyFill="1" applyBorder="1" applyAlignment="1">
      <alignment horizontal="left" vertical="top" wrapText="1"/>
    </xf>
    <xf numFmtId="0" fontId="4" fillId="7" borderId="58" xfId="0" applyFont="1" applyFill="1" applyBorder="1" applyAlignment="1">
      <alignment horizontal="center" vertical="top"/>
    </xf>
    <xf numFmtId="0" fontId="4" fillId="7" borderId="49" xfId="0" applyFont="1" applyFill="1" applyBorder="1" applyAlignment="1">
      <alignment horizontal="left" vertical="top" wrapText="1"/>
    </xf>
    <xf numFmtId="0" fontId="4" fillId="7" borderId="16" xfId="0" applyFont="1" applyFill="1" applyBorder="1" applyAlignment="1">
      <alignment horizontal="center" vertical="top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63" xfId="0" applyFont="1" applyFill="1" applyBorder="1" applyAlignment="1">
      <alignment horizontal="center" vertical="center" textRotation="90" wrapText="1"/>
    </xf>
    <xf numFmtId="0" fontId="4" fillId="0" borderId="54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horizontal="left" vertical="top" wrapText="1"/>
    </xf>
    <xf numFmtId="0" fontId="4" fillId="7" borderId="30" xfId="0" applyFont="1" applyFill="1" applyBorder="1" applyAlignment="1">
      <alignment horizontal="left" vertical="top" wrapText="1"/>
    </xf>
    <xf numFmtId="0" fontId="4" fillId="7" borderId="53" xfId="0" applyFont="1" applyFill="1" applyBorder="1" applyAlignment="1">
      <alignment horizontal="left" vertical="top" wrapText="1"/>
    </xf>
    <xf numFmtId="0" fontId="4" fillId="0" borderId="44" xfId="0" applyFont="1" applyFill="1" applyBorder="1" applyAlignment="1">
      <alignment horizontal="left" vertical="top" wrapText="1"/>
    </xf>
    <xf numFmtId="0" fontId="4" fillId="0" borderId="45" xfId="0" applyFont="1" applyFill="1" applyBorder="1" applyAlignment="1">
      <alignment horizontal="center" vertical="center" textRotation="90" wrapText="1"/>
    </xf>
    <xf numFmtId="0" fontId="5" fillId="5" borderId="57" xfId="0" applyFont="1" applyFill="1" applyBorder="1" applyAlignment="1">
      <alignment horizontal="center" vertical="top" textRotation="90" wrapText="1"/>
    </xf>
    <xf numFmtId="0" fontId="5" fillId="5" borderId="58" xfId="0" applyFont="1" applyFill="1" applyBorder="1" applyAlignment="1">
      <alignment horizontal="center" vertical="top" textRotation="90" wrapText="1"/>
    </xf>
    <xf numFmtId="0" fontId="4" fillId="7" borderId="13" xfId="0" applyFont="1" applyFill="1" applyBorder="1" applyAlignment="1">
      <alignment horizontal="left" vertical="top" wrapText="1"/>
    </xf>
    <xf numFmtId="0" fontId="10" fillId="0" borderId="44" xfId="0" applyFont="1" applyFill="1" applyBorder="1" applyAlignment="1">
      <alignment horizontal="left" vertical="top" wrapText="1"/>
    </xf>
    <xf numFmtId="0" fontId="4" fillId="0" borderId="74" xfId="0" applyNumberFormat="1" applyFont="1" applyBorder="1" applyAlignment="1">
      <alignment horizontal="right" vertical="top"/>
    </xf>
    <xf numFmtId="0" fontId="9" fillId="0" borderId="24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right" vertical="top" wrapText="1"/>
    </xf>
    <xf numFmtId="3" fontId="4" fillId="0" borderId="13" xfId="0" applyNumberFormat="1" applyFont="1" applyBorder="1" applyAlignment="1">
      <alignment horizontal="center" vertical="center" textRotation="90" wrapText="1"/>
    </xf>
    <xf numFmtId="3" fontId="4" fillId="0" borderId="9" xfId="0" applyNumberFormat="1" applyFont="1" applyBorder="1" applyAlignment="1">
      <alignment horizontal="center" vertical="center" textRotation="90" wrapText="1"/>
    </xf>
    <xf numFmtId="3" fontId="4" fillId="0" borderId="3" xfId="0" applyNumberFormat="1" applyFont="1" applyBorder="1" applyAlignment="1">
      <alignment horizontal="center" vertical="center" textRotation="90" wrapText="1"/>
    </xf>
    <xf numFmtId="3" fontId="4" fillId="0" borderId="57" xfId="0" applyNumberFormat="1" applyFont="1" applyBorder="1" applyAlignment="1">
      <alignment horizontal="center" vertical="center" textRotation="90" wrapText="1"/>
    </xf>
    <xf numFmtId="3" fontId="4" fillId="0" borderId="58" xfId="0" applyNumberFormat="1" applyFont="1" applyBorder="1" applyAlignment="1">
      <alignment horizontal="center" vertical="center" textRotation="90" wrapText="1"/>
    </xf>
    <xf numFmtId="3" fontId="4" fillId="0" borderId="73" xfId="0" applyNumberFormat="1" applyFont="1" applyBorder="1" applyAlignment="1">
      <alignment horizontal="center" vertical="center" textRotation="90" wrapText="1"/>
    </xf>
    <xf numFmtId="3" fontId="4" fillId="0" borderId="11" xfId="0" applyNumberFormat="1" applyFont="1" applyBorder="1" applyAlignment="1">
      <alignment horizontal="center" vertical="center" textRotation="90" wrapText="1"/>
    </xf>
    <xf numFmtId="3" fontId="4" fillId="0" borderId="12" xfId="0" applyNumberFormat="1" applyFont="1" applyBorder="1" applyAlignment="1">
      <alignment horizontal="center" vertical="center" textRotation="90" wrapText="1"/>
    </xf>
    <xf numFmtId="3" fontId="4" fillId="0" borderId="15" xfId="0" applyNumberFormat="1" applyFont="1" applyBorder="1" applyAlignment="1">
      <alignment horizontal="center" vertical="center" textRotation="90" wrapText="1"/>
    </xf>
    <xf numFmtId="0" fontId="5" fillId="0" borderId="57" xfId="0" applyFont="1" applyFill="1" applyBorder="1" applyAlignment="1">
      <alignment horizontal="center" vertical="top" textRotation="90" wrapText="1"/>
    </xf>
    <xf numFmtId="0" fontId="5" fillId="0" borderId="58" xfId="0" applyFont="1" applyFill="1" applyBorder="1" applyAlignment="1">
      <alignment horizontal="center" vertical="top" textRotation="90" wrapText="1"/>
    </xf>
    <xf numFmtId="0" fontId="14" fillId="0" borderId="13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4" fillId="5" borderId="40" xfId="0" applyFont="1" applyFill="1" applyBorder="1" applyAlignment="1">
      <alignment horizontal="center" vertical="top"/>
    </xf>
    <xf numFmtId="0" fontId="4" fillId="5" borderId="30" xfId="0" applyFont="1" applyFill="1" applyBorder="1" applyAlignment="1">
      <alignment horizontal="center" vertical="top"/>
    </xf>
    <xf numFmtId="0" fontId="4" fillId="7" borderId="30" xfId="0" applyFont="1" applyFill="1" applyBorder="1" applyAlignment="1">
      <alignment horizontal="center" vertical="top"/>
    </xf>
    <xf numFmtId="0" fontId="5" fillId="0" borderId="58" xfId="0" applyFont="1" applyFill="1" applyBorder="1" applyAlignment="1">
      <alignment horizontal="center" vertical="center" textRotation="90" wrapText="1"/>
    </xf>
    <xf numFmtId="0" fontId="5" fillId="0" borderId="63" xfId="0" applyFont="1" applyFill="1" applyBorder="1" applyAlignment="1">
      <alignment horizontal="center" vertical="center" textRotation="90" wrapText="1"/>
    </xf>
    <xf numFmtId="0" fontId="17" fillId="7" borderId="9" xfId="0" applyFont="1" applyFill="1" applyBorder="1" applyAlignment="1">
      <alignment horizontal="left" vertical="top" wrapText="1"/>
    </xf>
    <xf numFmtId="0" fontId="14" fillId="0" borderId="40" xfId="0" applyFont="1" applyFill="1" applyBorder="1" applyAlignment="1">
      <alignment horizontal="left" vertical="top" wrapText="1"/>
    </xf>
    <xf numFmtId="0" fontId="14" fillId="0" borderId="30" xfId="0" applyFont="1" applyFill="1" applyBorder="1" applyAlignment="1">
      <alignment horizontal="left" vertical="top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/>
  <dimension ref="A1:AF94"/>
  <sheetViews>
    <sheetView zoomScaleNormal="100" zoomScaleSheetLayoutView="100" zoomScalePageLayoutView="51" workbookViewId="0">
      <selection sqref="A1:Z1"/>
    </sheetView>
  </sheetViews>
  <sheetFormatPr defaultColWidth="9.140625" defaultRowHeight="12.75" x14ac:dyDescent="0.2"/>
  <cols>
    <col min="1" max="1" width="2.28515625" style="4" customWidth="1"/>
    <col min="2" max="2" width="2.42578125" style="4" customWidth="1"/>
    <col min="3" max="3" width="2.5703125" style="4" customWidth="1"/>
    <col min="4" max="4" width="32.85546875" style="4" customWidth="1"/>
    <col min="5" max="5" width="3.5703125" style="6" customWidth="1"/>
    <col min="6" max="6" width="3.140625" style="6" customWidth="1"/>
    <col min="7" max="7" width="2.7109375" style="41" customWidth="1"/>
    <col min="8" max="8" width="7.28515625" style="6" customWidth="1"/>
    <col min="9" max="9" width="7.140625" style="4" hidden="1" customWidth="1"/>
    <col min="10" max="10" width="7.85546875" style="4" hidden="1" customWidth="1"/>
    <col min="11" max="12" width="6.140625" style="4" hidden="1" customWidth="1"/>
    <col min="13" max="13" width="7.140625" style="4" hidden="1" customWidth="1"/>
    <col min="14" max="14" width="7.42578125" style="4" hidden="1" customWidth="1"/>
    <col min="15" max="15" width="6.7109375" style="4" hidden="1" customWidth="1"/>
    <col min="16" max="16" width="6.140625" style="4" hidden="1" customWidth="1"/>
    <col min="17" max="17" width="7.42578125" style="4" customWidth="1"/>
    <col min="18" max="18" width="7.140625" style="4" customWidth="1"/>
    <col min="19" max="20" width="6.140625" style="4" customWidth="1"/>
    <col min="21" max="22" width="7.5703125" style="4" customWidth="1"/>
    <col min="23" max="23" width="27.140625" style="50" customWidth="1"/>
    <col min="24" max="26" width="5.7109375" style="5" customWidth="1"/>
    <col min="27" max="16384" width="9.140625" style="1"/>
  </cols>
  <sheetData>
    <row r="1" spans="1:30" s="11" customFormat="1" ht="13.5" customHeight="1" x14ac:dyDescent="0.2">
      <c r="A1" s="1012" t="s">
        <v>147</v>
      </c>
      <c r="B1" s="1012"/>
      <c r="C1" s="1012"/>
      <c r="D1" s="1012"/>
      <c r="E1" s="1012"/>
      <c r="F1" s="1012"/>
      <c r="G1" s="1012"/>
      <c r="H1" s="1012"/>
      <c r="I1" s="1012"/>
      <c r="J1" s="1012"/>
      <c r="K1" s="1012"/>
      <c r="L1" s="1012"/>
      <c r="M1" s="1012"/>
      <c r="N1" s="1012"/>
      <c r="O1" s="1012"/>
      <c r="P1" s="1012"/>
      <c r="Q1" s="1012"/>
      <c r="R1" s="1012"/>
      <c r="S1" s="1012"/>
      <c r="T1" s="1012"/>
      <c r="U1" s="1012"/>
      <c r="V1" s="1012"/>
      <c r="W1" s="1012"/>
      <c r="X1" s="1012"/>
      <c r="Y1" s="1012"/>
      <c r="Z1" s="1012"/>
    </row>
    <row r="2" spans="1:30" s="11" customFormat="1" ht="21" customHeight="1" x14ac:dyDescent="0.2">
      <c r="A2" s="1024" t="s">
        <v>61</v>
      </c>
      <c r="B2" s="1025"/>
      <c r="C2" s="1025"/>
      <c r="D2" s="1025"/>
      <c r="E2" s="1025"/>
      <c r="F2" s="1025"/>
      <c r="G2" s="1025"/>
      <c r="H2" s="1025"/>
      <c r="I2" s="1025"/>
      <c r="J2" s="1025"/>
      <c r="K2" s="1025"/>
      <c r="L2" s="1025"/>
      <c r="M2" s="1025"/>
      <c r="N2" s="1025"/>
      <c r="O2" s="1025"/>
      <c r="P2" s="1025"/>
      <c r="Q2" s="1025"/>
      <c r="R2" s="1025"/>
      <c r="S2" s="1025"/>
      <c r="T2" s="1025"/>
      <c r="U2" s="1025"/>
      <c r="V2" s="1025"/>
      <c r="W2" s="1025"/>
      <c r="X2" s="1025"/>
      <c r="Y2" s="1025"/>
      <c r="Z2" s="1025"/>
    </row>
    <row r="3" spans="1:30" s="11" customFormat="1" ht="15" customHeight="1" x14ac:dyDescent="0.2">
      <c r="A3" s="1012" t="s">
        <v>149</v>
      </c>
      <c r="B3" s="1032"/>
      <c r="C3" s="1032"/>
      <c r="D3" s="1032"/>
      <c r="E3" s="1032"/>
      <c r="F3" s="1032"/>
      <c r="G3" s="1032"/>
      <c r="H3" s="1032"/>
      <c r="I3" s="1032"/>
      <c r="J3" s="1032"/>
      <c r="K3" s="1032"/>
      <c r="L3" s="1032"/>
      <c r="M3" s="1032"/>
      <c r="N3" s="1032"/>
      <c r="O3" s="1032"/>
      <c r="P3" s="1032"/>
      <c r="Q3" s="1032"/>
      <c r="R3" s="1032"/>
      <c r="S3" s="1032"/>
      <c r="T3" s="1032"/>
      <c r="U3" s="1032"/>
      <c r="V3" s="1032"/>
      <c r="W3" s="1032"/>
      <c r="X3" s="1032"/>
      <c r="Y3" s="1032"/>
      <c r="Z3" s="1032"/>
    </row>
    <row r="4" spans="1:30" s="11" customFormat="1" ht="14.25" customHeight="1" thickBot="1" x14ac:dyDescent="0.25">
      <c r="A4" s="8"/>
      <c r="B4" s="8"/>
      <c r="C4" s="8"/>
      <c r="D4" s="8"/>
      <c r="E4" s="360"/>
      <c r="F4" s="360"/>
      <c r="G4" s="42"/>
      <c r="H4" s="390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48"/>
      <c r="X4" s="9"/>
      <c r="Y4" s="1016" t="s">
        <v>0</v>
      </c>
      <c r="Z4" s="1016"/>
    </row>
    <row r="5" spans="1:30" s="11" customFormat="1" ht="21.75" customHeight="1" thickBot="1" x14ac:dyDescent="0.25">
      <c r="A5" s="1026" t="s">
        <v>1</v>
      </c>
      <c r="B5" s="1029" t="s">
        <v>2</v>
      </c>
      <c r="C5" s="1029" t="s">
        <v>3</v>
      </c>
      <c r="D5" s="1146" t="s">
        <v>25</v>
      </c>
      <c r="E5" s="1033" t="s">
        <v>4</v>
      </c>
      <c r="F5" s="1149" t="s">
        <v>148</v>
      </c>
      <c r="G5" s="1036" t="s">
        <v>5</v>
      </c>
      <c r="H5" s="1189" t="s">
        <v>6</v>
      </c>
      <c r="I5" s="1143" t="s">
        <v>64</v>
      </c>
      <c r="J5" s="1144"/>
      <c r="K5" s="1144"/>
      <c r="L5" s="1145"/>
      <c r="M5" s="1143" t="s">
        <v>65</v>
      </c>
      <c r="N5" s="1144"/>
      <c r="O5" s="1144"/>
      <c r="P5" s="1145"/>
      <c r="Q5" s="1143" t="s">
        <v>66</v>
      </c>
      <c r="R5" s="1144"/>
      <c r="S5" s="1144"/>
      <c r="T5" s="1145"/>
      <c r="U5" s="1046" t="s">
        <v>45</v>
      </c>
      <c r="V5" s="1046" t="s">
        <v>67</v>
      </c>
      <c r="W5" s="1154" t="s">
        <v>150</v>
      </c>
      <c r="X5" s="1155"/>
      <c r="Y5" s="1155"/>
      <c r="Z5" s="1156"/>
    </row>
    <row r="6" spans="1:30" s="11" customFormat="1" ht="15" customHeight="1" x14ac:dyDescent="0.2">
      <c r="A6" s="1027"/>
      <c r="B6" s="1030"/>
      <c r="C6" s="1030"/>
      <c r="D6" s="1147"/>
      <c r="E6" s="1034"/>
      <c r="F6" s="1150"/>
      <c r="G6" s="1037"/>
      <c r="H6" s="1190"/>
      <c r="I6" s="1039" t="s">
        <v>7</v>
      </c>
      <c r="J6" s="1022" t="s">
        <v>8</v>
      </c>
      <c r="K6" s="1022"/>
      <c r="L6" s="1152" t="s">
        <v>26</v>
      </c>
      <c r="M6" s="1039" t="s">
        <v>7</v>
      </c>
      <c r="N6" s="1022" t="s">
        <v>8</v>
      </c>
      <c r="O6" s="1022"/>
      <c r="P6" s="1152" t="s">
        <v>26</v>
      </c>
      <c r="Q6" s="1039" t="s">
        <v>7</v>
      </c>
      <c r="R6" s="1022" t="s">
        <v>8</v>
      </c>
      <c r="S6" s="1022"/>
      <c r="T6" s="1152" t="s">
        <v>26</v>
      </c>
      <c r="U6" s="1047"/>
      <c r="V6" s="1047"/>
      <c r="W6" s="1049" t="s">
        <v>25</v>
      </c>
      <c r="X6" s="1162" t="s">
        <v>48</v>
      </c>
      <c r="Y6" s="1163"/>
      <c r="Z6" s="1164"/>
    </row>
    <row r="7" spans="1:30" s="11" customFormat="1" ht="117.75" customHeight="1" thickBot="1" x14ac:dyDescent="0.25">
      <c r="A7" s="1028"/>
      <c r="B7" s="1031"/>
      <c r="C7" s="1031"/>
      <c r="D7" s="1148"/>
      <c r="E7" s="1035"/>
      <c r="F7" s="1151"/>
      <c r="G7" s="1038"/>
      <c r="H7" s="1191"/>
      <c r="I7" s="1040"/>
      <c r="J7" s="363" t="s">
        <v>7</v>
      </c>
      <c r="K7" s="12" t="s">
        <v>27</v>
      </c>
      <c r="L7" s="1153"/>
      <c r="M7" s="1040"/>
      <c r="N7" s="363" t="s">
        <v>7</v>
      </c>
      <c r="O7" s="12" t="s">
        <v>27</v>
      </c>
      <c r="P7" s="1153"/>
      <c r="Q7" s="1040"/>
      <c r="R7" s="363" t="s">
        <v>7</v>
      </c>
      <c r="S7" s="12" t="s">
        <v>27</v>
      </c>
      <c r="T7" s="1153"/>
      <c r="U7" s="1048"/>
      <c r="V7" s="1048"/>
      <c r="W7" s="1050"/>
      <c r="X7" s="82" t="s">
        <v>46</v>
      </c>
      <c r="Y7" s="80" t="s">
        <v>47</v>
      </c>
      <c r="Z7" s="81" t="s">
        <v>68</v>
      </c>
    </row>
    <row r="8" spans="1:30" ht="14.25" customHeight="1" x14ac:dyDescent="0.2">
      <c r="A8" s="1043" t="s">
        <v>30</v>
      </c>
      <c r="B8" s="1044"/>
      <c r="C8" s="1044"/>
      <c r="D8" s="1044"/>
      <c r="E8" s="1044"/>
      <c r="F8" s="1044"/>
      <c r="G8" s="1044"/>
      <c r="H8" s="1044"/>
      <c r="I8" s="1044"/>
      <c r="J8" s="1044"/>
      <c r="K8" s="1044"/>
      <c r="L8" s="1044"/>
      <c r="M8" s="1044"/>
      <c r="N8" s="1044"/>
      <c r="O8" s="1044"/>
      <c r="P8" s="1044"/>
      <c r="Q8" s="1044"/>
      <c r="R8" s="1044"/>
      <c r="S8" s="1044"/>
      <c r="T8" s="1044"/>
      <c r="U8" s="1044"/>
      <c r="V8" s="1044"/>
      <c r="W8" s="1044"/>
      <c r="X8" s="1044"/>
      <c r="Y8" s="1044"/>
      <c r="Z8" s="1045"/>
    </row>
    <row r="9" spans="1:30" ht="14.25" customHeight="1" thickBot="1" x14ac:dyDescent="0.25">
      <c r="A9" s="1019" t="s">
        <v>34</v>
      </c>
      <c r="B9" s="1020"/>
      <c r="C9" s="1020"/>
      <c r="D9" s="1020"/>
      <c r="E9" s="1020"/>
      <c r="F9" s="1020"/>
      <c r="G9" s="1020"/>
      <c r="H9" s="1020"/>
      <c r="I9" s="1020"/>
      <c r="J9" s="1020"/>
      <c r="K9" s="1020"/>
      <c r="L9" s="1020"/>
      <c r="M9" s="1020"/>
      <c r="N9" s="1020"/>
      <c r="O9" s="1020"/>
      <c r="P9" s="1020"/>
      <c r="Q9" s="1020"/>
      <c r="R9" s="1020"/>
      <c r="S9" s="1020"/>
      <c r="T9" s="1020"/>
      <c r="U9" s="1020"/>
      <c r="V9" s="1020"/>
      <c r="W9" s="1020"/>
      <c r="X9" s="1020"/>
      <c r="Y9" s="1020"/>
      <c r="Z9" s="1021"/>
    </row>
    <row r="10" spans="1:30" ht="14.25" customHeight="1" thickBot="1" x14ac:dyDescent="0.25">
      <c r="A10" s="13" t="s">
        <v>9</v>
      </c>
      <c r="B10" s="1165" t="s">
        <v>107</v>
      </c>
      <c r="C10" s="1165"/>
      <c r="D10" s="1165"/>
      <c r="E10" s="1165"/>
      <c r="F10" s="1165"/>
      <c r="G10" s="1165"/>
      <c r="H10" s="1165"/>
      <c r="I10" s="1165"/>
      <c r="J10" s="1165"/>
      <c r="K10" s="1165"/>
      <c r="L10" s="1165"/>
      <c r="M10" s="1165"/>
      <c r="N10" s="1165"/>
      <c r="O10" s="1165"/>
      <c r="P10" s="1165"/>
      <c r="Q10" s="1165"/>
      <c r="R10" s="1165"/>
      <c r="S10" s="1165"/>
      <c r="T10" s="1165"/>
      <c r="U10" s="1165"/>
      <c r="V10" s="1165"/>
      <c r="W10" s="1165"/>
      <c r="X10" s="1165"/>
      <c r="Y10" s="1165"/>
      <c r="Z10" s="1166"/>
    </row>
    <row r="11" spans="1:30" ht="14.25" customHeight="1" thickBot="1" x14ac:dyDescent="0.25">
      <c r="A11" s="13" t="s">
        <v>9</v>
      </c>
      <c r="B11" s="14" t="s">
        <v>9</v>
      </c>
      <c r="C11" s="1159" t="s">
        <v>39</v>
      </c>
      <c r="D11" s="1159"/>
      <c r="E11" s="1159"/>
      <c r="F11" s="1159"/>
      <c r="G11" s="1159"/>
      <c r="H11" s="1159"/>
      <c r="I11" s="1159"/>
      <c r="J11" s="1159"/>
      <c r="K11" s="1159"/>
      <c r="L11" s="1159"/>
      <c r="M11" s="1159"/>
      <c r="N11" s="1159"/>
      <c r="O11" s="1159"/>
      <c r="P11" s="1159"/>
      <c r="Q11" s="1159"/>
      <c r="R11" s="1159"/>
      <c r="S11" s="1159"/>
      <c r="T11" s="1159"/>
      <c r="U11" s="1159"/>
      <c r="V11" s="1159"/>
      <c r="W11" s="1159"/>
      <c r="X11" s="1160"/>
      <c r="Y11" s="1160"/>
      <c r="Z11" s="1161"/>
    </row>
    <row r="12" spans="1:30" ht="27.75" customHeight="1" x14ac:dyDescent="0.2">
      <c r="A12" s="23" t="s">
        <v>9</v>
      </c>
      <c r="B12" s="26" t="s">
        <v>9</v>
      </c>
      <c r="C12" s="22" t="s">
        <v>9</v>
      </c>
      <c r="D12" s="146" t="s">
        <v>128</v>
      </c>
      <c r="E12" s="149"/>
      <c r="F12" s="357" t="s">
        <v>14</v>
      </c>
      <c r="G12" s="358" t="s">
        <v>35</v>
      </c>
      <c r="H12" s="102" t="s">
        <v>12</v>
      </c>
      <c r="I12" s="47"/>
      <c r="J12" s="501"/>
      <c r="K12" s="128"/>
      <c r="L12" s="133"/>
      <c r="M12" s="88"/>
      <c r="N12" s="128"/>
      <c r="O12" s="128"/>
      <c r="P12" s="89"/>
      <c r="Q12" s="294">
        <f>R12+T12</f>
        <v>454</v>
      </c>
      <c r="R12" s="295">
        <f>199+10+245</f>
        <v>454</v>
      </c>
      <c r="S12" s="295"/>
      <c r="T12" s="296"/>
      <c r="U12" s="61">
        <f>200+20+70+250</f>
        <v>540</v>
      </c>
      <c r="V12" s="57">
        <f>200+20+90+260+50</f>
        <v>620</v>
      </c>
      <c r="W12" s="167" t="s">
        <v>132</v>
      </c>
      <c r="X12" s="391">
        <f>4+38</f>
        <v>42</v>
      </c>
      <c r="Y12" s="392">
        <f>4+15+38+5</f>
        <v>62</v>
      </c>
      <c r="Z12" s="394">
        <f>4+17+40+5</f>
        <v>66</v>
      </c>
    </row>
    <row r="13" spans="1:30" ht="27" customHeight="1" x14ac:dyDescent="0.2">
      <c r="A13" s="25"/>
      <c r="B13" s="28"/>
      <c r="C13" s="19"/>
      <c r="D13" s="373" t="s">
        <v>133</v>
      </c>
      <c r="E13" s="150"/>
      <c r="F13" s="120"/>
      <c r="G13" s="273"/>
      <c r="H13" s="165"/>
      <c r="I13" s="129"/>
      <c r="J13" s="130"/>
      <c r="K13" s="35"/>
      <c r="L13" s="481"/>
      <c r="M13" s="424"/>
      <c r="N13" s="180"/>
      <c r="O13" s="180"/>
      <c r="P13" s="426"/>
      <c r="Q13" s="316"/>
      <c r="R13" s="293"/>
      <c r="S13" s="293"/>
      <c r="T13" s="317"/>
      <c r="U13" s="482"/>
      <c r="V13" s="483"/>
      <c r="W13" s="83" t="s">
        <v>41</v>
      </c>
      <c r="X13" s="192">
        <v>2</v>
      </c>
      <c r="Y13" s="117">
        <v>2</v>
      </c>
      <c r="Z13" s="193">
        <v>2</v>
      </c>
    </row>
    <row r="14" spans="1:30" ht="15" customHeight="1" x14ac:dyDescent="0.2">
      <c r="A14" s="25"/>
      <c r="B14" s="28"/>
      <c r="C14" s="19"/>
      <c r="D14" s="118" t="s">
        <v>129</v>
      </c>
      <c r="E14" s="150"/>
      <c r="F14" s="120"/>
      <c r="G14" s="273"/>
      <c r="H14" s="165"/>
      <c r="I14" s="129"/>
      <c r="J14" s="130"/>
      <c r="K14" s="130"/>
      <c r="L14" s="141"/>
      <c r="M14" s="424"/>
      <c r="N14" s="130"/>
      <c r="O14" s="130"/>
      <c r="P14" s="186"/>
      <c r="Q14" s="316"/>
      <c r="R14" s="293"/>
      <c r="S14" s="293"/>
      <c r="T14" s="317"/>
      <c r="U14" s="145"/>
      <c r="V14" s="140"/>
      <c r="W14" s="83"/>
      <c r="X14" s="192"/>
      <c r="Y14" s="117"/>
      <c r="Z14" s="193"/>
      <c r="AB14" s="109"/>
      <c r="AD14" s="109"/>
    </row>
    <row r="15" spans="1:30" ht="39" customHeight="1" x14ac:dyDescent="0.2">
      <c r="A15" s="25"/>
      <c r="B15" s="28"/>
      <c r="C15" s="19"/>
      <c r="D15" s="393" t="s">
        <v>130</v>
      </c>
      <c r="E15" s="502" t="s">
        <v>77</v>
      </c>
      <c r="F15" s="120"/>
      <c r="G15" s="273"/>
      <c r="H15" s="165"/>
      <c r="I15" s="180"/>
      <c r="J15" s="180"/>
      <c r="K15" s="180"/>
      <c r="L15" s="212"/>
      <c r="M15" s="424"/>
      <c r="N15" s="180"/>
      <c r="O15" s="180"/>
      <c r="P15" s="426"/>
      <c r="Q15" s="316"/>
      <c r="R15" s="293"/>
      <c r="S15" s="293"/>
      <c r="T15" s="317"/>
      <c r="U15" s="64"/>
      <c r="V15" s="139"/>
      <c r="W15" s="83"/>
      <c r="X15" s="258"/>
      <c r="Y15" s="214"/>
      <c r="Z15" s="215"/>
      <c r="AB15" s="109"/>
    </row>
    <row r="16" spans="1:30" ht="24.75" customHeight="1" x14ac:dyDescent="0.2">
      <c r="A16" s="25"/>
      <c r="B16" s="28"/>
      <c r="C16" s="19"/>
      <c r="D16" s="551" t="s">
        <v>151</v>
      </c>
      <c r="E16" s="502"/>
      <c r="F16" s="120"/>
      <c r="G16" s="273"/>
      <c r="H16" s="165"/>
      <c r="I16" s="429"/>
      <c r="J16" s="180"/>
      <c r="K16" s="180"/>
      <c r="L16" s="212"/>
      <c r="M16" s="424"/>
      <c r="N16" s="180"/>
      <c r="O16" s="180"/>
      <c r="P16" s="426"/>
      <c r="Q16" s="316"/>
      <c r="R16" s="293"/>
      <c r="S16" s="293"/>
      <c r="T16" s="317"/>
      <c r="U16" s="64"/>
      <c r="V16" s="139"/>
      <c r="W16" s="83"/>
      <c r="X16" s="258"/>
      <c r="Y16" s="517"/>
      <c r="Z16" s="518"/>
      <c r="AB16" s="109"/>
    </row>
    <row r="17" spans="1:32" ht="27" customHeight="1" x14ac:dyDescent="0.2">
      <c r="A17" s="25"/>
      <c r="B17" s="28"/>
      <c r="C17" s="19"/>
      <c r="D17" s="374" t="s">
        <v>131</v>
      </c>
      <c r="E17" s="150"/>
      <c r="F17" s="120"/>
      <c r="G17" s="273"/>
      <c r="H17" s="165"/>
      <c r="I17" s="272"/>
      <c r="J17" s="130"/>
      <c r="K17" s="130"/>
      <c r="L17" s="141"/>
      <c r="M17" s="503"/>
      <c r="N17" s="504"/>
      <c r="O17" s="130"/>
      <c r="P17" s="186"/>
      <c r="Q17" s="316"/>
      <c r="R17" s="293"/>
      <c r="S17" s="293"/>
      <c r="T17" s="317"/>
      <c r="U17" s="145"/>
      <c r="V17" s="140"/>
      <c r="W17" s="83"/>
      <c r="X17" s="192"/>
      <c r="Y17" s="117"/>
      <c r="Z17" s="193"/>
      <c r="AB17" s="109"/>
    </row>
    <row r="18" spans="1:32" ht="29.25" customHeight="1" x14ac:dyDescent="0.2">
      <c r="A18" s="25"/>
      <c r="B18" s="28"/>
      <c r="C18" s="19"/>
      <c r="D18" s="1118" t="s">
        <v>143</v>
      </c>
      <c r="E18" s="1157" t="s">
        <v>77</v>
      </c>
      <c r="F18" s="120"/>
      <c r="G18" s="273"/>
      <c r="H18" s="420"/>
      <c r="I18" s="289"/>
      <c r="J18" s="289"/>
      <c r="K18" s="289"/>
      <c r="L18" s="414"/>
      <c r="M18" s="288"/>
      <c r="N18" s="289"/>
      <c r="O18" s="289"/>
      <c r="P18" s="290"/>
      <c r="Q18" s="323"/>
      <c r="R18" s="324"/>
      <c r="S18" s="324"/>
      <c r="T18" s="322"/>
      <c r="U18" s="413"/>
      <c r="V18" s="114"/>
      <c r="W18" s="1041"/>
      <c r="X18" s="213"/>
      <c r="Y18" s="214"/>
      <c r="Z18" s="215"/>
      <c r="AB18" s="109"/>
    </row>
    <row r="19" spans="1:32" ht="13.5" customHeight="1" thickBot="1" x14ac:dyDescent="0.25">
      <c r="A19" s="25"/>
      <c r="B19" s="28"/>
      <c r="C19" s="19"/>
      <c r="D19" s="1135"/>
      <c r="E19" s="1158"/>
      <c r="F19" s="121"/>
      <c r="G19" s="274"/>
      <c r="H19" s="310" t="s">
        <v>16</v>
      </c>
      <c r="I19" s="302">
        <f t="shared" ref="I19:T19" si="0">SUM(I13:I17)</f>
        <v>0</v>
      </c>
      <c r="J19" s="302">
        <f t="shared" si="0"/>
        <v>0</v>
      </c>
      <c r="K19" s="302">
        <f t="shared" si="0"/>
        <v>0</v>
      </c>
      <c r="L19" s="303">
        <f t="shared" si="0"/>
        <v>0</v>
      </c>
      <c r="M19" s="364">
        <f>SUM(M13:M17)</f>
        <v>0</v>
      </c>
      <c r="N19" s="302">
        <f>SUM(N13:N17)</f>
        <v>0</v>
      </c>
      <c r="O19" s="302">
        <f t="shared" si="0"/>
        <v>0</v>
      </c>
      <c r="P19" s="311">
        <f t="shared" si="0"/>
        <v>0</v>
      </c>
      <c r="Q19" s="302">
        <f t="shared" ref="Q19:Q25" si="1">R19+T19</f>
        <v>454</v>
      </c>
      <c r="R19" s="302">
        <f>SUM(R12:R17)</f>
        <v>454</v>
      </c>
      <c r="S19" s="302">
        <f t="shared" si="0"/>
        <v>0</v>
      </c>
      <c r="T19" s="303">
        <f t="shared" si="0"/>
        <v>0</v>
      </c>
      <c r="U19" s="312">
        <f>SUM(U12:U17)</f>
        <v>540</v>
      </c>
      <c r="V19" s="303">
        <f>SUM(V12:V18)</f>
        <v>620</v>
      </c>
      <c r="W19" s="1042"/>
      <c r="X19" s="194"/>
      <c r="Y19" s="281"/>
      <c r="Z19" s="195"/>
    </row>
    <row r="20" spans="1:32" ht="16.5" customHeight="1" x14ac:dyDescent="0.2">
      <c r="A20" s="23" t="s">
        <v>9</v>
      </c>
      <c r="B20" s="26" t="s">
        <v>9</v>
      </c>
      <c r="C20" s="22" t="s">
        <v>10</v>
      </c>
      <c r="D20" s="986" t="s">
        <v>70</v>
      </c>
      <c r="E20" s="995"/>
      <c r="F20" s="1023" t="s">
        <v>14</v>
      </c>
      <c r="G20" s="978" t="s">
        <v>35</v>
      </c>
      <c r="H20" s="87" t="s">
        <v>12</v>
      </c>
      <c r="I20" s="127">
        <f>J20+L20</f>
        <v>180</v>
      </c>
      <c r="J20" s="128">
        <v>180</v>
      </c>
      <c r="K20" s="128"/>
      <c r="L20" s="133"/>
      <c r="M20" s="88">
        <f>N20+P20</f>
        <v>180</v>
      </c>
      <c r="N20" s="128">
        <v>180</v>
      </c>
      <c r="O20" s="128"/>
      <c r="P20" s="89"/>
      <c r="Q20" s="294">
        <f t="shared" si="1"/>
        <v>180</v>
      </c>
      <c r="R20" s="295">
        <v>180</v>
      </c>
      <c r="S20" s="295"/>
      <c r="T20" s="296"/>
      <c r="U20" s="61">
        <v>180</v>
      </c>
      <c r="V20" s="57">
        <v>200</v>
      </c>
      <c r="W20" s="167" t="s">
        <v>62</v>
      </c>
      <c r="X20" s="361">
        <v>1</v>
      </c>
      <c r="Y20" s="362">
        <v>1</v>
      </c>
      <c r="Z20" s="356">
        <v>1</v>
      </c>
    </row>
    <row r="21" spans="1:32" ht="14.25" customHeight="1" thickBot="1" x14ac:dyDescent="0.25">
      <c r="A21" s="25"/>
      <c r="B21" s="28"/>
      <c r="C21" s="19"/>
      <c r="D21" s="987"/>
      <c r="E21" s="997"/>
      <c r="F21" s="1002"/>
      <c r="G21" s="980"/>
      <c r="H21" s="310" t="s">
        <v>16</v>
      </c>
      <c r="I21" s="302">
        <f>J21+L21</f>
        <v>180</v>
      </c>
      <c r="J21" s="365">
        <f>SUM(J20:J20)</f>
        <v>180</v>
      </c>
      <c r="K21" s="365"/>
      <c r="L21" s="318"/>
      <c r="M21" s="364">
        <f>N21+P21</f>
        <v>180</v>
      </c>
      <c r="N21" s="365">
        <f>SUM(N20:N20)</f>
        <v>180</v>
      </c>
      <c r="O21" s="365"/>
      <c r="P21" s="366"/>
      <c r="Q21" s="302">
        <f t="shared" si="1"/>
        <v>180</v>
      </c>
      <c r="R21" s="365">
        <f>SUM(R20:R20)</f>
        <v>180</v>
      </c>
      <c r="S21" s="365"/>
      <c r="T21" s="304"/>
      <c r="U21" s="312">
        <f>SUM(U20:U20)</f>
        <v>180</v>
      </c>
      <c r="V21" s="303">
        <f>SUM(V20:V20)</f>
        <v>200</v>
      </c>
      <c r="W21" s="282"/>
      <c r="X21" s="147"/>
      <c r="Y21" s="281"/>
      <c r="Z21" s="279"/>
      <c r="AB21" s="109"/>
    </row>
    <row r="22" spans="1:32" ht="16.5" customHeight="1" x14ac:dyDescent="0.2">
      <c r="A22" s="23" t="s">
        <v>9</v>
      </c>
      <c r="B22" s="26" t="s">
        <v>9</v>
      </c>
      <c r="C22" s="22" t="s">
        <v>11</v>
      </c>
      <c r="D22" s="986" t="s">
        <v>63</v>
      </c>
      <c r="E22" s="995"/>
      <c r="F22" s="1023" t="s">
        <v>14</v>
      </c>
      <c r="G22" s="978" t="s">
        <v>35</v>
      </c>
      <c r="H22" s="87" t="s">
        <v>12</v>
      </c>
      <c r="I22" s="127">
        <f>J22+L22</f>
        <v>31.2</v>
      </c>
      <c r="J22" s="128">
        <v>31.2</v>
      </c>
      <c r="K22" s="128"/>
      <c r="L22" s="133"/>
      <c r="M22" s="88">
        <f>N22+P22</f>
        <v>40.299999999999997</v>
      </c>
      <c r="N22" s="128">
        <v>40.299999999999997</v>
      </c>
      <c r="O22" s="128"/>
      <c r="P22" s="89"/>
      <c r="Q22" s="294">
        <f t="shared" si="1"/>
        <v>31.2</v>
      </c>
      <c r="R22" s="295">
        <v>31.2</v>
      </c>
      <c r="S22" s="295"/>
      <c r="T22" s="296"/>
      <c r="U22" s="196">
        <v>46.8</v>
      </c>
      <c r="V22" s="537">
        <v>62.4</v>
      </c>
      <c r="W22" s="1013" t="s">
        <v>42</v>
      </c>
      <c r="X22" s="1015">
        <v>4</v>
      </c>
      <c r="Y22" s="1017">
        <v>5</v>
      </c>
      <c r="Z22" s="1187">
        <v>6</v>
      </c>
    </row>
    <row r="23" spans="1:32" ht="14.25" customHeight="1" thickBot="1" x14ac:dyDescent="0.25">
      <c r="A23" s="538"/>
      <c r="B23" s="253"/>
      <c r="C23" s="254"/>
      <c r="D23" s="987"/>
      <c r="E23" s="997"/>
      <c r="F23" s="1002"/>
      <c r="G23" s="980"/>
      <c r="H23" s="310" t="s">
        <v>16</v>
      </c>
      <c r="I23" s="302">
        <f>J23+L23</f>
        <v>31.2</v>
      </c>
      <c r="J23" s="508">
        <f>SUM(J22:J22)</f>
        <v>31.2</v>
      </c>
      <c r="K23" s="508"/>
      <c r="L23" s="304"/>
      <c r="M23" s="507">
        <f>N23+P23</f>
        <v>40.299999999999997</v>
      </c>
      <c r="N23" s="508">
        <f>SUM(N22:N22)</f>
        <v>40.299999999999997</v>
      </c>
      <c r="O23" s="508"/>
      <c r="P23" s="509"/>
      <c r="Q23" s="302">
        <f t="shared" si="1"/>
        <v>31.2</v>
      </c>
      <c r="R23" s="508">
        <f>SUM(R22:R22)</f>
        <v>31.2</v>
      </c>
      <c r="S23" s="508"/>
      <c r="T23" s="304"/>
      <c r="U23" s="312">
        <f>SUM(U22:U22)</f>
        <v>46.8</v>
      </c>
      <c r="V23" s="303">
        <f>SUM(V22:V22)</f>
        <v>62.4</v>
      </c>
      <c r="W23" s="1014"/>
      <c r="X23" s="1016"/>
      <c r="Y23" s="1018"/>
      <c r="Z23" s="1188"/>
      <c r="AF23" s="109"/>
    </row>
    <row r="24" spans="1:32" ht="17.25" customHeight="1" x14ac:dyDescent="0.2">
      <c r="A24" s="37" t="s">
        <v>9</v>
      </c>
      <c r="B24" s="26" t="s">
        <v>9</v>
      </c>
      <c r="C24" s="22" t="s">
        <v>13</v>
      </c>
      <c r="D24" s="91" t="s">
        <v>106</v>
      </c>
      <c r="E24" s="244"/>
      <c r="F24" s="247" t="s">
        <v>14</v>
      </c>
      <c r="G24" s="280" t="s">
        <v>35</v>
      </c>
      <c r="H24" s="92" t="s">
        <v>12</v>
      </c>
      <c r="I24" s="251"/>
      <c r="J24" s="94"/>
      <c r="K24" s="94"/>
      <c r="L24" s="252"/>
      <c r="M24" s="93"/>
      <c r="N24" s="94"/>
      <c r="O24" s="94"/>
      <c r="P24" s="95"/>
      <c r="Q24" s="305">
        <f t="shared" si="1"/>
        <v>229.6</v>
      </c>
      <c r="R24" s="306">
        <f>66.1+163.5</f>
        <v>229.6</v>
      </c>
      <c r="S24" s="306"/>
      <c r="T24" s="307"/>
      <c r="U24" s="63">
        <f>80+450</f>
        <v>530</v>
      </c>
      <c r="V24" s="55">
        <f>90+450</f>
        <v>540</v>
      </c>
      <c r="W24" s="144"/>
      <c r="X24" s="76"/>
      <c r="Y24" s="77"/>
      <c r="Z24" s="75"/>
    </row>
    <row r="25" spans="1:32" ht="14.25" customHeight="1" x14ac:dyDescent="0.2">
      <c r="A25" s="38"/>
      <c r="B25" s="28"/>
      <c r="C25" s="19"/>
      <c r="D25" s="1132" t="s">
        <v>134</v>
      </c>
      <c r="E25" s="245"/>
      <c r="F25" s="248"/>
      <c r="G25" s="249"/>
      <c r="H25" s="265" t="s">
        <v>98</v>
      </c>
      <c r="I25" s="134">
        <f>J25+L25</f>
        <v>386</v>
      </c>
      <c r="J25" s="135">
        <v>386</v>
      </c>
      <c r="K25" s="176"/>
      <c r="L25" s="177"/>
      <c r="M25" s="166">
        <f>N25+P25</f>
        <v>459</v>
      </c>
      <c r="N25" s="178">
        <v>459</v>
      </c>
      <c r="O25" s="266"/>
      <c r="P25" s="267"/>
      <c r="Q25" s="299">
        <f t="shared" si="1"/>
        <v>459</v>
      </c>
      <c r="R25" s="300">
        <v>459</v>
      </c>
      <c r="S25" s="300"/>
      <c r="T25" s="301"/>
      <c r="U25" s="156">
        <v>459</v>
      </c>
      <c r="V25" s="155">
        <v>459</v>
      </c>
      <c r="W25" s="1185" t="s">
        <v>111</v>
      </c>
      <c r="X25" s="1175" t="s">
        <v>112</v>
      </c>
      <c r="Y25" s="1177" t="s">
        <v>113</v>
      </c>
      <c r="Z25" s="1179" t="s">
        <v>113</v>
      </c>
      <c r="AC25" s="109"/>
    </row>
    <row r="26" spans="1:32" ht="14.25" customHeight="1" x14ac:dyDescent="0.2">
      <c r="A26" s="38"/>
      <c r="B26" s="28"/>
      <c r="C26" s="19"/>
      <c r="D26" s="1133"/>
      <c r="E26" s="245"/>
      <c r="F26" s="248"/>
      <c r="G26" s="249"/>
      <c r="H26" s="528"/>
      <c r="I26" s="129"/>
      <c r="J26" s="130"/>
      <c r="K26" s="35"/>
      <c r="L26" s="481"/>
      <c r="M26" s="424"/>
      <c r="N26" s="180"/>
      <c r="O26" s="529"/>
      <c r="P26" s="530"/>
      <c r="Q26" s="316"/>
      <c r="R26" s="293"/>
      <c r="S26" s="293"/>
      <c r="T26" s="317"/>
      <c r="U26" s="482"/>
      <c r="V26" s="483"/>
      <c r="W26" s="1186"/>
      <c r="X26" s="1176"/>
      <c r="Y26" s="1178"/>
      <c r="Z26" s="1180"/>
    </row>
    <row r="27" spans="1:32" ht="27.75" customHeight="1" x14ac:dyDescent="0.2">
      <c r="A27" s="38"/>
      <c r="B27" s="369"/>
      <c r="C27" s="19"/>
      <c r="D27" s="175" t="s">
        <v>18</v>
      </c>
      <c r="E27" s="245"/>
      <c r="F27" s="287"/>
      <c r="G27" s="249"/>
      <c r="H27" s="100"/>
      <c r="I27" s="131"/>
      <c r="J27" s="132"/>
      <c r="K27" s="132"/>
      <c r="L27" s="56"/>
      <c r="M27" s="96"/>
      <c r="N27" s="132"/>
      <c r="O27" s="132"/>
      <c r="P27" s="97"/>
      <c r="Q27" s="532"/>
      <c r="R27" s="308"/>
      <c r="S27" s="308"/>
      <c r="T27" s="309"/>
      <c r="U27" s="64"/>
      <c r="V27" s="115"/>
      <c r="W27" s="533" t="s">
        <v>146</v>
      </c>
      <c r="X27" s="210">
        <v>1</v>
      </c>
      <c r="Y27" s="534" t="s">
        <v>35</v>
      </c>
      <c r="Z27" s="535" t="s">
        <v>35</v>
      </c>
      <c r="AD27" s="109"/>
    </row>
    <row r="28" spans="1:32" ht="15.75" customHeight="1" x14ac:dyDescent="0.2">
      <c r="A28" s="25"/>
      <c r="B28" s="28"/>
      <c r="C28" s="19"/>
      <c r="D28" s="1134" t="s">
        <v>105</v>
      </c>
      <c r="E28" s="1136"/>
      <c r="F28" s="1138"/>
      <c r="G28" s="1140"/>
      <c r="H28" s="165"/>
      <c r="I28" s="134"/>
      <c r="J28" s="135"/>
      <c r="K28" s="176"/>
      <c r="L28" s="177"/>
      <c r="M28" s="166"/>
      <c r="N28" s="178"/>
      <c r="O28" s="178"/>
      <c r="P28" s="179"/>
      <c r="Q28" s="316"/>
      <c r="R28" s="293"/>
      <c r="S28" s="293"/>
      <c r="T28" s="317"/>
      <c r="U28" s="482"/>
      <c r="V28" s="531"/>
      <c r="W28" s="1167" t="s">
        <v>108</v>
      </c>
      <c r="X28" s="1169">
        <v>1</v>
      </c>
      <c r="Y28" s="1171"/>
      <c r="Z28" s="1173"/>
    </row>
    <row r="29" spans="1:32" ht="13.5" customHeight="1" thickBot="1" x14ac:dyDescent="0.25">
      <c r="A29" s="39"/>
      <c r="B29" s="14"/>
      <c r="C29" s="36"/>
      <c r="D29" s="1135"/>
      <c r="E29" s="1137"/>
      <c r="F29" s="1139"/>
      <c r="G29" s="1141"/>
      <c r="H29" s="313" t="s">
        <v>16</v>
      </c>
      <c r="I29" s="302">
        <f t="shared" ref="I29:P29" si="2">SUM(I25:I28)</f>
        <v>386</v>
      </c>
      <c r="J29" s="302">
        <f t="shared" si="2"/>
        <v>386</v>
      </c>
      <c r="K29" s="302">
        <f t="shared" si="2"/>
        <v>0</v>
      </c>
      <c r="L29" s="303">
        <f t="shared" si="2"/>
        <v>0</v>
      </c>
      <c r="M29" s="384">
        <f t="shared" si="2"/>
        <v>459</v>
      </c>
      <c r="N29" s="302">
        <f t="shared" si="2"/>
        <v>459</v>
      </c>
      <c r="O29" s="302">
        <f t="shared" si="2"/>
        <v>0</v>
      </c>
      <c r="P29" s="311">
        <f t="shared" si="2"/>
        <v>0</v>
      </c>
      <c r="Q29" s="302">
        <f>SUM(Q24:Q28)</f>
        <v>688.6</v>
      </c>
      <c r="R29" s="302">
        <f>SUM(R24:R28)</f>
        <v>688.6</v>
      </c>
      <c r="S29" s="302">
        <f>SUM(S25:S28)</f>
        <v>0</v>
      </c>
      <c r="T29" s="303">
        <f>SUM(T25:T28)</f>
        <v>0</v>
      </c>
      <c r="U29" s="312">
        <f>SUM(U24:U28)</f>
        <v>989</v>
      </c>
      <c r="V29" s="302">
        <f>SUM(V24:V28)</f>
        <v>999</v>
      </c>
      <c r="W29" s="1181"/>
      <c r="X29" s="1182"/>
      <c r="Y29" s="1183"/>
      <c r="Z29" s="1184"/>
      <c r="AB29" s="109"/>
    </row>
    <row r="30" spans="1:32" ht="14.25" customHeight="1" thickBot="1" x14ac:dyDescent="0.25">
      <c r="A30" s="24" t="s">
        <v>9</v>
      </c>
      <c r="B30" s="34" t="s">
        <v>9</v>
      </c>
      <c r="C30" s="972" t="s">
        <v>15</v>
      </c>
      <c r="D30" s="973"/>
      <c r="E30" s="973"/>
      <c r="F30" s="973"/>
      <c r="G30" s="1116"/>
      <c r="H30" s="1117"/>
      <c r="I30" s="20">
        <f>I29+I23+I21+I19</f>
        <v>597.20000000000005</v>
      </c>
      <c r="J30" s="20">
        <f>J29+J23+J21+J19</f>
        <v>597.20000000000005</v>
      </c>
      <c r="K30" s="20">
        <f>K29+K23+K21+K19</f>
        <v>0</v>
      </c>
      <c r="L30" s="20">
        <f>L29+L23+L21+L19</f>
        <v>0</v>
      </c>
      <c r="M30" s="20">
        <f>N30+P30</f>
        <v>679.3</v>
      </c>
      <c r="N30" s="20">
        <f t="shared" ref="N30:V30" si="3">N29+N23+N21+N19</f>
        <v>679.3</v>
      </c>
      <c r="O30" s="20">
        <f t="shared" si="3"/>
        <v>0</v>
      </c>
      <c r="P30" s="16">
        <f t="shared" si="3"/>
        <v>0</v>
      </c>
      <c r="Q30" s="17">
        <f t="shared" si="3"/>
        <v>1353.8</v>
      </c>
      <c r="R30" s="20">
        <f t="shared" si="3"/>
        <v>1353.8</v>
      </c>
      <c r="S30" s="20">
        <f t="shared" si="3"/>
        <v>0</v>
      </c>
      <c r="T30" s="20">
        <f t="shared" si="3"/>
        <v>0</v>
      </c>
      <c r="U30" s="16">
        <f t="shared" si="3"/>
        <v>1755.8</v>
      </c>
      <c r="V30" s="17">
        <f t="shared" si="3"/>
        <v>1881.4</v>
      </c>
      <c r="W30" s="990"/>
      <c r="X30" s="991"/>
      <c r="Y30" s="991"/>
      <c r="Z30" s="992"/>
    </row>
    <row r="31" spans="1:32" ht="15" customHeight="1" thickBot="1" x14ac:dyDescent="0.25">
      <c r="A31" s="21" t="s">
        <v>9</v>
      </c>
      <c r="B31" s="27" t="s">
        <v>10</v>
      </c>
      <c r="C31" s="1112" t="s">
        <v>82</v>
      </c>
      <c r="D31" s="1113"/>
      <c r="E31" s="1113"/>
      <c r="F31" s="1113"/>
      <c r="G31" s="1113"/>
      <c r="H31" s="1068"/>
      <c r="I31" s="1068"/>
      <c r="J31" s="1068"/>
      <c r="K31" s="1068"/>
      <c r="L31" s="1068"/>
      <c r="M31" s="1068"/>
      <c r="N31" s="1068"/>
      <c r="O31" s="1068"/>
      <c r="P31" s="1068"/>
      <c r="Q31" s="1068"/>
      <c r="R31" s="1068"/>
      <c r="S31" s="1068"/>
      <c r="T31" s="1068"/>
      <c r="U31" s="1068"/>
      <c r="V31" s="1068"/>
      <c r="W31" s="1068"/>
      <c r="X31" s="1068"/>
      <c r="Y31" s="1068"/>
      <c r="Z31" s="1069"/>
    </row>
    <row r="32" spans="1:32" ht="15.75" customHeight="1" x14ac:dyDescent="0.2">
      <c r="A32" s="21" t="s">
        <v>9</v>
      </c>
      <c r="B32" s="27" t="s">
        <v>10</v>
      </c>
      <c r="C32" s="22" t="s">
        <v>9</v>
      </c>
      <c r="D32" s="1114" t="s">
        <v>59</v>
      </c>
      <c r="E32" s="122"/>
      <c r="F32" s="284" t="s">
        <v>14</v>
      </c>
      <c r="G32" s="256">
        <v>2</v>
      </c>
      <c r="H32" s="168" t="s">
        <v>12</v>
      </c>
      <c r="I32" s="197"/>
      <c r="J32" s="197"/>
      <c r="K32" s="197"/>
      <c r="L32" s="197"/>
      <c r="M32" s="98"/>
      <c r="N32" s="94"/>
      <c r="O32" s="55"/>
      <c r="P32" s="95"/>
      <c r="Q32" s="314">
        <f>R32+T32</f>
        <v>7753.5</v>
      </c>
      <c r="R32" s="306">
        <f>977.8+2020.6+168.6+1997.4+832.1+76.1+1055.2+623.2</f>
        <v>7751</v>
      </c>
      <c r="S32" s="314">
        <f>611+1441+83.7+1276+419.7+11+721.3+305.4</f>
        <v>4869.1000000000004</v>
      </c>
      <c r="T32" s="307">
        <v>2.5</v>
      </c>
      <c r="U32" s="63">
        <f>1050+2169.4+159.9+2016.3+886.3+1342+595.3</f>
        <v>8219.2000000000007</v>
      </c>
      <c r="V32" s="55">
        <f>1000+2169.4+159.9+2016.3+1740.6+1343+660.1</f>
        <v>9089.2999999999993</v>
      </c>
      <c r="W32" s="524" t="s">
        <v>111</v>
      </c>
      <c r="X32" s="401">
        <f>5+28+16+357+25+16+11+172+30+10+57+8+90</f>
        <v>825</v>
      </c>
      <c r="Y32" s="398">
        <f>5+28+165+357+25+16+11+167+30+61+8+90</f>
        <v>963</v>
      </c>
      <c r="Z32" s="399">
        <f>6+29+170+357+25+16+11+168+30+65+8+90</f>
        <v>975</v>
      </c>
      <c r="AA32" s="116"/>
    </row>
    <row r="33" spans="1:31" ht="15.75" customHeight="1" x14ac:dyDescent="0.2">
      <c r="A33" s="525"/>
      <c r="B33" s="526"/>
      <c r="C33" s="19"/>
      <c r="D33" s="1115"/>
      <c r="E33" s="278"/>
      <c r="F33" s="255"/>
      <c r="G33" s="257"/>
      <c r="H33" s="396" t="s">
        <v>28</v>
      </c>
      <c r="I33" s="201"/>
      <c r="J33" s="202"/>
      <c r="K33" s="202"/>
      <c r="L33" s="203"/>
      <c r="M33" s="191"/>
      <c r="N33" s="135"/>
      <c r="O33" s="143"/>
      <c r="P33" s="171"/>
      <c r="Q33" s="315">
        <f>R33+T33</f>
        <v>1154.4000000000001</v>
      </c>
      <c r="R33" s="300">
        <f>353+603.5+30+20+111.9+20</f>
        <v>1138.4000000000001</v>
      </c>
      <c r="S33" s="315"/>
      <c r="T33" s="301">
        <f>4+5+7</f>
        <v>16</v>
      </c>
      <c r="U33" s="172">
        <f>353+607.5+30+13+119+20</f>
        <v>1142.5</v>
      </c>
      <c r="V33" s="143">
        <f>353+607.5+30+13+119+20</f>
        <v>1142.5</v>
      </c>
      <c r="W33" s="514" t="s">
        <v>43</v>
      </c>
      <c r="X33" s="402">
        <f>73.2+460+262+14+27</f>
        <v>836</v>
      </c>
      <c r="Y33" s="405">
        <f>73.2+460+262+14+27</f>
        <v>836</v>
      </c>
      <c r="Z33" s="403">
        <f>73.5+460+262+14+27</f>
        <v>837</v>
      </c>
      <c r="AA33" s="74"/>
    </row>
    <row r="34" spans="1:31" ht="26.25" customHeight="1" x14ac:dyDescent="0.2">
      <c r="A34" s="525"/>
      <c r="B34" s="526"/>
      <c r="C34" s="19"/>
      <c r="D34" s="510" t="s">
        <v>114</v>
      </c>
      <c r="E34" s="119"/>
      <c r="F34" s="255"/>
      <c r="G34" s="257"/>
      <c r="H34" s="99" t="s">
        <v>20</v>
      </c>
      <c r="I34" s="404">
        <v>171.7</v>
      </c>
      <c r="J34" s="404">
        <v>171.7</v>
      </c>
      <c r="K34" s="178"/>
      <c r="L34" s="211"/>
      <c r="M34" s="166">
        <f t="shared" ref="M34" si="4">N34+P34</f>
        <v>140</v>
      </c>
      <c r="N34" s="178">
        <v>140</v>
      </c>
      <c r="O34" s="178"/>
      <c r="P34" s="179"/>
      <c r="Q34" s="299">
        <f>R34+T34</f>
        <v>191</v>
      </c>
      <c r="R34" s="300">
        <f>140+51</f>
        <v>191</v>
      </c>
      <c r="S34" s="300"/>
      <c r="T34" s="301"/>
      <c r="U34" s="65">
        <f>140+26.6</f>
        <v>166.6</v>
      </c>
      <c r="V34" s="142">
        <f>140+51</f>
        <v>191</v>
      </c>
      <c r="W34" s="1167" t="s">
        <v>110</v>
      </c>
      <c r="X34" s="1169">
        <v>2</v>
      </c>
      <c r="Y34" s="1171"/>
      <c r="Z34" s="1173"/>
      <c r="AA34" s="116"/>
    </row>
    <row r="35" spans="1:31" ht="19.5" customHeight="1" x14ac:dyDescent="0.2">
      <c r="A35" s="38"/>
      <c r="B35" s="28"/>
      <c r="C35" s="19"/>
      <c r="D35" s="1063" t="s">
        <v>115</v>
      </c>
      <c r="E35" s="119"/>
      <c r="F35" s="255"/>
      <c r="G35" s="257"/>
      <c r="H35" s="164" t="s">
        <v>29</v>
      </c>
      <c r="I35" s="406"/>
      <c r="J35" s="407"/>
      <c r="K35" s="407"/>
      <c r="L35" s="408"/>
      <c r="M35" s="506"/>
      <c r="N35" s="409"/>
      <c r="O35" s="409"/>
      <c r="P35" s="410"/>
      <c r="Q35" s="297">
        <f>R35+T35</f>
        <v>456.7</v>
      </c>
      <c r="R35" s="292">
        <v>456.7</v>
      </c>
      <c r="S35" s="292"/>
      <c r="T35" s="298"/>
      <c r="U35" s="411"/>
      <c r="V35" s="536"/>
      <c r="W35" s="1168"/>
      <c r="X35" s="1170"/>
      <c r="Y35" s="1172"/>
      <c r="Z35" s="1174"/>
    </row>
    <row r="36" spans="1:31" ht="19.5" customHeight="1" x14ac:dyDescent="0.2">
      <c r="A36" s="38"/>
      <c r="B36" s="28"/>
      <c r="C36" s="19"/>
      <c r="D36" s="1063"/>
      <c r="E36" s="119"/>
      <c r="F36" s="255"/>
      <c r="G36" s="257"/>
      <c r="H36" s="165"/>
      <c r="I36" s="421"/>
      <c r="J36" s="422"/>
      <c r="K36" s="422"/>
      <c r="L36" s="423"/>
      <c r="M36" s="424"/>
      <c r="N36" s="206"/>
      <c r="O36" s="206"/>
      <c r="P36" s="207"/>
      <c r="Q36" s="316"/>
      <c r="R36" s="293"/>
      <c r="S36" s="293"/>
      <c r="T36" s="317"/>
      <c r="U36" s="208"/>
      <c r="V36" s="209"/>
      <c r="W36" s="1168"/>
      <c r="X36" s="1170"/>
      <c r="Y36" s="1172"/>
      <c r="Z36" s="1174"/>
    </row>
    <row r="37" spans="1:31" ht="27" customHeight="1" x14ac:dyDescent="0.2">
      <c r="A37" s="38"/>
      <c r="B37" s="28"/>
      <c r="C37" s="19"/>
      <c r="D37" s="512" t="s">
        <v>116</v>
      </c>
      <c r="E37" s="119"/>
      <c r="F37" s="255"/>
      <c r="G37" s="257"/>
      <c r="H37" s="165"/>
      <c r="I37" s="422"/>
      <c r="J37" s="422"/>
      <c r="K37" s="422"/>
      <c r="L37" s="425"/>
      <c r="M37" s="424"/>
      <c r="N37" s="206"/>
      <c r="O37" s="206"/>
      <c r="P37" s="207"/>
      <c r="Q37" s="316"/>
      <c r="R37" s="293"/>
      <c r="S37" s="293"/>
      <c r="T37" s="317"/>
      <c r="U37" s="208"/>
      <c r="V37" s="209"/>
      <c r="W37" s="515"/>
      <c r="X37" s="516"/>
      <c r="Y37" s="517"/>
      <c r="Z37" s="218"/>
    </row>
    <row r="38" spans="1:31" ht="26.25" customHeight="1" x14ac:dyDescent="0.2">
      <c r="A38" s="525"/>
      <c r="B38" s="526"/>
      <c r="C38" s="40"/>
      <c r="D38" s="510" t="s">
        <v>117</v>
      </c>
      <c r="E38" s="119"/>
      <c r="F38" s="255"/>
      <c r="G38" s="257"/>
      <c r="H38" s="90"/>
      <c r="I38" s="427"/>
      <c r="J38" s="427"/>
      <c r="K38" s="427"/>
      <c r="L38" s="428"/>
      <c r="M38" s="424"/>
      <c r="N38" s="180"/>
      <c r="O38" s="180"/>
      <c r="P38" s="426"/>
      <c r="Q38" s="316"/>
      <c r="R38" s="293"/>
      <c r="S38" s="293"/>
      <c r="T38" s="317"/>
      <c r="U38" s="64"/>
      <c r="V38" s="139"/>
      <c r="W38" s="515"/>
      <c r="X38" s="516"/>
      <c r="Y38" s="517"/>
      <c r="Z38" s="518"/>
    </row>
    <row r="39" spans="1:31" ht="27.75" customHeight="1" x14ac:dyDescent="0.2">
      <c r="A39" s="25"/>
      <c r="B39" s="28"/>
      <c r="C39" s="19"/>
      <c r="D39" s="510" t="s">
        <v>135</v>
      </c>
      <c r="E39" s="119"/>
      <c r="F39" s="255"/>
      <c r="G39" s="257"/>
      <c r="H39" s="90"/>
      <c r="I39" s="429">
        <f>J39+L39</f>
        <v>6.5</v>
      </c>
      <c r="J39" s="180">
        <v>6.5</v>
      </c>
      <c r="K39" s="180"/>
      <c r="L39" s="212"/>
      <c r="M39" s="424"/>
      <c r="N39" s="180"/>
      <c r="O39" s="180"/>
      <c r="P39" s="426"/>
      <c r="Q39" s="316"/>
      <c r="R39" s="293"/>
      <c r="S39" s="293"/>
      <c r="T39" s="317"/>
      <c r="U39" s="64"/>
      <c r="V39" s="139"/>
      <c r="W39" s="515"/>
      <c r="X39" s="516"/>
      <c r="Y39" s="517"/>
      <c r="Z39" s="518"/>
    </row>
    <row r="40" spans="1:31" ht="26.25" customHeight="1" x14ac:dyDescent="0.2">
      <c r="A40" s="25"/>
      <c r="B40" s="28"/>
      <c r="C40" s="19"/>
      <c r="D40" s="1063" t="s">
        <v>152</v>
      </c>
      <c r="E40" s="119"/>
      <c r="F40" s="255"/>
      <c r="G40" s="257"/>
      <c r="H40" s="90"/>
      <c r="I40" s="429"/>
      <c r="J40" s="180"/>
      <c r="K40" s="180"/>
      <c r="L40" s="212"/>
      <c r="M40" s="424">
        <f t="shared" ref="M40" si="5">N40+P40</f>
        <v>76.099999999999994</v>
      </c>
      <c r="N40" s="180">
        <v>76.099999999999994</v>
      </c>
      <c r="O40" s="180">
        <v>11</v>
      </c>
      <c r="P40" s="426"/>
      <c r="Q40" s="430"/>
      <c r="R40" s="293"/>
      <c r="S40" s="293"/>
      <c r="T40" s="317"/>
      <c r="U40" s="64"/>
      <c r="V40" s="139"/>
      <c r="W40" s="515"/>
      <c r="X40" s="516"/>
      <c r="Y40" s="517"/>
      <c r="Z40" s="173"/>
      <c r="AB40" s="109"/>
      <c r="AD40" s="109"/>
    </row>
    <row r="41" spans="1:31" ht="26.25" customHeight="1" x14ac:dyDescent="0.2">
      <c r="A41" s="25"/>
      <c r="B41" s="28"/>
      <c r="C41" s="19"/>
      <c r="D41" s="1063"/>
      <c r="E41" s="119"/>
      <c r="F41" s="255"/>
      <c r="G41" s="257"/>
      <c r="H41" s="90"/>
      <c r="I41" s="427"/>
      <c r="J41" s="427"/>
      <c r="K41" s="180"/>
      <c r="L41" s="212"/>
      <c r="M41" s="424"/>
      <c r="N41" s="180"/>
      <c r="O41" s="180"/>
      <c r="P41" s="426"/>
      <c r="Q41" s="316"/>
      <c r="R41" s="293"/>
      <c r="S41" s="293"/>
      <c r="T41" s="317"/>
      <c r="U41" s="64"/>
      <c r="V41" s="139"/>
      <c r="W41" s="515"/>
      <c r="X41" s="516"/>
      <c r="Y41" s="517"/>
      <c r="Z41" s="518"/>
    </row>
    <row r="42" spans="1:31" ht="14.25" customHeight="1" thickBot="1" x14ac:dyDescent="0.25">
      <c r="A42" s="538"/>
      <c r="B42" s="253"/>
      <c r="C42" s="254"/>
      <c r="D42" s="987"/>
      <c r="E42" s="527"/>
      <c r="F42" s="539"/>
      <c r="G42" s="540"/>
      <c r="H42" s="505"/>
      <c r="I42" s="541"/>
      <c r="J42" s="542"/>
      <c r="K42" s="264"/>
      <c r="L42" s="543"/>
      <c r="M42" s="263"/>
      <c r="N42" s="544"/>
      <c r="O42" s="544"/>
      <c r="P42" s="545"/>
      <c r="Q42" s="546"/>
      <c r="R42" s="547"/>
      <c r="S42" s="547"/>
      <c r="T42" s="548"/>
      <c r="U42" s="549"/>
      <c r="V42" s="550"/>
      <c r="W42" s="519"/>
      <c r="X42" s="520"/>
      <c r="Y42" s="521"/>
      <c r="Z42" s="522"/>
    </row>
    <row r="43" spans="1:31" ht="29.25" customHeight="1" x14ac:dyDescent="0.2">
      <c r="A43" s="38"/>
      <c r="B43" s="28"/>
      <c r="C43" s="19"/>
      <c r="D43" s="118" t="s">
        <v>118</v>
      </c>
      <c r="E43" s="988" t="s">
        <v>153</v>
      </c>
      <c r="F43" s="255"/>
      <c r="G43" s="257"/>
      <c r="H43" s="90"/>
      <c r="I43" s="427"/>
      <c r="J43" s="427"/>
      <c r="K43" s="427"/>
      <c r="L43" s="428"/>
      <c r="M43" s="424"/>
      <c r="N43" s="180"/>
      <c r="O43" s="180"/>
      <c r="P43" s="426"/>
      <c r="Q43" s="316"/>
      <c r="R43" s="293"/>
      <c r="S43" s="293"/>
      <c r="T43" s="317"/>
      <c r="U43" s="64"/>
      <c r="V43" s="139"/>
      <c r="W43" s="515"/>
      <c r="X43" s="213"/>
      <c r="Y43" s="214"/>
      <c r="Z43" s="218"/>
    </row>
    <row r="44" spans="1:31" ht="16.5" customHeight="1" x14ac:dyDescent="0.2">
      <c r="A44" s="38"/>
      <c r="B44" s="28"/>
      <c r="C44" s="19"/>
      <c r="D44" s="1010" t="s">
        <v>119</v>
      </c>
      <c r="E44" s="988"/>
      <c r="F44" s="1001"/>
      <c r="G44" s="1003"/>
      <c r="H44" s="110"/>
      <c r="I44" s="415"/>
      <c r="J44" s="412"/>
      <c r="K44" s="412"/>
      <c r="L44" s="416"/>
      <c r="M44" s="288"/>
      <c r="N44" s="289"/>
      <c r="O44" s="289"/>
      <c r="P44" s="290"/>
      <c r="Q44" s="323"/>
      <c r="R44" s="324"/>
      <c r="S44" s="324"/>
      <c r="T44" s="322"/>
      <c r="U44" s="413"/>
      <c r="V44" s="114"/>
      <c r="W44" s="431"/>
      <c r="X44" s="417"/>
      <c r="Y44" s="418"/>
      <c r="Z44" s="419"/>
    </row>
    <row r="45" spans="1:31" ht="13.5" customHeight="1" thickBot="1" x14ac:dyDescent="0.25">
      <c r="A45" s="24"/>
      <c r="B45" s="14"/>
      <c r="C45" s="397"/>
      <c r="D45" s="1011"/>
      <c r="E45" s="989"/>
      <c r="F45" s="1002"/>
      <c r="G45" s="1004"/>
      <c r="H45" s="313" t="s">
        <v>16</v>
      </c>
      <c r="I45" s="354">
        <f>SUM(I34:I44)</f>
        <v>178.2</v>
      </c>
      <c r="J45" s="385">
        <f>SUM(J34:J44)</f>
        <v>178.2</v>
      </c>
      <c r="K45" s="303">
        <f>SUM(K34:K44)</f>
        <v>0</v>
      </c>
      <c r="L45" s="386">
        <f>SUM(L34:L44)</f>
        <v>0</v>
      </c>
      <c r="M45" s="384">
        <f>N45+P45</f>
        <v>216.1</v>
      </c>
      <c r="N45" s="303">
        <f>SUM(N34:N44)</f>
        <v>216.1</v>
      </c>
      <c r="O45" s="385">
        <f>SUM(O34:O44)</f>
        <v>11</v>
      </c>
      <c r="P45" s="311">
        <f>SUM(P34:P44)</f>
        <v>0</v>
      </c>
      <c r="Q45" s="384">
        <f>R45+T45</f>
        <v>9555.6</v>
      </c>
      <c r="R45" s="303">
        <f>SUM(R32:R44)</f>
        <v>9537.1</v>
      </c>
      <c r="S45" s="385">
        <f>SUM(S32:S44)</f>
        <v>4869.1000000000004</v>
      </c>
      <c r="T45" s="311">
        <f>SUM(T32:T44)</f>
        <v>18.5</v>
      </c>
      <c r="U45" s="312">
        <f>SUM(U32:U44)</f>
        <v>9528.2999999999993</v>
      </c>
      <c r="V45" s="303">
        <f>SUM(V32:V44)</f>
        <v>10422.799999999999</v>
      </c>
      <c r="W45" s="523"/>
      <c r="X45" s="484"/>
      <c r="Y45" s="485"/>
      <c r="Z45" s="486"/>
    </row>
    <row r="46" spans="1:31" ht="26.25" customHeight="1" x14ac:dyDescent="0.2">
      <c r="A46" s="387" t="s">
        <v>9</v>
      </c>
      <c r="B46" s="388" t="s">
        <v>10</v>
      </c>
      <c r="C46" s="19" t="s">
        <v>10</v>
      </c>
      <c r="D46" s="259" t="s">
        <v>60</v>
      </c>
      <c r="E46" s="370"/>
      <c r="F46" s="367"/>
      <c r="G46" s="359"/>
      <c r="H46" s="90"/>
      <c r="I46" s="129"/>
      <c r="J46" s="130"/>
      <c r="K46" s="130"/>
      <c r="L46" s="141"/>
      <c r="M46" s="260"/>
      <c r="N46" s="130"/>
      <c r="O46" s="130"/>
      <c r="P46" s="186"/>
      <c r="Q46" s="316"/>
      <c r="R46" s="293"/>
      <c r="S46" s="293"/>
      <c r="T46" s="317"/>
      <c r="U46" s="145"/>
      <c r="V46" s="59"/>
      <c r="W46" s="52"/>
      <c r="X46" s="72"/>
      <c r="Y46" s="79"/>
      <c r="Z46" s="78"/>
    </row>
    <row r="47" spans="1:31" ht="116.25" customHeight="1" x14ac:dyDescent="0.2">
      <c r="A47" s="368"/>
      <c r="B47" s="369"/>
      <c r="C47" s="19"/>
      <c r="D47" s="259" t="s">
        <v>144</v>
      </c>
      <c r="E47" s="440" t="s">
        <v>95</v>
      </c>
      <c r="F47" s="513" t="s">
        <v>14</v>
      </c>
      <c r="G47" s="511" t="s">
        <v>35</v>
      </c>
      <c r="H47" s="90" t="s">
        <v>12</v>
      </c>
      <c r="I47" s="140"/>
      <c r="J47" s="130"/>
      <c r="K47" s="140"/>
      <c r="L47" s="141"/>
      <c r="M47" s="123">
        <f>N47+P47</f>
        <v>45</v>
      </c>
      <c r="N47" s="130">
        <v>45</v>
      </c>
      <c r="O47" s="140"/>
      <c r="P47" s="186"/>
      <c r="Q47" s="320">
        <f>R47+T47</f>
        <v>40</v>
      </c>
      <c r="R47" s="293">
        <v>40</v>
      </c>
      <c r="S47" s="320"/>
      <c r="T47" s="317"/>
      <c r="U47" s="145">
        <v>150</v>
      </c>
      <c r="V47" s="59"/>
      <c r="W47" s="52" t="s">
        <v>109</v>
      </c>
      <c r="X47" s="124">
        <v>2</v>
      </c>
      <c r="Y47" s="79"/>
      <c r="Z47" s="78"/>
      <c r="AE47" s="109"/>
    </row>
    <row r="48" spans="1:31" ht="18" customHeight="1" x14ac:dyDescent="0.2">
      <c r="A48" s="368"/>
      <c r="B48" s="369"/>
      <c r="C48" s="19"/>
      <c r="D48" s="1118" t="s">
        <v>137</v>
      </c>
      <c r="E48" s="996" t="s">
        <v>103</v>
      </c>
      <c r="F48" s="1142"/>
      <c r="G48" s="979"/>
      <c r="H48" s="90"/>
      <c r="I48" s="129"/>
      <c r="J48" s="130"/>
      <c r="K48" s="130"/>
      <c r="L48" s="141"/>
      <c r="M48" s="260"/>
      <c r="N48" s="130"/>
      <c r="O48" s="130"/>
      <c r="P48" s="186"/>
      <c r="Q48" s="316"/>
      <c r="R48" s="293"/>
      <c r="S48" s="293"/>
      <c r="T48" s="317"/>
      <c r="U48" s="145"/>
      <c r="V48" s="59"/>
      <c r="W48" s="1041" t="s">
        <v>104</v>
      </c>
      <c r="X48" s="433"/>
      <c r="Y48" s="79">
        <v>100</v>
      </c>
      <c r="Z48" s="78"/>
    </row>
    <row r="49" spans="1:31" ht="18" customHeight="1" x14ac:dyDescent="0.2">
      <c r="A49" s="368"/>
      <c r="B49" s="369"/>
      <c r="C49" s="19"/>
      <c r="D49" s="1118"/>
      <c r="E49" s="996"/>
      <c r="F49" s="1142"/>
      <c r="G49" s="979"/>
      <c r="H49" s="90"/>
      <c r="I49" s="129"/>
      <c r="J49" s="130"/>
      <c r="K49" s="130"/>
      <c r="L49" s="141"/>
      <c r="M49" s="260"/>
      <c r="N49" s="130"/>
      <c r="O49" s="130"/>
      <c r="P49" s="186"/>
      <c r="Q49" s="316"/>
      <c r="R49" s="293"/>
      <c r="S49" s="293"/>
      <c r="T49" s="317"/>
      <c r="U49" s="145"/>
      <c r="V49" s="59"/>
      <c r="W49" s="1041"/>
      <c r="X49" s="432"/>
      <c r="Y49" s="79"/>
      <c r="Z49" s="78"/>
    </row>
    <row r="50" spans="1:31" ht="18" customHeight="1" x14ac:dyDescent="0.2">
      <c r="A50" s="29"/>
      <c r="B50" s="32"/>
      <c r="C50" s="44"/>
      <c r="D50" s="1118"/>
      <c r="E50" s="996"/>
      <c r="F50" s="1142"/>
      <c r="G50" s="979"/>
      <c r="H50" s="100"/>
      <c r="I50" s="136"/>
      <c r="J50" s="137"/>
      <c r="K50" s="137"/>
      <c r="L50" s="138"/>
      <c r="M50" s="107"/>
      <c r="N50" s="137"/>
      <c r="O50" s="137"/>
      <c r="P50" s="108"/>
      <c r="Q50" s="323"/>
      <c r="R50" s="324"/>
      <c r="S50" s="324"/>
      <c r="T50" s="322"/>
      <c r="U50" s="145"/>
      <c r="V50" s="59"/>
      <c r="W50" s="1041"/>
      <c r="X50" s="433"/>
      <c r="Y50" s="79"/>
      <c r="Z50" s="78"/>
    </row>
    <row r="51" spans="1:31" ht="13.5" customHeight="1" thickBot="1" x14ac:dyDescent="0.25">
      <c r="A51" s="29"/>
      <c r="B51" s="32"/>
      <c r="C51" s="44"/>
      <c r="D51" s="1118"/>
      <c r="E51" s="1119"/>
      <c r="F51" s="1142"/>
      <c r="G51" s="979"/>
      <c r="H51" s="313" t="s">
        <v>16</v>
      </c>
      <c r="I51" s="303">
        <f>J51+L51</f>
        <v>0</v>
      </c>
      <c r="J51" s="385"/>
      <c r="K51" s="303"/>
      <c r="L51" s="304">
        <f>SUM(L48:L50)</f>
        <v>0</v>
      </c>
      <c r="M51" s="354"/>
      <c r="N51" s="385"/>
      <c r="O51" s="303"/>
      <c r="P51" s="386"/>
      <c r="Q51" s="303">
        <f>R51+T51</f>
        <v>40</v>
      </c>
      <c r="R51" s="385">
        <f>SUM(R47:R50)</f>
        <v>40</v>
      </c>
      <c r="S51" s="303"/>
      <c r="T51" s="304"/>
      <c r="U51" s="312">
        <f>SUM(U47:U50)</f>
        <v>150</v>
      </c>
      <c r="V51" s="311"/>
      <c r="W51" s="1123"/>
      <c r="X51" s="434"/>
      <c r="Y51" s="435"/>
      <c r="Z51" s="436"/>
      <c r="AB51" s="109"/>
    </row>
    <row r="52" spans="1:31" ht="27.75" customHeight="1" x14ac:dyDescent="0.2">
      <c r="A52" s="21" t="s">
        <v>9</v>
      </c>
      <c r="B52" s="27" t="s">
        <v>10</v>
      </c>
      <c r="C52" s="22" t="s">
        <v>11</v>
      </c>
      <c r="D52" s="439" t="s">
        <v>49</v>
      </c>
      <c r="E52" s="1128"/>
      <c r="F52" s="975" t="s">
        <v>14</v>
      </c>
      <c r="G52" s="1130">
        <v>6</v>
      </c>
      <c r="H52" s="102" t="s">
        <v>12</v>
      </c>
      <c r="I52" s="57"/>
      <c r="J52" s="128"/>
      <c r="K52" s="57"/>
      <c r="L52" s="133"/>
      <c r="M52" s="442"/>
      <c r="N52" s="47"/>
      <c r="O52" s="128"/>
      <c r="P52" s="60"/>
      <c r="Q52" s="330">
        <f>R52+T52</f>
        <v>68.900000000000006</v>
      </c>
      <c r="R52" s="295">
        <f>10+58.9</f>
        <v>68.900000000000006</v>
      </c>
      <c r="S52" s="330"/>
      <c r="T52" s="296"/>
      <c r="U52" s="61">
        <v>110.3</v>
      </c>
      <c r="V52" s="57"/>
      <c r="W52" s="441" t="s">
        <v>121</v>
      </c>
      <c r="X52" s="104">
        <v>2</v>
      </c>
      <c r="Y52" s="105">
        <v>1</v>
      </c>
      <c r="Z52" s="106"/>
      <c r="AC52" s="109"/>
      <c r="AD52" s="109"/>
    </row>
    <row r="53" spans="1:31" ht="27.75" customHeight="1" x14ac:dyDescent="0.2">
      <c r="A53" s="368"/>
      <c r="B53" s="369"/>
      <c r="C53" s="19"/>
      <c r="D53" s="374" t="s">
        <v>138</v>
      </c>
      <c r="E53" s="1129"/>
      <c r="F53" s="976"/>
      <c r="G53" s="1131"/>
      <c r="H53" s="90"/>
      <c r="I53" s="140"/>
      <c r="J53" s="130"/>
      <c r="K53" s="140"/>
      <c r="L53" s="141"/>
      <c r="M53" s="260"/>
      <c r="N53" s="140"/>
      <c r="O53" s="130"/>
      <c r="P53" s="59"/>
      <c r="Q53" s="320"/>
      <c r="R53" s="293"/>
      <c r="S53" s="320"/>
      <c r="T53" s="317"/>
      <c r="U53" s="145"/>
      <c r="V53" s="140"/>
      <c r="W53" s="375"/>
      <c r="X53" s="72"/>
      <c r="Y53" s="79"/>
      <c r="Z53" s="78"/>
    </row>
    <row r="54" spans="1:31" ht="27.75" customHeight="1" x14ac:dyDescent="0.2">
      <c r="A54" s="368"/>
      <c r="B54" s="369"/>
      <c r="C54" s="19"/>
      <c r="D54" s="374" t="s">
        <v>120</v>
      </c>
      <c r="E54" s="1129"/>
      <c r="F54" s="976"/>
      <c r="G54" s="1131"/>
      <c r="H54" s="90"/>
      <c r="I54" s="140"/>
      <c r="J54" s="130"/>
      <c r="K54" s="140"/>
      <c r="L54" s="141"/>
      <c r="M54" s="260"/>
      <c r="N54" s="140"/>
      <c r="O54" s="130"/>
      <c r="P54" s="59"/>
      <c r="Q54" s="320"/>
      <c r="R54" s="293"/>
      <c r="S54" s="320"/>
      <c r="T54" s="317"/>
      <c r="U54" s="145"/>
      <c r="V54" s="140"/>
      <c r="W54" s="375"/>
      <c r="X54" s="72"/>
      <c r="Y54" s="79"/>
      <c r="Z54" s="78"/>
    </row>
    <row r="55" spans="1:31" ht="16.5" customHeight="1" x14ac:dyDescent="0.2">
      <c r="A55" s="368"/>
      <c r="B55" s="369"/>
      <c r="C55" s="19"/>
      <c r="D55" s="1124" t="s">
        <v>139</v>
      </c>
      <c r="E55" s="1129"/>
      <c r="F55" s="976"/>
      <c r="G55" s="1131"/>
      <c r="H55" s="90"/>
      <c r="I55" s="140"/>
      <c r="J55" s="130"/>
      <c r="K55" s="140"/>
      <c r="L55" s="141"/>
      <c r="M55" s="260"/>
      <c r="N55" s="140"/>
      <c r="O55" s="130"/>
      <c r="P55" s="59"/>
      <c r="Q55" s="443"/>
      <c r="R55" s="293"/>
      <c r="S55" s="320"/>
      <c r="T55" s="317"/>
      <c r="U55" s="145"/>
      <c r="V55" s="140"/>
      <c r="W55" s="375"/>
      <c r="X55" s="72"/>
      <c r="Y55" s="79"/>
      <c r="Z55" s="78"/>
    </row>
    <row r="56" spans="1:31" ht="14.25" customHeight="1" thickBot="1" x14ac:dyDescent="0.25">
      <c r="A56" s="368"/>
      <c r="B56" s="369"/>
      <c r="C56" s="44"/>
      <c r="D56" s="1124"/>
      <c r="E56" s="1129"/>
      <c r="F56" s="976"/>
      <c r="G56" s="1131"/>
      <c r="H56" s="319" t="s">
        <v>16</v>
      </c>
      <c r="I56" s="325" t="e">
        <f>J56+L56</f>
        <v>#REF!</v>
      </c>
      <c r="J56" s="331" t="e">
        <f>SUM(#REF!)</f>
        <v>#REF!</v>
      </c>
      <c r="K56" s="325"/>
      <c r="L56" s="326"/>
      <c r="M56" s="332"/>
      <c r="N56" s="325"/>
      <c r="O56" s="331"/>
      <c r="P56" s="333"/>
      <c r="Q56" s="328">
        <f>R56+T56</f>
        <v>68.900000000000006</v>
      </c>
      <c r="R56" s="331">
        <f>SUM(R52:R55)</f>
        <v>68.900000000000006</v>
      </c>
      <c r="S56" s="325"/>
      <c r="T56" s="326"/>
      <c r="U56" s="329">
        <f>SUM(U52:U55)</f>
        <v>110.3</v>
      </c>
      <c r="V56" s="325"/>
      <c r="W56" s="84"/>
      <c r="X56" s="170"/>
      <c r="Y56" s="85"/>
      <c r="Z56" s="86"/>
    </row>
    <row r="57" spans="1:31" ht="14.25" customHeight="1" thickBot="1" x14ac:dyDescent="0.25">
      <c r="A57" s="444" t="s">
        <v>9</v>
      </c>
      <c r="B57" s="445" t="s">
        <v>10</v>
      </c>
      <c r="C57" s="1120" t="s">
        <v>15</v>
      </c>
      <c r="D57" s="1121"/>
      <c r="E57" s="1121"/>
      <c r="F57" s="1121"/>
      <c r="G57" s="1121"/>
      <c r="H57" s="1122"/>
      <c r="I57" s="20" t="e">
        <f>#REF!+#REF!+I45</f>
        <v>#REF!</v>
      </c>
      <c r="J57" s="15" t="e">
        <f>#REF!+#REF!+J45</f>
        <v>#REF!</v>
      </c>
      <c r="K57" s="17" t="e">
        <f>#REF!+#REF!+K45</f>
        <v>#REF!</v>
      </c>
      <c r="L57" s="285" t="e">
        <f>#REF!+#REF!+L45</f>
        <v>#REF!</v>
      </c>
      <c r="M57" s="153" t="e">
        <f>#REF!+#REF!+M45</f>
        <v>#REF!</v>
      </c>
      <c r="N57" s="17" t="e">
        <f>#REF!+#REF!+N45</f>
        <v>#REF!</v>
      </c>
      <c r="O57" s="15" t="e">
        <f>#REF!+#REF!+O45</f>
        <v>#REF!</v>
      </c>
      <c r="P57" s="286" t="e">
        <f>#REF!+#REF!+P45</f>
        <v>#REF!</v>
      </c>
      <c r="Q57" s="157">
        <f>R57+T57</f>
        <v>9664.5</v>
      </c>
      <c r="R57" s="162">
        <f>R56+R51+R45</f>
        <v>9646</v>
      </c>
      <c r="S57" s="157">
        <f>S56+S51+S45</f>
        <v>4869.1000000000004</v>
      </c>
      <c r="T57" s="161">
        <f>T56+T51+T45</f>
        <v>18.5</v>
      </c>
      <c r="U57" s="438">
        <f>U56+U51+U45</f>
        <v>9788.6</v>
      </c>
      <c r="V57" s="157">
        <f>V56+V51+V45</f>
        <v>10422.799999999999</v>
      </c>
      <c r="W57" s="1125"/>
      <c r="X57" s="1126"/>
      <c r="Y57" s="1126"/>
      <c r="Z57" s="1127"/>
    </row>
    <row r="58" spans="1:31" ht="14.25" customHeight="1" thickBot="1" x14ac:dyDescent="0.25">
      <c r="A58" s="18" t="s">
        <v>9</v>
      </c>
      <c r="B58" s="148" t="s">
        <v>11</v>
      </c>
      <c r="C58" s="1067" t="s">
        <v>136</v>
      </c>
      <c r="D58" s="1068"/>
      <c r="E58" s="1068"/>
      <c r="F58" s="1068"/>
      <c r="G58" s="1068"/>
      <c r="H58" s="1068"/>
      <c r="I58" s="1068"/>
      <c r="J58" s="1068"/>
      <c r="K58" s="1068"/>
      <c r="L58" s="1068"/>
      <c r="M58" s="1068"/>
      <c r="N58" s="1068"/>
      <c r="O58" s="1068"/>
      <c r="P58" s="1068"/>
      <c r="Q58" s="1068"/>
      <c r="R58" s="1068"/>
      <c r="S58" s="1068"/>
      <c r="T58" s="1068"/>
      <c r="U58" s="1068"/>
      <c r="V58" s="1068"/>
      <c r="W58" s="1068"/>
      <c r="X58" s="1068"/>
      <c r="Y58" s="1068"/>
      <c r="Z58" s="1069"/>
    </row>
    <row r="59" spans="1:31" ht="28.5" customHeight="1" x14ac:dyDescent="0.2">
      <c r="A59" s="21" t="s">
        <v>9</v>
      </c>
      <c r="B59" s="27" t="s">
        <v>11</v>
      </c>
      <c r="C59" s="22" t="s">
        <v>9</v>
      </c>
      <c r="D59" s="446" t="s">
        <v>125</v>
      </c>
      <c r="E59" s="378"/>
      <c r="F59" s="379" t="s">
        <v>14</v>
      </c>
      <c r="G59" s="381">
        <v>2</v>
      </c>
      <c r="H59" s="102" t="s">
        <v>12</v>
      </c>
      <c r="I59" s="127"/>
      <c r="J59" s="128"/>
      <c r="K59" s="128"/>
      <c r="L59" s="133"/>
      <c r="M59" s="452"/>
      <c r="N59" s="152"/>
      <c r="O59" s="57"/>
      <c r="P59" s="89"/>
      <c r="Q59" s="294">
        <f>R59+T59</f>
        <v>10</v>
      </c>
      <c r="R59" s="330">
        <v>10</v>
      </c>
      <c r="S59" s="295"/>
      <c r="T59" s="330"/>
      <c r="U59" s="61">
        <v>23</v>
      </c>
      <c r="V59" s="61">
        <v>23</v>
      </c>
      <c r="W59" s="219"/>
      <c r="X59" s="104"/>
      <c r="Y59" s="105"/>
      <c r="Z59" s="106"/>
    </row>
    <row r="60" spans="1:31" ht="39.75" customHeight="1" thickBot="1" x14ac:dyDescent="0.25">
      <c r="A60" s="24"/>
      <c r="B60" s="14"/>
      <c r="C60" s="254"/>
      <c r="D60" s="489" t="s">
        <v>123</v>
      </c>
      <c r="E60" s="371" t="s">
        <v>75</v>
      </c>
      <c r="F60" s="383"/>
      <c r="G60" s="488"/>
      <c r="H60" s="490"/>
      <c r="I60" s="261"/>
      <c r="J60" s="262"/>
      <c r="K60" s="262"/>
      <c r="L60" s="491"/>
      <c r="M60" s="492"/>
      <c r="N60" s="493"/>
      <c r="O60" s="494"/>
      <c r="P60" s="495"/>
      <c r="Q60" s="496"/>
      <c r="R60" s="497"/>
      <c r="S60" s="498"/>
      <c r="T60" s="497"/>
      <c r="U60" s="499"/>
      <c r="V60" s="499"/>
      <c r="W60" s="500" t="s">
        <v>140</v>
      </c>
      <c r="X60" s="225">
        <v>1</v>
      </c>
      <c r="Y60" s="216">
        <v>1</v>
      </c>
      <c r="Z60" s="217">
        <v>1</v>
      </c>
    </row>
    <row r="61" spans="1:31" ht="39.75" customHeight="1" x14ac:dyDescent="0.2">
      <c r="A61" s="368"/>
      <c r="B61" s="369"/>
      <c r="C61" s="19"/>
      <c r="D61" s="377" t="s">
        <v>124</v>
      </c>
      <c r="E61" s="372" t="s">
        <v>78</v>
      </c>
      <c r="F61" s="380"/>
      <c r="G61" s="487"/>
      <c r="H61" s="437"/>
      <c r="I61" s="129"/>
      <c r="J61" s="130"/>
      <c r="K61" s="130"/>
      <c r="L61" s="141"/>
      <c r="M61" s="453"/>
      <c r="N61" s="454"/>
      <c r="O61" s="455"/>
      <c r="P61" s="456"/>
      <c r="Q61" s="457"/>
      <c r="R61" s="458"/>
      <c r="S61" s="459"/>
      <c r="T61" s="458"/>
      <c r="U61" s="460"/>
      <c r="V61" s="460"/>
      <c r="W61" s="376" t="s">
        <v>72</v>
      </c>
      <c r="X61" s="258"/>
      <c r="Y61" s="214">
        <v>1</v>
      </c>
      <c r="Z61" s="215">
        <v>1</v>
      </c>
      <c r="AA61" s="109"/>
    </row>
    <row r="62" spans="1:31" ht="24.75" customHeight="1" x14ac:dyDescent="0.2">
      <c r="A62" s="368"/>
      <c r="B62" s="369"/>
      <c r="C62" s="19"/>
      <c r="D62" s="1005" t="s">
        <v>74</v>
      </c>
      <c r="E62" s="996" t="s">
        <v>76</v>
      </c>
      <c r="F62" s="380"/>
      <c r="G62" s="382"/>
      <c r="H62" s="110"/>
      <c r="I62" s="174"/>
      <c r="J62" s="137"/>
      <c r="K62" s="174"/>
      <c r="L62" s="138"/>
      <c r="M62" s="453"/>
      <c r="N62" s="454"/>
      <c r="O62" s="455"/>
      <c r="P62" s="456"/>
      <c r="Q62" s="457"/>
      <c r="R62" s="458"/>
      <c r="S62" s="459"/>
      <c r="T62" s="458"/>
      <c r="U62" s="460"/>
      <c r="V62" s="460"/>
      <c r="W62" s="389" t="s">
        <v>122</v>
      </c>
      <c r="X62" s="220"/>
      <c r="Y62" s="221">
        <v>1</v>
      </c>
      <c r="Z62" s="222">
        <v>1</v>
      </c>
    </row>
    <row r="63" spans="1:31" ht="18" customHeight="1" thickBot="1" x14ac:dyDescent="0.25">
      <c r="A63" s="24"/>
      <c r="B63" s="14"/>
      <c r="C63" s="45"/>
      <c r="D63" s="1006"/>
      <c r="E63" s="997"/>
      <c r="F63" s="383"/>
      <c r="G63" s="395"/>
      <c r="H63" s="313" t="s">
        <v>16</v>
      </c>
      <c r="I63" s="303"/>
      <c r="J63" s="365"/>
      <c r="K63" s="303"/>
      <c r="L63" s="304"/>
      <c r="M63" s="346">
        <f>SUM(M60:M62)</f>
        <v>0</v>
      </c>
      <c r="N63" s="336">
        <f t="shared" ref="N63" si="6">SUM(N60:N62)</f>
        <v>0</v>
      </c>
      <c r="O63" s="335"/>
      <c r="P63" s="347"/>
      <c r="Q63" s="334">
        <f>R63+T63</f>
        <v>10</v>
      </c>
      <c r="R63" s="335">
        <f>SUM(R59:R62)</f>
        <v>10</v>
      </c>
      <c r="S63" s="336">
        <f t="shared" ref="S63:T63" si="7">SUM(S60:S62)</f>
        <v>0</v>
      </c>
      <c r="T63" s="335">
        <f t="shared" si="7"/>
        <v>0</v>
      </c>
      <c r="U63" s="346">
        <f>SUM(U59:U62)</f>
        <v>23</v>
      </c>
      <c r="V63" s="348">
        <f>SUM(V59:V62)</f>
        <v>23</v>
      </c>
      <c r="W63" s="461" t="s">
        <v>145</v>
      </c>
      <c r="X63" s="225">
        <v>2</v>
      </c>
      <c r="Y63" s="216">
        <v>4</v>
      </c>
      <c r="Z63" s="217">
        <v>6</v>
      </c>
    </row>
    <row r="64" spans="1:31" ht="39.75" customHeight="1" x14ac:dyDescent="0.2">
      <c r="A64" s="368" t="s">
        <v>9</v>
      </c>
      <c r="B64" s="369" t="s">
        <v>11</v>
      </c>
      <c r="C64" s="19" t="s">
        <v>10</v>
      </c>
      <c r="D64" s="446" t="s">
        <v>126</v>
      </c>
      <c r="E64" s="152"/>
      <c r="F64" s="1079" t="s">
        <v>14</v>
      </c>
      <c r="G64" s="1076">
        <v>2</v>
      </c>
      <c r="H64" s="102" t="s">
        <v>12</v>
      </c>
      <c r="I64" s="127"/>
      <c r="J64" s="128"/>
      <c r="K64" s="128"/>
      <c r="L64" s="133"/>
      <c r="M64" s="462"/>
      <c r="N64" s="187"/>
      <c r="O64" s="188"/>
      <c r="P64" s="189"/>
      <c r="Q64" s="337"/>
      <c r="R64" s="338"/>
      <c r="S64" s="339"/>
      <c r="T64" s="338"/>
      <c r="U64" s="190">
        <v>90</v>
      </c>
      <c r="V64" s="190">
        <v>100</v>
      </c>
      <c r="W64" s="103"/>
      <c r="X64" s="104"/>
      <c r="Y64" s="105"/>
      <c r="Z64" s="106"/>
      <c r="AC64" s="109"/>
      <c r="AD64" s="109"/>
      <c r="AE64" s="109"/>
    </row>
    <row r="65" spans="1:31" ht="54.75" customHeight="1" x14ac:dyDescent="0.2">
      <c r="A65" s="25"/>
      <c r="B65" s="28"/>
      <c r="C65" s="19"/>
      <c r="D65" s="377" t="s">
        <v>127</v>
      </c>
      <c r="E65" s="447" t="s">
        <v>96</v>
      </c>
      <c r="F65" s="1080"/>
      <c r="G65" s="1077"/>
      <c r="H65" s="467"/>
      <c r="I65" s="454"/>
      <c r="J65" s="454"/>
      <c r="K65" s="454"/>
      <c r="L65" s="468"/>
      <c r="M65" s="469"/>
      <c r="N65" s="454"/>
      <c r="O65" s="454"/>
      <c r="P65" s="456"/>
      <c r="Q65" s="457"/>
      <c r="R65" s="459"/>
      <c r="S65" s="459"/>
      <c r="T65" s="470"/>
      <c r="U65" s="460"/>
      <c r="V65" s="471"/>
      <c r="W65" s="83" t="s">
        <v>132</v>
      </c>
      <c r="X65" s="220"/>
      <c r="Y65" s="221">
        <v>2</v>
      </c>
      <c r="Z65" s="222">
        <v>4</v>
      </c>
      <c r="AA65" s="181"/>
      <c r="AB65" s="109"/>
    </row>
    <row r="66" spans="1:31" ht="16.5" customHeight="1" x14ac:dyDescent="0.2">
      <c r="A66" s="368"/>
      <c r="B66" s="369"/>
      <c r="C66" s="19"/>
      <c r="D66" s="1005" t="s">
        <v>80</v>
      </c>
      <c r="E66" s="994" t="s">
        <v>81</v>
      </c>
      <c r="F66" s="1080"/>
      <c r="G66" s="1077"/>
      <c r="H66" s="463"/>
      <c r="I66" s="464"/>
      <c r="J66" s="465"/>
      <c r="K66" s="465"/>
      <c r="L66" s="466"/>
      <c r="M66" s="268"/>
      <c r="N66" s="269"/>
      <c r="O66" s="270"/>
      <c r="P66" s="271"/>
      <c r="Q66" s="448"/>
      <c r="R66" s="449"/>
      <c r="S66" s="450"/>
      <c r="T66" s="449"/>
      <c r="U66" s="451"/>
      <c r="V66" s="451"/>
      <c r="W66" s="993" t="s">
        <v>83</v>
      </c>
      <c r="X66" s="472">
        <v>0</v>
      </c>
      <c r="Y66" s="221">
        <v>1</v>
      </c>
      <c r="Z66" s="222">
        <v>0</v>
      </c>
      <c r="AA66" s="181"/>
      <c r="AD66" s="109"/>
    </row>
    <row r="67" spans="1:31" ht="15" customHeight="1" thickBot="1" x14ac:dyDescent="0.25">
      <c r="A67" s="368"/>
      <c r="B67" s="369"/>
      <c r="C67" s="44"/>
      <c r="D67" s="1005"/>
      <c r="E67" s="994"/>
      <c r="F67" s="1081"/>
      <c r="G67" s="1078"/>
      <c r="H67" s="349" t="s">
        <v>16</v>
      </c>
      <c r="I67" s="341"/>
      <c r="J67" s="342"/>
      <c r="K67" s="341"/>
      <c r="L67" s="350"/>
      <c r="M67" s="351"/>
      <c r="N67" s="342"/>
      <c r="O67" s="341"/>
      <c r="P67" s="352"/>
      <c r="Q67" s="340"/>
      <c r="R67" s="341"/>
      <c r="S67" s="342"/>
      <c r="T67" s="341"/>
      <c r="U67" s="353">
        <f>SUM(U64:U66)</f>
        <v>90</v>
      </c>
      <c r="V67" s="353">
        <f>SUM(V64:V66)</f>
        <v>100</v>
      </c>
      <c r="W67" s="993"/>
      <c r="X67" s="220"/>
      <c r="Y67" s="221"/>
      <c r="Z67" s="222"/>
      <c r="AA67" s="181"/>
    </row>
    <row r="68" spans="1:31" ht="27.75" customHeight="1" x14ac:dyDescent="0.2">
      <c r="A68" s="21" t="s">
        <v>9</v>
      </c>
      <c r="B68" s="27" t="s">
        <v>11</v>
      </c>
      <c r="C68" s="22" t="s">
        <v>11</v>
      </c>
      <c r="D68" s="446" t="s">
        <v>86</v>
      </c>
      <c r="E68" s="995" t="s">
        <v>90</v>
      </c>
      <c r="F68" s="975" t="s">
        <v>14</v>
      </c>
      <c r="G68" s="978" t="s">
        <v>35</v>
      </c>
      <c r="H68" s="102" t="s">
        <v>12</v>
      </c>
      <c r="I68" s="57"/>
      <c r="J68" s="128"/>
      <c r="K68" s="57"/>
      <c r="L68" s="133"/>
      <c r="M68" s="473">
        <f>N68+P68</f>
        <v>5</v>
      </c>
      <c r="N68" s="291">
        <v>5</v>
      </c>
      <c r="O68" s="152"/>
      <c r="P68" s="474"/>
      <c r="Q68" s="294">
        <f>R68+T68</f>
        <v>5</v>
      </c>
      <c r="R68" s="330">
        <v>5</v>
      </c>
      <c r="S68" s="295"/>
      <c r="T68" s="330"/>
      <c r="U68" s="62">
        <v>5</v>
      </c>
      <c r="V68" s="62">
        <v>15</v>
      </c>
      <c r="W68" s="400"/>
      <c r="X68" s="223"/>
      <c r="Y68" s="205"/>
      <c r="Z68" s="224"/>
      <c r="AE68" s="109"/>
    </row>
    <row r="69" spans="1:31" ht="16.5" customHeight="1" x14ac:dyDescent="0.2">
      <c r="A69" s="368"/>
      <c r="B69" s="369"/>
      <c r="C69" s="19"/>
      <c r="D69" s="373" t="s">
        <v>88</v>
      </c>
      <c r="E69" s="996"/>
      <c r="F69" s="976"/>
      <c r="G69" s="979"/>
      <c r="H69" s="90"/>
      <c r="I69" s="140"/>
      <c r="J69" s="130"/>
      <c r="K69" s="140"/>
      <c r="L69" s="141"/>
      <c r="M69" s="424"/>
      <c r="N69" s="180"/>
      <c r="O69" s="151"/>
      <c r="P69" s="475"/>
      <c r="Q69" s="316"/>
      <c r="R69" s="320"/>
      <c r="S69" s="293"/>
      <c r="T69" s="320"/>
      <c r="U69" s="64"/>
      <c r="V69" s="64"/>
      <c r="W69" s="480" t="s">
        <v>94</v>
      </c>
      <c r="X69" s="476">
        <v>1</v>
      </c>
      <c r="Y69" s="477">
        <v>1</v>
      </c>
      <c r="Z69" s="478">
        <v>1</v>
      </c>
    </row>
    <row r="70" spans="1:31" ht="15.75" customHeight="1" x14ac:dyDescent="0.2">
      <c r="A70" s="368"/>
      <c r="B70" s="369"/>
      <c r="C70" s="19"/>
      <c r="D70" s="1063" t="s">
        <v>87</v>
      </c>
      <c r="E70" s="996"/>
      <c r="F70" s="976"/>
      <c r="G70" s="979"/>
      <c r="H70" s="110"/>
      <c r="I70" s="174"/>
      <c r="J70" s="137"/>
      <c r="K70" s="174"/>
      <c r="L70" s="138"/>
      <c r="M70" s="288"/>
      <c r="N70" s="289"/>
      <c r="O70" s="289"/>
      <c r="P70" s="290"/>
      <c r="Q70" s="323"/>
      <c r="R70" s="321"/>
      <c r="S70" s="324"/>
      <c r="T70" s="321"/>
      <c r="U70" s="413"/>
      <c r="V70" s="413"/>
      <c r="W70" s="970" t="s">
        <v>89</v>
      </c>
      <c r="X70" s="479"/>
      <c r="Y70" s="477"/>
      <c r="Z70" s="478">
        <v>1</v>
      </c>
    </row>
    <row r="71" spans="1:31" ht="16.5" customHeight="1" thickBot="1" x14ac:dyDescent="0.25">
      <c r="A71" s="24"/>
      <c r="B71" s="14"/>
      <c r="C71" s="45"/>
      <c r="D71" s="987"/>
      <c r="E71" s="997"/>
      <c r="F71" s="977"/>
      <c r="G71" s="980"/>
      <c r="H71" s="313" t="s">
        <v>16</v>
      </c>
      <c r="I71" s="303"/>
      <c r="J71" s="385"/>
      <c r="K71" s="303"/>
      <c r="L71" s="304"/>
      <c r="M71" s="384">
        <f>SUM(M69:M70)</f>
        <v>0</v>
      </c>
      <c r="N71" s="385">
        <f t="shared" ref="N71" si="8">SUM(N69:N70)</f>
        <v>0</v>
      </c>
      <c r="O71" s="385"/>
      <c r="P71" s="386"/>
      <c r="Q71" s="303">
        <f>R71+T71</f>
        <v>5</v>
      </c>
      <c r="R71" s="385">
        <f>SUM(R68:R70)</f>
        <v>5</v>
      </c>
      <c r="S71" s="385"/>
      <c r="T71" s="303"/>
      <c r="U71" s="354">
        <f>SUM(U68:U70)</f>
        <v>5</v>
      </c>
      <c r="V71" s="312">
        <f>SUM(V68:V70)</f>
        <v>15</v>
      </c>
      <c r="W71" s="971"/>
      <c r="X71" s="225"/>
      <c r="Y71" s="216"/>
      <c r="Z71" s="217"/>
      <c r="AB71" s="109"/>
    </row>
    <row r="72" spans="1:31" ht="24" customHeight="1" x14ac:dyDescent="0.2">
      <c r="A72" s="21" t="s">
        <v>9</v>
      </c>
      <c r="B72" s="27" t="s">
        <v>11</v>
      </c>
      <c r="C72" s="22" t="s">
        <v>13</v>
      </c>
      <c r="D72" s="986" t="s">
        <v>101</v>
      </c>
      <c r="E72" s="1094" t="s">
        <v>84</v>
      </c>
      <c r="F72" s="981" t="s">
        <v>14</v>
      </c>
      <c r="G72" s="998" t="s">
        <v>35</v>
      </c>
      <c r="H72" s="182" t="s">
        <v>12</v>
      </c>
      <c r="I72" s="183"/>
      <c r="J72" s="184"/>
      <c r="K72" s="184"/>
      <c r="L72" s="185"/>
      <c r="M72" s="268">
        <f>N72+P72</f>
        <v>50</v>
      </c>
      <c r="N72" s="269">
        <v>50</v>
      </c>
      <c r="O72" s="270"/>
      <c r="P72" s="271"/>
      <c r="Q72" s="343">
        <f>R72+T72</f>
        <v>20.100000000000001</v>
      </c>
      <c r="R72" s="344">
        <v>20.100000000000001</v>
      </c>
      <c r="S72" s="345"/>
      <c r="T72" s="344"/>
      <c r="U72" s="226">
        <v>50</v>
      </c>
      <c r="V72" s="226">
        <v>50</v>
      </c>
      <c r="W72" s="227" t="s">
        <v>93</v>
      </c>
      <c r="X72" s="228">
        <v>4</v>
      </c>
      <c r="Y72" s="229">
        <v>10</v>
      </c>
      <c r="Z72" s="230">
        <v>10</v>
      </c>
      <c r="AA72" s="181"/>
    </row>
    <row r="73" spans="1:31" ht="17.25" customHeight="1" thickBot="1" x14ac:dyDescent="0.25">
      <c r="A73" s="24"/>
      <c r="B73" s="14"/>
      <c r="C73" s="45"/>
      <c r="D73" s="987"/>
      <c r="E73" s="1095"/>
      <c r="F73" s="982"/>
      <c r="G73" s="999"/>
      <c r="H73" s="355" t="s">
        <v>16</v>
      </c>
      <c r="I73" s="335"/>
      <c r="J73" s="336"/>
      <c r="K73" s="335"/>
      <c r="L73" s="347"/>
      <c r="M73" s="346">
        <f>M72</f>
        <v>50</v>
      </c>
      <c r="N73" s="336">
        <f t="shared" ref="N73" si="9">N72</f>
        <v>50</v>
      </c>
      <c r="O73" s="335"/>
      <c r="P73" s="347"/>
      <c r="Q73" s="334">
        <f>R73+T73</f>
        <v>20.100000000000001</v>
      </c>
      <c r="R73" s="335">
        <f>SUM(R72)</f>
        <v>20.100000000000001</v>
      </c>
      <c r="S73" s="336"/>
      <c r="T73" s="335"/>
      <c r="U73" s="346">
        <f t="shared" ref="U73:V73" si="10">U72</f>
        <v>50</v>
      </c>
      <c r="V73" s="348">
        <f t="shared" si="10"/>
        <v>50</v>
      </c>
      <c r="W73" s="231"/>
      <c r="X73" s="232"/>
      <c r="Y73" s="233"/>
      <c r="Z73" s="234"/>
      <c r="AA73" s="181"/>
    </row>
    <row r="74" spans="1:31" ht="14.25" customHeight="1" thickBot="1" x14ac:dyDescent="0.25">
      <c r="A74" s="30" t="s">
        <v>9</v>
      </c>
      <c r="B74" s="33" t="s">
        <v>11</v>
      </c>
      <c r="C74" s="972" t="s">
        <v>15</v>
      </c>
      <c r="D74" s="973"/>
      <c r="E74" s="973"/>
      <c r="F74" s="973"/>
      <c r="G74" s="973"/>
      <c r="H74" s="974"/>
      <c r="I74" s="153">
        <f>I73+I67+I63</f>
        <v>0</v>
      </c>
      <c r="J74" s="157">
        <f>J73+J67+J63</f>
        <v>0</v>
      </c>
      <c r="K74" s="15">
        <f>K73+K67+K63</f>
        <v>0</v>
      </c>
      <c r="L74" s="157">
        <f>L73+L67+L63</f>
        <v>0</v>
      </c>
      <c r="M74" s="154">
        <f t="shared" ref="M74:O74" si="11">M73+M67+M63+M71</f>
        <v>50</v>
      </c>
      <c r="N74" s="162">
        <f>N73+N67+N63+N71</f>
        <v>50</v>
      </c>
      <c r="O74" s="157">
        <f t="shared" si="11"/>
        <v>0</v>
      </c>
      <c r="P74" s="161">
        <f>P73+P67+P63+P71</f>
        <v>0</v>
      </c>
      <c r="Q74" s="163">
        <f t="shared" ref="Q74" si="12">Q73+Q67+Q63+Q71</f>
        <v>35.1</v>
      </c>
      <c r="R74" s="157">
        <f>R73+R67+R63+R71</f>
        <v>35.1</v>
      </c>
      <c r="S74" s="162"/>
      <c r="T74" s="157"/>
      <c r="U74" s="154">
        <f>U73+U67+U63+U71</f>
        <v>168</v>
      </c>
      <c r="V74" s="154">
        <f>V73+V67+V63+V71</f>
        <v>188</v>
      </c>
      <c r="W74" s="990"/>
      <c r="X74" s="991"/>
      <c r="Y74" s="991"/>
      <c r="Z74" s="992"/>
    </row>
    <row r="75" spans="1:31" ht="14.25" customHeight="1" thickBot="1" x14ac:dyDescent="0.25">
      <c r="A75" s="13" t="s">
        <v>9</v>
      </c>
      <c r="B75" s="1096" t="s">
        <v>17</v>
      </c>
      <c r="C75" s="1096"/>
      <c r="D75" s="1096"/>
      <c r="E75" s="1096"/>
      <c r="F75" s="1096"/>
      <c r="G75" s="1096"/>
      <c r="H75" s="1097"/>
      <c r="I75" s="159" t="e">
        <f>I57+I30+I74</f>
        <v>#REF!</v>
      </c>
      <c r="J75" s="158" t="e">
        <f>J57+J30+J74</f>
        <v>#REF!</v>
      </c>
      <c r="K75" s="160" t="e">
        <f>K57+K30+K74</f>
        <v>#REF!</v>
      </c>
      <c r="L75" s="158" t="e">
        <f>L57+L30+L74</f>
        <v>#REF!</v>
      </c>
      <c r="M75" s="125" t="e">
        <f>M74+M57+M30</f>
        <v>#REF!</v>
      </c>
      <c r="N75" s="125" t="e">
        <f>N74+N57+N30</f>
        <v>#REF!</v>
      </c>
      <c r="O75" s="125" t="e">
        <f>O74+O57+O30</f>
        <v>#REF!</v>
      </c>
      <c r="P75" s="125" t="e">
        <f>P74+P57+P30</f>
        <v>#REF!</v>
      </c>
      <c r="Q75" s="159">
        <f t="shared" ref="Q75:V75" si="13">Q57+Q30+Q74</f>
        <v>11053.4</v>
      </c>
      <c r="R75" s="158">
        <f t="shared" si="13"/>
        <v>11034.9</v>
      </c>
      <c r="S75" s="160">
        <f t="shared" si="13"/>
        <v>4869.1000000000004</v>
      </c>
      <c r="T75" s="158">
        <f t="shared" si="13"/>
        <v>18.5</v>
      </c>
      <c r="U75" s="125">
        <f t="shared" si="13"/>
        <v>11712.4</v>
      </c>
      <c r="V75" s="125">
        <f t="shared" si="13"/>
        <v>12492.2</v>
      </c>
      <c r="W75" s="1070"/>
      <c r="X75" s="1071"/>
      <c r="Y75" s="1071"/>
      <c r="Z75" s="1072"/>
    </row>
    <row r="76" spans="1:31" ht="14.25" customHeight="1" thickBot="1" x14ac:dyDescent="0.25">
      <c r="A76" s="31" t="s">
        <v>14</v>
      </c>
      <c r="B76" s="1101" t="s">
        <v>85</v>
      </c>
      <c r="C76" s="1101"/>
      <c r="D76" s="1101"/>
      <c r="E76" s="1101"/>
      <c r="F76" s="1101"/>
      <c r="G76" s="1101"/>
      <c r="H76" s="1102"/>
      <c r="I76" s="235" t="e">
        <f>I75</f>
        <v>#REF!</v>
      </c>
      <c r="J76" s="236" t="e">
        <f>J75</f>
        <v>#REF!</v>
      </c>
      <c r="K76" s="237" t="e">
        <f>K75</f>
        <v>#REF!</v>
      </c>
      <c r="L76" s="238" t="e">
        <f>L75</f>
        <v>#REF!</v>
      </c>
      <c r="M76" s="236" t="e">
        <f t="shared" ref="M76:P76" si="14">M75</f>
        <v>#REF!</v>
      </c>
      <c r="N76" s="237" t="e">
        <f t="shared" si="14"/>
        <v>#REF!</v>
      </c>
      <c r="O76" s="239" t="e">
        <f t="shared" si="14"/>
        <v>#REF!</v>
      </c>
      <c r="P76" s="236" t="e">
        <f t="shared" si="14"/>
        <v>#REF!</v>
      </c>
      <c r="Q76" s="240">
        <f t="shared" ref="Q76:U76" si="15">Q75</f>
        <v>11053.4</v>
      </c>
      <c r="R76" s="241">
        <f t="shared" si="15"/>
        <v>11034.9</v>
      </c>
      <c r="S76" s="237">
        <f t="shared" si="15"/>
        <v>4869.1000000000004</v>
      </c>
      <c r="T76" s="238">
        <f t="shared" si="15"/>
        <v>18.5</v>
      </c>
      <c r="U76" s="242">
        <f t="shared" si="15"/>
        <v>11712.4</v>
      </c>
      <c r="V76" s="239">
        <f>V75</f>
        <v>12492.2</v>
      </c>
      <c r="W76" s="1007"/>
      <c r="X76" s="1008"/>
      <c r="Y76" s="1008"/>
      <c r="Z76" s="1009"/>
    </row>
    <row r="77" spans="1:31" ht="22.5" customHeight="1" x14ac:dyDescent="0.2">
      <c r="A77" s="1085" t="s">
        <v>21</v>
      </c>
      <c r="B77" s="1085"/>
      <c r="C77" s="1085"/>
      <c r="D77" s="1085"/>
      <c r="E77" s="1085"/>
      <c r="F77" s="1085"/>
      <c r="G77" s="1085"/>
      <c r="H77" s="1085"/>
      <c r="I77" s="1085"/>
      <c r="J77" s="1085"/>
      <c r="K77" s="1085"/>
      <c r="L77" s="1085"/>
      <c r="M77" s="1085"/>
      <c r="N77" s="1085"/>
      <c r="O77" s="1085"/>
      <c r="P77" s="1085"/>
      <c r="Q77" s="1085"/>
      <c r="R77" s="1085"/>
      <c r="S77" s="1085"/>
      <c r="T77" s="1085"/>
      <c r="U77" s="1085"/>
      <c r="V77" s="1085"/>
      <c r="W77" s="243"/>
      <c r="X77" s="243"/>
      <c r="Y77" s="243"/>
      <c r="Z77" s="243"/>
    </row>
    <row r="78" spans="1:31" ht="13.5" customHeight="1" thickBot="1" x14ac:dyDescent="0.25">
      <c r="A78" s="2"/>
      <c r="B78" s="3"/>
      <c r="C78" s="3"/>
      <c r="D78" s="3"/>
      <c r="E78" s="46"/>
      <c r="F78" s="46"/>
      <c r="G78" s="43"/>
      <c r="H78" s="10"/>
      <c r="I78" s="1000"/>
      <c r="J78" s="1000"/>
      <c r="K78" s="1000"/>
      <c r="L78" s="1000"/>
      <c r="M78" s="1000"/>
      <c r="N78" s="1000"/>
      <c r="O78" s="1000"/>
      <c r="P78" s="1000"/>
      <c r="Q78" s="1000"/>
      <c r="R78" s="1000"/>
      <c r="S78" s="1000"/>
      <c r="T78" s="1000"/>
      <c r="U78" s="277"/>
      <c r="V78" s="277"/>
      <c r="W78" s="1090"/>
      <c r="X78" s="1090"/>
      <c r="Y78" s="1090"/>
      <c r="Z78" s="1090"/>
    </row>
    <row r="79" spans="1:31" ht="30.75" customHeight="1" x14ac:dyDescent="0.2">
      <c r="A79" s="1109" t="s">
        <v>19</v>
      </c>
      <c r="B79" s="1110"/>
      <c r="C79" s="1110"/>
      <c r="D79" s="1110"/>
      <c r="E79" s="1110"/>
      <c r="F79" s="1110"/>
      <c r="G79" s="1110"/>
      <c r="H79" s="1111"/>
      <c r="I79" s="1082" t="s">
        <v>91</v>
      </c>
      <c r="J79" s="1083"/>
      <c r="K79" s="1083"/>
      <c r="L79" s="1084"/>
      <c r="M79" s="1082" t="s">
        <v>65</v>
      </c>
      <c r="N79" s="1083"/>
      <c r="O79" s="1083"/>
      <c r="P79" s="1084"/>
      <c r="Q79" s="1082" t="s">
        <v>92</v>
      </c>
      <c r="R79" s="1083"/>
      <c r="S79" s="1083"/>
      <c r="T79" s="1084"/>
      <c r="U79" s="552" t="s">
        <v>154</v>
      </c>
      <c r="V79" s="553" t="s">
        <v>155</v>
      </c>
      <c r="W79" s="69"/>
      <c r="X79" s="1093"/>
      <c r="Y79" s="1093"/>
      <c r="Z79" s="1093"/>
    </row>
    <row r="80" spans="1:31" x14ac:dyDescent="0.2">
      <c r="A80" s="983" t="s">
        <v>32</v>
      </c>
      <c r="B80" s="984"/>
      <c r="C80" s="984"/>
      <c r="D80" s="984"/>
      <c r="E80" s="984"/>
      <c r="F80" s="984"/>
      <c r="G80" s="984"/>
      <c r="H80" s="985"/>
      <c r="I80" s="1086">
        <f>SUM(I81:L83)</f>
        <v>386</v>
      </c>
      <c r="J80" s="1087"/>
      <c r="K80" s="1087"/>
      <c r="L80" s="1088"/>
      <c r="M80" s="1086">
        <f>SUM(M81:P83)</f>
        <v>459</v>
      </c>
      <c r="N80" s="1087"/>
      <c r="O80" s="1087"/>
      <c r="P80" s="1088"/>
      <c r="Q80" s="1086">
        <f>SUM(Q81:T83)</f>
        <v>10405.700000000001</v>
      </c>
      <c r="R80" s="1087"/>
      <c r="S80" s="1087"/>
      <c r="T80" s="1088"/>
      <c r="U80" s="53">
        <f>SUM(U81:U83)</f>
        <v>11545.8</v>
      </c>
      <c r="V80" s="54">
        <f ca="1">SUM(V81:V83)</f>
        <v>12301.2</v>
      </c>
      <c r="W80" s="70"/>
      <c r="X80" s="1091"/>
      <c r="Y80" s="1091"/>
      <c r="Z80" s="1091"/>
    </row>
    <row r="81" spans="1:26" x14ac:dyDescent="0.2">
      <c r="A81" s="1060" t="s">
        <v>22</v>
      </c>
      <c r="B81" s="1061"/>
      <c r="C81" s="1061"/>
      <c r="D81" s="1061"/>
      <c r="E81" s="1061"/>
      <c r="F81" s="1061"/>
      <c r="G81" s="1061"/>
      <c r="H81" s="1062"/>
      <c r="I81" s="1057">
        <f>SUMIF(H13:H72,H13,I13:I72)</f>
        <v>0</v>
      </c>
      <c r="J81" s="1058"/>
      <c r="K81" s="1058"/>
      <c r="L81" s="1059"/>
      <c r="M81" s="1057">
        <f>SUMIF(H13:H72,H13,M13:M72)</f>
        <v>0</v>
      </c>
      <c r="N81" s="1058"/>
      <c r="O81" s="1058"/>
      <c r="P81" s="1059"/>
      <c r="Q81" s="1057">
        <f>SUMIF(H12:H72,"sb",Q12:Q72)</f>
        <v>8792.2999999999993</v>
      </c>
      <c r="R81" s="1058"/>
      <c r="S81" s="1058"/>
      <c r="T81" s="1059"/>
      <c r="U81" s="283">
        <f>SUMIF(H12:H72,"sb",U12:U72)</f>
        <v>9944.2999999999993</v>
      </c>
      <c r="V81" s="66">
        <f ca="1">SUMIF(H12:P72,"SB",V12:V72)</f>
        <v>10699.7</v>
      </c>
      <c r="W81" s="139"/>
      <c r="X81" s="1092"/>
      <c r="Y81" s="1092"/>
      <c r="Z81" s="1092"/>
    </row>
    <row r="82" spans="1:26" x14ac:dyDescent="0.2">
      <c r="A82" s="1103" t="s">
        <v>99</v>
      </c>
      <c r="B82" s="1104"/>
      <c r="C82" s="1104"/>
      <c r="D82" s="1104"/>
      <c r="E82" s="1104"/>
      <c r="F82" s="1104"/>
      <c r="G82" s="1104"/>
      <c r="H82" s="1105"/>
      <c r="I82" s="1064">
        <f>SUMIF(H13:H72,"sb(vr)",I13:I72)</f>
        <v>386</v>
      </c>
      <c r="J82" s="1065"/>
      <c r="K82" s="1065"/>
      <c r="L82" s="1066"/>
      <c r="M82" s="1064">
        <f>SUMIF(H13:H72,"sb(vr)",M13:M72)</f>
        <v>459</v>
      </c>
      <c r="N82" s="1065"/>
      <c r="O82" s="1065"/>
      <c r="P82" s="1066"/>
      <c r="Q82" s="1064">
        <f>SUMIF(H13:H72,"sb(vr)",Q13:Q72)</f>
        <v>459</v>
      </c>
      <c r="R82" s="1065"/>
      <c r="S82" s="1065"/>
      <c r="T82" s="1066"/>
      <c r="U82" s="283">
        <f>SUMIF(H12:H72,"sb(vr)",U12:U72)</f>
        <v>459</v>
      </c>
      <c r="V82" s="66">
        <f>SUMIF(H13:H72,"sb(vr)",V13:V72)</f>
        <v>459</v>
      </c>
      <c r="W82" s="139"/>
      <c r="X82" s="275"/>
      <c r="Y82" s="275"/>
      <c r="Z82" s="275"/>
    </row>
    <row r="83" spans="1:26" ht="17.25" customHeight="1" x14ac:dyDescent="0.2">
      <c r="A83" s="1106" t="s">
        <v>31</v>
      </c>
      <c r="B83" s="1107"/>
      <c r="C83" s="1107"/>
      <c r="D83" s="1107"/>
      <c r="E83" s="1107"/>
      <c r="F83" s="1107"/>
      <c r="G83" s="1107"/>
      <c r="H83" s="1108"/>
      <c r="I83" s="1073">
        <f>SUMIF(H13:H72,#REF!,I13:I72)</f>
        <v>0</v>
      </c>
      <c r="J83" s="1074"/>
      <c r="K83" s="1074"/>
      <c r="L83" s="1075"/>
      <c r="M83" s="1073">
        <f>SUMIF(H13:H72,#REF!,M13:M72)</f>
        <v>0</v>
      </c>
      <c r="N83" s="1074"/>
      <c r="O83" s="1074"/>
      <c r="P83" s="1075"/>
      <c r="Q83" s="1073">
        <f>SUMIF(H13:H72,"sb(sp)",Q13:Q72)</f>
        <v>1154.4000000000001</v>
      </c>
      <c r="R83" s="1074"/>
      <c r="S83" s="1074"/>
      <c r="T83" s="1075"/>
      <c r="U83" s="276">
        <f>SUMIF(H13:H72,"sb(sp)",U13:U72)</f>
        <v>1142.5</v>
      </c>
      <c r="V83" s="67">
        <f>SUMIF(H13:H72,"sb(sp)",V13:V72)</f>
        <v>1142.5</v>
      </c>
      <c r="W83" s="139"/>
      <c r="X83" s="1092"/>
      <c r="Y83" s="1092"/>
      <c r="Z83" s="1092"/>
    </row>
    <row r="84" spans="1:26" ht="13.5" customHeight="1" x14ac:dyDescent="0.2">
      <c r="A84" s="983" t="s">
        <v>33</v>
      </c>
      <c r="B84" s="984"/>
      <c r="C84" s="984"/>
      <c r="D84" s="984"/>
      <c r="E84" s="984"/>
      <c r="F84" s="984"/>
      <c r="G84" s="984"/>
      <c r="H84" s="985"/>
      <c r="I84" s="1098">
        <f>SUM(I85:L86)</f>
        <v>0</v>
      </c>
      <c r="J84" s="1099"/>
      <c r="K84" s="1099"/>
      <c r="L84" s="1100"/>
      <c r="M84" s="1098">
        <f>SUM(M85:P86)</f>
        <v>0</v>
      </c>
      <c r="N84" s="1099"/>
      <c r="O84" s="1099"/>
      <c r="P84" s="1100"/>
      <c r="Q84" s="1098">
        <f>SUM(Q85:T86)</f>
        <v>647.70000000000005</v>
      </c>
      <c r="R84" s="1099"/>
      <c r="S84" s="1099"/>
      <c r="T84" s="1100"/>
      <c r="U84" s="58">
        <f>SUM(U85:U86)</f>
        <v>166.6</v>
      </c>
      <c r="V84" s="68">
        <f>SUM(V85:V86)</f>
        <v>191</v>
      </c>
      <c r="W84" s="70"/>
      <c r="X84" s="1091"/>
      <c r="Y84" s="1091"/>
      <c r="Z84" s="1091"/>
    </row>
    <row r="85" spans="1:26" ht="13.5" customHeight="1" x14ac:dyDescent="0.2">
      <c r="A85" s="1060" t="s">
        <v>23</v>
      </c>
      <c r="B85" s="1061"/>
      <c r="C85" s="1061"/>
      <c r="D85" s="1061"/>
      <c r="E85" s="1061"/>
      <c r="F85" s="1061"/>
      <c r="G85" s="1061"/>
      <c r="H85" s="1062"/>
      <c r="I85" s="1057">
        <f>SUMIF(H13:H72,"es",I13:I72)</f>
        <v>0</v>
      </c>
      <c r="J85" s="1058"/>
      <c r="K85" s="1058"/>
      <c r="L85" s="1059"/>
      <c r="M85" s="1057">
        <f>SUMIF(H13:H72,#REF!,M13:M72)</f>
        <v>0</v>
      </c>
      <c r="N85" s="1058"/>
      <c r="O85" s="1058"/>
      <c r="P85" s="1059"/>
      <c r="Q85" s="1057">
        <f>SUMIF(H13:H72,"es",Q13:Q72)</f>
        <v>456.7</v>
      </c>
      <c r="R85" s="1058"/>
      <c r="S85" s="1058"/>
      <c r="T85" s="1059"/>
      <c r="U85" s="283">
        <f>SUMIF(H13:H72,H41,U13:U72)</f>
        <v>0</v>
      </c>
      <c r="V85" s="66">
        <f>SUMIF(H13:H72,"es",V13:V72)</f>
        <v>0</v>
      </c>
      <c r="W85" s="139"/>
      <c r="X85" s="1092"/>
      <c r="Y85" s="1092"/>
      <c r="Z85" s="1092"/>
    </row>
    <row r="86" spans="1:26" ht="13.5" customHeight="1" x14ac:dyDescent="0.2">
      <c r="A86" s="1060" t="s">
        <v>24</v>
      </c>
      <c r="B86" s="1061"/>
      <c r="C86" s="1061"/>
      <c r="D86" s="1061"/>
      <c r="E86" s="1061"/>
      <c r="F86" s="1061"/>
      <c r="G86" s="1061"/>
      <c r="H86" s="1062"/>
      <c r="I86" s="1057">
        <f>SUMIF(H13:H72,#REF!,I13:I72)</f>
        <v>0</v>
      </c>
      <c r="J86" s="1058"/>
      <c r="K86" s="1058"/>
      <c r="L86" s="1059"/>
      <c r="M86" s="1057">
        <f>SUMIF(H13:H72,#REF!,M13:M72)</f>
        <v>0</v>
      </c>
      <c r="N86" s="1058"/>
      <c r="O86" s="1058"/>
      <c r="P86" s="1059"/>
      <c r="Q86" s="1057">
        <f>SUMIF(H13:H72,"lrvb",Q13:Q72)</f>
        <v>191</v>
      </c>
      <c r="R86" s="1058"/>
      <c r="S86" s="1058"/>
      <c r="T86" s="1059"/>
      <c r="U86" s="283">
        <f>SUMIF(H13:H72,"lrvb",U13:U72)</f>
        <v>166.6</v>
      </c>
      <c r="V86" s="66">
        <f>SUMIF(H13:H72,"lrvb",V13:V72)</f>
        <v>191</v>
      </c>
      <c r="W86" s="139"/>
      <c r="X86" s="1092"/>
      <c r="Y86" s="1092"/>
      <c r="Z86" s="1092"/>
    </row>
    <row r="87" spans="1:26" ht="13.5" customHeight="1" thickBot="1" x14ac:dyDescent="0.25">
      <c r="A87" s="1054" t="s">
        <v>16</v>
      </c>
      <c r="B87" s="1055"/>
      <c r="C87" s="1055"/>
      <c r="D87" s="1055"/>
      <c r="E87" s="1055"/>
      <c r="F87" s="1055"/>
      <c r="G87" s="1055"/>
      <c r="H87" s="1056"/>
      <c r="I87" s="1051">
        <f>I84+I80</f>
        <v>386</v>
      </c>
      <c r="J87" s="1052"/>
      <c r="K87" s="1052"/>
      <c r="L87" s="1053"/>
      <c r="M87" s="1051">
        <f>M84+M80</f>
        <v>459</v>
      </c>
      <c r="N87" s="1052"/>
      <c r="O87" s="1052"/>
      <c r="P87" s="1053"/>
      <c r="Q87" s="1051">
        <f>Q84+Q80</f>
        <v>11053.4</v>
      </c>
      <c r="R87" s="1052"/>
      <c r="S87" s="1052"/>
      <c r="T87" s="1053"/>
      <c r="U87" s="311">
        <f>U84+U80</f>
        <v>11712.4</v>
      </c>
      <c r="V87" s="312">
        <f ca="1">V84+V80</f>
        <v>12492.2</v>
      </c>
      <c r="W87" s="70"/>
      <c r="X87" s="1091"/>
      <c r="Y87" s="1091"/>
      <c r="Z87" s="1091"/>
    </row>
    <row r="88" spans="1:26" x14ac:dyDescent="0.2">
      <c r="A88" s="47"/>
      <c r="B88" s="47"/>
      <c r="C88" s="47"/>
      <c r="D88" s="47"/>
      <c r="J88" s="126"/>
      <c r="N88" s="126"/>
      <c r="R88" s="126"/>
      <c r="U88" s="126"/>
      <c r="V88" s="126"/>
      <c r="W88" s="71"/>
      <c r="X88" s="1092"/>
      <c r="Y88" s="1092"/>
      <c r="Z88" s="1092"/>
    </row>
    <row r="89" spans="1:26" x14ac:dyDescent="0.2">
      <c r="I89" s="7"/>
      <c r="J89" s="126"/>
      <c r="M89" s="7"/>
      <c r="N89" s="126"/>
      <c r="Q89" s="126"/>
      <c r="R89" s="126"/>
      <c r="X89" s="1089"/>
      <c r="Y89" s="1089"/>
      <c r="Z89" s="1089"/>
    </row>
    <row r="90" spans="1:26" x14ac:dyDescent="0.2">
      <c r="R90" s="126"/>
      <c r="W90" s="10"/>
      <c r="X90" s="73"/>
      <c r="Y90" s="73"/>
      <c r="Z90" s="73"/>
    </row>
    <row r="91" spans="1:2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51"/>
      <c r="X91" s="1"/>
      <c r="Y91" s="1"/>
      <c r="Z91" s="1"/>
    </row>
    <row r="92" spans="1:2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49"/>
      <c r="X92" s="1"/>
      <c r="Y92" s="1"/>
      <c r="Z92" s="1"/>
    </row>
    <row r="93" spans="1:2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49"/>
      <c r="X93" s="1"/>
      <c r="Y93" s="1"/>
      <c r="Z93" s="1"/>
    </row>
    <row r="94" spans="1:2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49"/>
      <c r="X94" s="1"/>
      <c r="Y94" s="1"/>
      <c r="Z94" s="1"/>
    </row>
  </sheetData>
  <mergeCells count="160">
    <mergeCell ref="D18:D19"/>
    <mergeCell ref="E18:E19"/>
    <mergeCell ref="C11:Z11"/>
    <mergeCell ref="U5:U7"/>
    <mergeCell ref="X6:Z6"/>
    <mergeCell ref="B10:Z10"/>
    <mergeCell ref="D22:D23"/>
    <mergeCell ref="W34:W36"/>
    <mergeCell ref="X34:X36"/>
    <mergeCell ref="Y34:Y36"/>
    <mergeCell ref="Z34:Z36"/>
    <mergeCell ref="X25:X26"/>
    <mergeCell ref="Y25:Y26"/>
    <mergeCell ref="Z25:Z26"/>
    <mergeCell ref="W28:W29"/>
    <mergeCell ref="X28:X29"/>
    <mergeCell ref="Y28:Y29"/>
    <mergeCell ref="Z28:Z29"/>
    <mergeCell ref="W30:Z30"/>
    <mergeCell ref="W25:W26"/>
    <mergeCell ref="Z22:Z23"/>
    <mergeCell ref="H5:H7"/>
    <mergeCell ref="J6:K6"/>
    <mergeCell ref="Q5:T5"/>
    <mergeCell ref="I5:L5"/>
    <mergeCell ref="I6:I7"/>
    <mergeCell ref="D5:D7"/>
    <mergeCell ref="F5:F7"/>
    <mergeCell ref="T6:T7"/>
    <mergeCell ref="L6:L7"/>
    <mergeCell ref="M5:P5"/>
    <mergeCell ref="P6:P7"/>
    <mergeCell ref="W5:Z5"/>
    <mergeCell ref="Q6:Q7"/>
    <mergeCell ref="Q81:T81"/>
    <mergeCell ref="E22:E23"/>
    <mergeCell ref="F22:F23"/>
    <mergeCell ref="G22:G23"/>
    <mergeCell ref="C31:Z31"/>
    <mergeCell ref="D32:D33"/>
    <mergeCell ref="C30:H30"/>
    <mergeCell ref="D48:D51"/>
    <mergeCell ref="E48:E51"/>
    <mergeCell ref="C57:H57"/>
    <mergeCell ref="W48:W51"/>
    <mergeCell ref="D55:D56"/>
    <mergeCell ref="W57:Z57"/>
    <mergeCell ref="E52:E56"/>
    <mergeCell ref="F52:F56"/>
    <mergeCell ref="G52:G56"/>
    <mergeCell ref="D25:D26"/>
    <mergeCell ref="D28:D29"/>
    <mergeCell ref="E28:E29"/>
    <mergeCell ref="F28:F29"/>
    <mergeCell ref="G28:G29"/>
    <mergeCell ref="D35:D36"/>
    <mergeCell ref="F48:F51"/>
    <mergeCell ref="G48:G51"/>
    <mergeCell ref="M85:P85"/>
    <mergeCell ref="E72:E73"/>
    <mergeCell ref="B75:H75"/>
    <mergeCell ref="D70:D71"/>
    <mergeCell ref="M84:P84"/>
    <mergeCell ref="I84:L84"/>
    <mergeCell ref="M83:P83"/>
    <mergeCell ref="A85:H85"/>
    <mergeCell ref="Q86:T86"/>
    <mergeCell ref="Q82:T82"/>
    <mergeCell ref="Q84:T84"/>
    <mergeCell ref="Q85:T85"/>
    <mergeCell ref="A84:H84"/>
    <mergeCell ref="B76:H76"/>
    <mergeCell ref="A82:H82"/>
    <mergeCell ref="A83:H83"/>
    <mergeCell ref="I83:L83"/>
    <mergeCell ref="A81:H81"/>
    <mergeCell ref="A79:H79"/>
    <mergeCell ref="I78:L78"/>
    <mergeCell ref="Q79:T79"/>
    <mergeCell ref="Q80:T80"/>
    <mergeCell ref="M80:P80"/>
    <mergeCell ref="I81:L81"/>
    <mergeCell ref="X89:Z89"/>
    <mergeCell ref="W78:Z78"/>
    <mergeCell ref="X84:Z84"/>
    <mergeCell ref="X86:Z86"/>
    <mergeCell ref="X79:Z79"/>
    <mergeCell ref="X80:Z80"/>
    <mergeCell ref="X87:Z87"/>
    <mergeCell ref="X88:Z88"/>
    <mergeCell ref="X85:Z85"/>
    <mergeCell ref="X81:Z81"/>
    <mergeCell ref="X83:Z83"/>
    <mergeCell ref="Q87:T87"/>
    <mergeCell ref="A87:H87"/>
    <mergeCell ref="I86:L86"/>
    <mergeCell ref="I87:L87"/>
    <mergeCell ref="A86:H86"/>
    <mergeCell ref="D40:D42"/>
    <mergeCell ref="M86:P86"/>
    <mergeCell ref="I85:L85"/>
    <mergeCell ref="E62:E63"/>
    <mergeCell ref="I82:L82"/>
    <mergeCell ref="M87:P87"/>
    <mergeCell ref="M82:P82"/>
    <mergeCell ref="M81:P81"/>
    <mergeCell ref="C58:Z58"/>
    <mergeCell ref="D66:D67"/>
    <mergeCell ref="W75:Z75"/>
    <mergeCell ref="Q83:T83"/>
    <mergeCell ref="G64:G67"/>
    <mergeCell ref="F64:F67"/>
    <mergeCell ref="M78:P78"/>
    <mergeCell ref="M79:P79"/>
    <mergeCell ref="A77:V77"/>
    <mergeCell ref="I79:L79"/>
    <mergeCell ref="I80:L80"/>
    <mergeCell ref="A1:Z1"/>
    <mergeCell ref="W22:W23"/>
    <mergeCell ref="X22:X23"/>
    <mergeCell ref="Y22:Y23"/>
    <mergeCell ref="A9:Z9"/>
    <mergeCell ref="R6:S6"/>
    <mergeCell ref="D20:D21"/>
    <mergeCell ref="E20:E21"/>
    <mergeCell ref="F20:F21"/>
    <mergeCell ref="G20:G21"/>
    <mergeCell ref="A2:Z2"/>
    <mergeCell ref="A5:A7"/>
    <mergeCell ref="B5:B7"/>
    <mergeCell ref="A3:Z3"/>
    <mergeCell ref="E5:E7"/>
    <mergeCell ref="G5:G7"/>
    <mergeCell ref="Y4:Z4"/>
    <mergeCell ref="M6:M7"/>
    <mergeCell ref="N6:O6"/>
    <mergeCell ref="W18:W19"/>
    <mergeCell ref="A8:Z8"/>
    <mergeCell ref="V5:V7"/>
    <mergeCell ref="C5:C7"/>
    <mergeCell ref="W6:W7"/>
    <mergeCell ref="W70:W71"/>
    <mergeCell ref="C74:H74"/>
    <mergeCell ref="F68:F71"/>
    <mergeCell ref="G68:G71"/>
    <mergeCell ref="F72:F73"/>
    <mergeCell ref="A80:H80"/>
    <mergeCell ref="D72:D73"/>
    <mergeCell ref="E43:E45"/>
    <mergeCell ref="W74:Z74"/>
    <mergeCell ref="W66:W67"/>
    <mergeCell ref="E66:E67"/>
    <mergeCell ref="E68:E71"/>
    <mergeCell ref="G72:G73"/>
    <mergeCell ref="Q78:T78"/>
    <mergeCell ref="F44:F45"/>
    <mergeCell ref="G44:G45"/>
    <mergeCell ref="D62:D63"/>
    <mergeCell ref="W76:Z76"/>
    <mergeCell ref="D44:D45"/>
  </mergeCells>
  <phoneticPr fontId="3" type="noConversion"/>
  <printOptions horizontalCentered="1"/>
  <pageMargins left="0" right="0" top="0.39370078740157483" bottom="0.39370078740157483" header="0" footer="0"/>
  <pageSetup paperSize="9" orientation="landscape" r:id="rId1"/>
  <headerFooter alignWithMargins="0">
    <oddFooter>Puslapių &amp;P</oddFooter>
  </headerFooter>
  <rowBreaks count="4" manualBreakCount="4">
    <brk id="23" max="25" man="1"/>
    <brk id="42" max="25" man="1"/>
    <brk id="57" max="25" man="1"/>
    <brk id="71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29"/>
  <sheetViews>
    <sheetView tabSelected="1" zoomScaleNormal="100" zoomScaleSheetLayoutView="100" workbookViewId="0">
      <selection activeCell="R7" sqref="R7"/>
    </sheetView>
  </sheetViews>
  <sheetFormatPr defaultColWidth="9.140625" defaultRowHeight="12.75" x14ac:dyDescent="0.2"/>
  <cols>
    <col min="1" max="1" width="2.28515625" style="4" customWidth="1"/>
    <col min="2" max="2" width="2.42578125" style="4" customWidth="1"/>
    <col min="3" max="3" width="2.5703125" style="4" customWidth="1"/>
    <col min="4" max="4" width="27.28515625" style="4" customWidth="1"/>
    <col min="5" max="5" width="3.5703125" style="843" customWidth="1"/>
    <col min="6" max="6" width="2.7109375" style="41" customWidth="1"/>
    <col min="7" max="7" width="8.5703125" style="843" customWidth="1"/>
    <col min="8" max="8" width="10.140625" style="670" customWidth="1"/>
    <col min="9" max="9" width="9.5703125" style="758" customWidth="1"/>
    <col min="10" max="10" width="9.140625" style="758" customWidth="1"/>
    <col min="11" max="11" width="24.7109375" style="50" customWidth="1"/>
    <col min="12" max="14" width="4.5703125" style="41" customWidth="1"/>
    <col min="15" max="15" width="9.140625" style="669"/>
    <col min="16" max="16384" width="9.140625" style="1"/>
  </cols>
  <sheetData>
    <row r="1" spans="1:18" s="11" customFormat="1" x14ac:dyDescent="0.2">
      <c r="A1" s="1012" t="s">
        <v>217</v>
      </c>
      <c r="B1" s="1012"/>
      <c r="C1" s="1012"/>
      <c r="D1" s="1012"/>
      <c r="E1" s="1012"/>
      <c r="F1" s="1012"/>
      <c r="G1" s="1012"/>
      <c r="H1" s="1012"/>
      <c r="I1" s="1012"/>
      <c r="J1" s="1012"/>
      <c r="K1" s="1012"/>
      <c r="L1" s="1012"/>
      <c r="M1" s="1012"/>
      <c r="N1" s="1012"/>
      <c r="O1" s="838"/>
    </row>
    <row r="2" spans="1:18" s="11" customFormat="1" x14ac:dyDescent="0.2">
      <c r="A2" s="1024" t="s">
        <v>61</v>
      </c>
      <c r="B2" s="1025"/>
      <c r="C2" s="1025"/>
      <c r="D2" s="1025"/>
      <c r="E2" s="1025"/>
      <c r="F2" s="1025"/>
      <c r="G2" s="1025"/>
      <c r="H2" s="1025"/>
      <c r="I2" s="1025"/>
      <c r="J2" s="1025"/>
      <c r="K2" s="1025"/>
      <c r="L2" s="1025"/>
      <c r="M2" s="1025"/>
      <c r="N2" s="1025"/>
      <c r="O2" s="838"/>
    </row>
    <row r="3" spans="1:18" s="11" customFormat="1" x14ac:dyDescent="0.2">
      <c r="A3" s="1012" t="s">
        <v>149</v>
      </c>
      <c r="B3" s="1032"/>
      <c r="C3" s="1032"/>
      <c r="D3" s="1032"/>
      <c r="E3" s="1032"/>
      <c r="F3" s="1032"/>
      <c r="G3" s="1032"/>
      <c r="H3" s="1032"/>
      <c r="I3" s="1032"/>
      <c r="J3" s="1032"/>
      <c r="K3" s="1032"/>
      <c r="L3" s="1032"/>
      <c r="M3" s="1032"/>
      <c r="N3" s="1032"/>
      <c r="O3" s="838"/>
    </row>
    <row r="4" spans="1:18" s="11" customFormat="1" ht="13.5" thickBot="1" x14ac:dyDescent="0.25">
      <c r="A4" s="8"/>
      <c r="B4" s="8"/>
      <c r="C4" s="8"/>
      <c r="D4" s="8"/>
      <c r="E4" s="939"/>
      <c r="F4" s="42"/>
      <c r="G4" s="843"/>
      <c r="H4" s="670"/>
      <c r="I4" s="671"/>
      <c r="J4" s="671"/>
      <c r="K4" s="48"/>
      <c r="L4" s="42"/>
      <c r="M4" s="1251" t="s">
        <v>190</v>
      </c>
      <c r="N4" s="1251"/>
      <c r="O4" s="838"/>
    </row>
    <row r="5" spans="1:18" s="11" customFormat="1" ht="13.5" customHeight="1" thickBot="1" x14ac:dyDescent="0.25">
      <c r="A5" s="1026" t="s">
        <v>1</v>
      </c>
      <c r="B5" s="1029" t="s">
        <v>2</v>
      </c>
      <c r="C5" s="1029" t="s">
        <v>3</v>
      </c>
      <c r="D5" s="1146" t="s">
        <v>25</v>
      </c>
      <c r="E5" s="1033" t="s">
        <v>4</v>
      </c>
      <c r="F5" s="1036" t="s">
        <v>5</v>
      </c>
      <c r="G5" s="1046" t="s">
        <v>6</v>
      </c>
      <c r="H5" s="1196" t="s">
        <v>156</v>
      </c>
      <c r="I5" s="1196" t="s">
        <v>67</v>
      </c>
      <c r="J5" s="1196" t="s">
        <v>157</v>
      </c>
      <c r="K5" s="1154" t="s">
        <v>150</v>
      </c>
      <c r="L5" s="1155"/>
      <c r="M5" s="1155"/>
      <c r="N5" s="1156"/>
      <c r="O5" s="838"/>
    </row>
    <row r="6" spans="1:18" s="11" customFormat="1" ht="12.75" customHeight="1" x14ac:dyDescent="0.2">
      <c r="A6" s="1027"/>
      <c r="B6" s="1030"/>
      <c r="C6" s="1030"/>
      <c r="D6" s="1147"/>
      <c r="E6" s="1034"/>
      <c r="F6" s="1037"/>
      <c r="G6" s="1047"/>
      <c r="H6" s="1197"/>
      <c r="I6" s="1197"/>
      <c r="J6" s="1197"/>
      <c r="K6" s="1049" t="s">
        <v>25</v>
      </c>
      <c r="L6" s="1162" t="s">
        <v>191</v>
      </c>
      <c r="M6" s="1163"/>
      <c r="N6" s="1164"/>
      <c r="O6" s="838"/>
    </row>
    <row r="7" spans="1:18" s="11" customFormat="1" ht="101.25" customHeight="1" thickBot="1" x14ac:dyDescent="0.25">
      <c r="A7" s="1028"/>
      <c r="B7" s="1031"/>
      <c r="C7" s="1031"/>
      <c r="D7" s="1148"/>
      <c r="E7" s="1035"/>
      <c r="F7" s="1038"/>
      <c r="G7" s="1048"/>
      <c r="H7" s="1198"/>
      <c r="I7" s="1198"/>
      <c r="J7" s="1198"/>
      <c r="K7" s="1050"/>
      <c r="L7" s="82" t="s">
        <v>47</v>
      </c>
      <c r="M7" s="80" t="s">
        <v>68</v>
      </c>
      <c r="N7" s="81" t="s">
        <v>158</v>
      </c>
      <c r="O7" s="838"/>
    </row>
    <row r="8" spans="1:18" ht="13.5" customHeight="1" x14ac:dyDescent="0.2">
      <c r="A8" s="1043" t="s">
        <v>30</v>
      </c>
      <c r="B8" s="1044"/>
      <c r="C8" s="1044"/>
      <c r="D8" s="1044"/>
      <c r="E8" s="1044"/>
      <c r="F8" s="1044"/>
      <c r="G8" s="1044"/>
      <c r="H8" s="1044"/>
      <c r="I8" s="1044"/>
      <c r="J8" s="1044"/>
      <c r="K8" s="1044"/>
      <c r="L8" s="1044"/>
      <c r="M8" s="1044"/>
      <c r="N8" s="1045"/>
    </row>
    <row r="9" spans="1:18" ht="13.5" thickBot="1" x14ac:dyDescent="0.25">
      <c r="A9" s="1019" t="s">
        <v>34</v>
      </c>
      <c r="B9" s="1020"/>
      <c r="C9" s="1020"/>
      <c r="D9" s="1020"/>
      <c r="E9" s="1020"/>
      <c r="F9" s="1020"/>
      <c r="G9" s="1020"/>
      <c r="H9" s="1020"/>
      <c r="I9" s="1020"/>
      <c r="J9" s="1020"/>
      <c r="K9" s="1020"/>
      <c r="L9" s="1020"/>
      <c r="M9" s="1020"/>
      <c r="N9" s="1021"/>
    </row>
    <row r="10" spans="1:18" ht="13.5" thickBot="1" x14ac:dyDescent="0.25">
      <c r="A10" s="13" t="s">
        <v>9</v>
      </c>
      <c r="B10" s="1165" t="s">
        <v>107</v>
      </c>
      <c r="C10" s="1165"/>
      <c r="D10" s="1165"/>
      <c r="E10" s="1165"/>
      <c r="F10" s="1165"/>
      <c r="G10" s="1165"/>
      <c r="H10" s="1165"/>
      <c r="I10" s="1165"/>
      <c r="J10" s="1165"/>
      <c r="K10" s="1165"/>
      <c r="L10" s="1165"/>
      <c r="M10" s="1165"/>
      <c r="N10" s="1166"/>
    </row>
    <row r="11" spans="1:18" ht="13.5" thickBot="1" x14ac:dyDescent="0.25">
      <c r="A11" s="13" t="s">
        <v>9</v>
      </c>
      <c r="B11" s="14" t="s">
        <v>9</v>
      </c>
      <c r="C11" s="1159" t="s">
        <v>39</v>
      </c>
      <c r="D11" s="1159"/>
      <c r="E11" s="1159"/>
      <c r="F11" s="1159"/>
      <c r="G11" s="1159"/>
      <c r="H11" s="1159"/>
      <c r="I11" s="1159"/>
      <c r="J11" s="1159"/>
      <c r="K11" s="1159"/>
      <c r="L11" s="1160"/>
      <c r="M11" s="1160"/>
      <c r="N11" s="1161"/>
    </row>
    <row r="12" spans="1:18" ht="25.5" customHeight="1" x14ac:dyDescent="0.2">
      <c r="A12" s="23" t="s">
        <v>9</v>
      </c>
      <c r="B12" s="26" t="s">
        <v>9</v>
      </c>
      <c r="C12" s="22" t="s">
        <v>9</v>
      </c>
      <c r="D12" s="146" t="s">
        <v>40</v>
      </c>
      <c r="E12" s="1231" t="s">
        <v>182</v>
      </c>
      <c r="F12" s="937" t="s">
        <v>35</v>
      </c>
      <c r="G12" s="102" t="s">
        <v>12</v>
      </c>
      <c r="H12" s="849">
        <v>202735</v>
      </c>
      <c r="I12" s="673">
        <f>840/3.4528*1000</f>
        <v>243281</v>
      </c>
      <c r="J12" s="674">
        <f>1030/3.4528*1000</f>
        <v>298309</v>
      </c>
      <c r="K12" s="144" t="s">
        <v>192</v>
      </c>
      <c r="L12" s="76">
        <v>58</v>
      </c>
      <c r="M12" s="77">
        <v>58</v>
      </c>
      <c r="N12" s="75">
        <v>58</v>
      </c>
      <c r="R12" s="109"/>
    </row>
    <row r="13" spans="1:18" ht="27.75" customHeight="1" x14ac:dyDescent="0.2">
      <c r="A13" s="25"/>
      <c r="B13" s="28"/>
      <c r="C13" s="19"/>
      <c r="D13" s="943" t="s">
        <v>141</v>
      </c>
      <c r="E13" s="1232"/>
      <c r="F13" s="273"/>
      <c r="G13" s="165"/>
      <c r="H13" s="675"/>
      <c r="I13" s="676"/>
      <c r="J13" s="677"/>
      <c r="K13" s="559" t="s">
        <v>193</v>
      </c>
      <c r="L13" s="616">
        <v>2</v>
      </c>
      <c r="M13" s="560">
        <v>3</v>
      </c>
      <c r="N13" s="561">
        <v>3</v>
      </c>
    </row>
    <row r="14" spans="1:18" ht="27" customHeight="1" x14ac:dyDescent="0.2">
      <c r="A14" s="25"/>
      <c r="B14" s="28"/>
      <c r="C14" s="19"/>
      <c r="D14" s="118" t="s">
        <v>69</v>
      </c>
      <c r="E14" s="150"/>
      <c r="F14" s="273"/>
      <c r="G14" s="165"/>
      <c r="H14" s="675"/>
      <c r="I14" s="678"/>
      <c r="J14" s="679"/>
      <c r="K14" s="576"/>
      <c r="L14" s="629"/>
      <c r="M14" s="631"/>
      <c r="N14" s="620"/>
      <c r="P14" s="109"/>
    </row>
    <row r="15" spans="1:18" ht="54" customHeight="1" x14ac:dyDescent="0.2">
      <c r="A15" s="25"/>
      <c r="B15" s="28"/>
      <c r="C15" s="19"/>
      <c r="D15" s="615" t="s">
        <v>208</v>
      </c>
      <c r="E15" s="150"/>
      <c r="F15" s="273"/>
      <c r="G15" s="165"/>
      <c r="H15" s="675"/>
      <c r="I15" s="678"/>
      <c r="J15" s="679"/>
      <c r="K15" s="83"/>
      <c r="L15" s="628"/>
      <c r="M15" s="117"/>
      <c r="N15" s="193"/>
      <c r="P15" s="109"/>
    </row>
    <row r="16" spans="1:18" ht="40.5" customHeight="1" x14ac:dyDescent="0.2">
      <c r="A16" s="25"/>
      <c r="B16" s="28"/>
      <c r="C16" s="19"/>
      <c r="D16" s="946" t="s">
        <v>177</v>
      </c>
      <c r="E16" s="150"/>
      <c r="F16" s="273"/>
      <c r="G16" s="165"/>
      <c r="H16" s="675"/>
      <c r="I16" s="678"/>
      <c r="J16" s="679"/>
      <c r="K16" s="83"/>
      <c r="L16" s="628"/>
      <c r="M16" s="117"/>
      <c r="N16" s="193"/>
      <c r="P16" s="109"/>
    </row>
    <row r="17" spans="1:21" ht="14.25" customHeight="1" x14ac:dyDescent="0.2">
      <c r="A17" s="25"/>
      <c r="B17" s="28"/>
      <c r="C17" s="19"/>
      <c r="D17" s="1118" t="s">
        <v>159</v>
      </c>
      <c r="E17" s="150"/>
      <c r="F17" s="273"/>
      <c r="G17" s="420"/>
      <c r="H17" s="680"/>
      <c r="I17" s="681"/>
      <c r="J17" s="682"/>
      <c r="K17" s="1041"/>
      <c r="L17" s="628"/>
      <c r="M17" s="117"/>
      <c r="N17" s="193"/>
      <c r="P17" s="109"/>
    </row>
    <row r="18" spans="1:21" ht="13.5" thickBot="1" x14ac:dyDescent="0.25">
      <c r="A18" s="25"/>
      <c r="B18" s="28"/>
      <c r="C18" s="19"/>
      <c r="D18" s="1135"/>
      <c r="E18" s="950"/>
      <c r="F18" s="274"/>
      <c r="G18" s="310" t="s">
        <v>16</v>
      </c>
      <c r="H18" s="683">
        <f>SUM(H12:H17)</f>
        <v>202735</v>
      </c>
      <c r="I18" s="684">
        <f t="shared" ref="I18:J18" si="0">SUM(I12:I17)</f>
        <v>243281</v>
      </c>
      <c r="J18" s="684">
        <f t="shared" si="0"/>
        <v>298309</v>
      </c>
      <c r="K18" s="1042"/>
      <c r="L18" s="630"/>
      <c r="M18" s="281"/>
      <c r="N18" s="602"/>
      <c r="P18" s="109"/>
    </row>
    <row r="19" spans="1:21" ht="12.75" customHeight="1" x14ac:dyDescent="0.2">
      <c r="A19" s="23" t="s">
        <v>9</v>
      </c>
      <c r="B19" s="26" t="s">
        <v>9</v>
      </c>
      <c r="C19" s="22" t="s">
        <v>10</v>
      </c>
      <c r="D19" s="1249" t="s">
        <v>70</v>
      </c>
      <c r="E19" s="995"/>
      <c r="F19" s="978" t="s">
        <v>35</v>
      </c>
      <c r="G19" s="87" t="s">
        <v>12</v>
      </c>
      <c r="H19" s="672">
        <f>500/3.4528*1000</f>
        <v>144810</v>
      </c>
      <c r="I19" s="673">
        <f>600/3.4528*1000</f>
        <v>173772</v>
      </c>
      <c r="J19" s="674">
        <f>600/3.4528*1000</f>
        <v>173772</v>
      </c>
      <c r="K19" s="167" t="s">
        <v>194</v>
      </c>
      <c r="L19" s="940">
        <v>4</v>
      </c>
      <c r="M19" s="941">
        <v>5</v>
      </c>
      <c r="N19" s="964">
        <v>5</v>
      </c>
    </row>
    <row r="20" spans="1:21" ht="13.5" thickBot="1" x14ac:dyDescent="0.25">
      <c r="A20" s="25"/>
      <c r="B20" s="28"/>
      <c r="C20" s="19"/>
      <c r="D20" s="1135"/>
      <c r="E20" s="997"/>
      <c r="F20" s="980"/>
      <c r="G20" s="310" t="s">
        <v>16</v>
      </c>
      <c r="H20" s="683">
        <f>H19</f>
        <v>144810</v>
      </c>
      <c r="I20" s="685">
        <f>SUM(I19:I19)</f>
        <v>173772</v>
      </c>
      <c r="J20" s="686">
        <f>SUM(J19:J19)</f>
        <v>173772</v>
      </c>
      <c r="K20" s="282"/>
      <c r="L20" s="147"/>
      <c r="M20" s="281"/>
      <c r="N20" s="279"/>
      <c r="P20" s="109"/>
    </row>
    <row r="21" spans="1:21" ht="12.75" customHeight="1" x14ac:dyDescent="0.2">
      <c r="A21" s="23" t="s">
        <v>9</v>
      </c>
      <c r="B21" s="26" t="s">
        <v>9</v>
      </c>
      <c r="C21" s="22" t="s">
        <v>11</v>
      </c>
      <c r="D21" s="986" t="s">
        <v>63</v>
      </c>
      <c r="E21" s="995"/>
      <c r="F21" s="978" t="s">
        <v>35</v>
      </c>
      <c r="G21" s="87" t="s">
        <v>12</v>
      </c>
      <c r="H21" s="849">
        <v>9037</v>
      </c>
      <c r="I21" s="687">
        <f>31.2/3.4528*1000</f>
        <v>9036</v>
      </c>
      <c r="J21" s="688">
        <f>31.2/3.4528*1000</f>
        <v>9036</v>
      </c>
      <c r="K21" s="1013" t="s">
        <v>195</v>
      </c>
      <c r="L21" s="1015">
        <v>6</v>
      </c>
      <c r="M21" s="1017">
        <v>6</v>
      </c>
      <c r="N21" s="1187">
        <v>6</v>
      </c>
    </row>
    <row r="22" spans="1:21" ht="13.5" thickBot="1" x14ac:dyDescent="0.25">
      <c r="A22" s="25"/>
      <c r="B22" s="28"/>
      <c r="C22" s="19"/>
      <c r="D22" s="987"/>
      <c r="E22" s="997"/>
      <c r="F22" s="980"/>
      <c r="G22" s="310" t="s">
        <v>16</v>
      </c>
      <c r="H22" s="683">
        <f>H21</f>
        <v>9037</v>
      </c>
      <c r="I22" s="685">
        <f>SUM(I21:I21)</f>
        <v>9036</v>
      </c>
      <c r="J22" s="686">
        <f>SUM(J21:J21)</f>
        <v>9036</v>
      </c>
      <c r="K22" s="1014"/>
      <c r="L22" s="1016"/>
      <c r="M22" s="1018"/>
      <c r="N22" s="1188"/>
    </row>
    <row r="23" spans="1:21" ht="25.5" customHeight="1" x14ac:dyDescent="0.2">
      <c r="A23" s="37" t="s">
        <v>9</v>
      </c>
      <c r="B23" s="26" t="s">
        <v>9</v>
      </c>
      <c r="C23" s="22" t="s">
        <v>13</v>
      </c>
      <c r="D23" s="91" t="s">
        <v>106</v>
      </c>
      <c r="E23" s="244"/>
      <c r="F23" s="280" t="s">
        <v>35</v>
      </c>
      <c r="G23" s="265" t="s">
        <v>98</v>
      </c>
      <c r="H23" s="689">
        <f>464.1/3.4528*1000</f>
        <v>134413</v>
      </c>
      <c r="I23" s="690">
        <f>528/3.4528*1000</f>
        <v>152919</v>
      </c>
      <c r="J23" s="687">
        <f>528/3.4528*1000</f>
        <v>152919</v>
      </c>
      <c r="K23" s="842" t="s">
        <v>196</v>
      </c>
      <c r="L23" s="567">
        <v>16</v>
      </c>
      <c r="M23" s="955">
        <v>16</v>
      </c>
      <c r="N23" s="957">
        <v>16</v>
      </c>
      <c r="S23" s="109"/>
    </row>
    <row r="24" spans="1:21" ht="30.75" customHeight="1" x14ac:dyDescent="0.2">
      <c r="A24" s="38"/>
      <c r="B24" s="28"/>
      <c r="C24" s="19"/>
      <c r="D24" s="617" t="s">
        <v>209</v>
      </c>
      <c r="E24" s="245"/>
      <c r="F24" s="949"/>
      <c r="G24" s="575" t="s">
        <v>12</v>
      </c>
      <c r="H24" s="689">
        <f>418/3.4528*1000</f>
        <v>121061</v>
      </c>
      <c r="I24" s="691">
        <f>531/3.4528*1000</f>
        <v>153788</v>
      </c>
      <c r="J24" s="692">
        <f>531/3.4528*1000</f>
        <v>153788</v>
      </c>
      <c r="K24" s="842" t="s">
        <v>197</v>
      </c>
      <c r="L24" s="567">
        <v>16</v>
      </c>
      <c r="M24" s="955">
        <v>16</v>
      </c>
      <c r="N24" s="957">
        <v>16</v>
      </c>
      <c r="P24" s="116"/>
      <c r="U24" s="109"/>
    </row>
    <row r="25" spans="1:21" ht="25.5" customHeight="1" x14ac:dyDescent="0.2">
      <c r="A25" s="38"/>
      <c r="B25" s="555"/>
      <c r="C25" s="19"/>
      <c r="D25" s="1063" t="s">
        <v>160</v>
      </c>
      <c r="E25" s="245"/>
      <c r="F25" s="249"/>
      <c r="G25" s="100"/>
      <c r="H25" s="693"/>
      <c r="I25" s="694"/>
      <c r="J25" s="695"/>
      <c r="K25" s="1185" t="s">
        <v>198</v>
      </c>
      <c r="L25" s="632" t="s">
        <v>44</v>
      </c>
      <c r="M25" s="959" t="s">
        <v>44</v>
      </c>
      <c r="N25" s="204" t="s">
        <v>44</v>
      </c>
      <c r="P25" s="568"/>
      <c r="Q25" s="568"/>
      <c r="R25" s="568"/>
      <c r="S25" s="568"/>
    </row>
    <row r="26" spans="1:21" ht="15" customHeight="1" x14ac:dyDescent="0.2">
      <c r="A26" s="38"/>
      <c r="B26" s="555"/>
      <c r="C26" s="19"/>
      <c r="D26" s="1063"/>
      <c r="E26" s="245"/>
      <c r="F26" s="249"/>
      <c r="G26" s="100"/>
      <c r="H26" s="693"/>
      <c r="I26" s="694"/>
      <c r="J26" s="695"/>
      <c r="K26" s="1186"/>
      <c r="L26" s="633"/>
      <c r="M26" s="960"/>
      <c r="N26" s="627"/>
    </row>
    <row r="27" spans="1:21" ht="17.25" customHeight="1" x14ac:dyDescent="0.2">
      <c r="A27" s="25"/>
      <c r="B27" s="28"/>
      <c r="C27" s="19"/>
      <c r="D27" s="1118" t="s">
        <v>105</v>
      </c>
      <c r="E27" s="613"/>
      <c r="F27" s="614"/>
      <c r="G27" s="969"/>
      <c r="H27" s="696"/>
      <c r="I27" s="697"/>
      <c r="J27" s="676"/>
      <c r="K27" s="952"/>
      <c r="L27" s="258"/>
      <c r="M27" s="956"/>
      <c r="N27" s="958"/>
    </row>
    <row r="28" spans="1:21" ht="13.5" thickBot="1" x14ac:dyDescent="0.25">
      <c r="A28" s="39"/>
      <c r="B28" s="14"/>
      <c r="C28" s="36"/>
      <c r="D28" s="1135"/>
      <c r="E28" s="246"/>
      <c r="F28" s="250"/>
      <c r="G28" s="313" t="s">
        <v>16</v>
      </c>
      <c r="H28" s="698">
        <f>SUM(H23:H27)</f>
        <v>255474</v>
      </c>
      <c r="I28" s="686">
        <f>SUM(I23:I27)</f>
        <v>306707</v>
      </c>
      <c r="J28" s="685">
        <f>SUM(J23:J27)</f>
        <v>306707</v>
      </c>
      <c r="K28" s="578"/>
      <c r="L28" s="484"/>
      <c r="M28" s="579"/>
      <c r="N28" s="634"/>
      <c r="P28" s="109"/>
    </row>
    <row r="29" spans="1:21" ht="13.5" thickBot="1" x14ac:dyDescent="0.25">
      <c r="A29" s="24" t="s">
        <v>9</v>
      </c>
      <c r="B29" s="34" t="s">
        <v>9</v>
      </c>
      <c r="C29" s="972" t="s">
        <v>15</v>
      </c>
      <c r="D29" s="973"/>
      <c r="E29" s="973"/>
      <c r="F29" s="1116"/>
      <c r="G29" s="1117"/>
      <c r="H29" s="699">
        <f>H28+H22+H20+H18</f>
        <v>612056</v>
      </c>
      <c r="I29" s="700">
        <f>I28+I22+I20+I18</f>
        <v>732796</v>
      </c>
      <c r="J29" s="699">
        <f>J28+J22+J20+J18</f>
        <v>787824</v>
      </c>
      <c r="K29" s="990"/>
      <c r="L29" s="991"/>
      <c r="M29" s="991"/>
      <c r="N29" s="992"/>
    </row>
    <row r="30" spans="1:21" ht="13.5" thickBot="1" x14ac:dyDescent="0.25">
      <c r="A30" s="21" t="s">
        <v>9</v>
      </c>
      <c r="B30" s="27" t="s">
        <v>10</v>
      </c>
      <c r="C30" s="1112" t="s">
        <v>82</v>
      </c>
      <c r="D30" s="1113"/>
      <c r="E30" s="1113"/>
      <c r="F30" s="1113"/>
      <c r="G30" s="1068"/>
      <c r="H30" s="1068"/>
      <c r="I30" s="1068"/>
      <c r="J30" s="1068"/>
      <c r="K30" s="1068"/>
      <c r="L30" s="1068"/>
      <c r="M30" s="1068"/>
      <c r="N30" s="1069"/>
    </row>
    <row r="31" spans="1:21" ht="12.75" customHeight="1" x14ac:dyDescent="0.2">
      <c r="A31" s="21" t="s">
        <v>9</v>
      </c>
      <c r="B31" s="27" t="s">
        <v>10</v>
      </c>
      <c r="C31" s="22" t="s">
        <v>9</v>
      </c>
      <c r="D31" s="1250" t="s">
        <v>59</v>
      </c>
      <c r="E31" s="1247"/>
      <c r="F31" s="256">
        <v>2</v>
      </c>
      <c r="G31" s="168" t="s">
        <v>12</v>
      </c>
      <c r="H31" s="850">
        <f>2649328+50000</f>
        <v>2699328</v>
      </c>
      <c r="I31" s="760">
        <f>8646.2/3.4528*1000</f>
        <v>2504113</v>
      </c>
      <c r="J31" s="701">
        <f>7792.3/3.4528*1000</f>
        <v>2256806</v>
      </c>
      <c r="K31" s="524" t="s">
        <v>196</v>
      </c>
      <c r="L31" s="198">
        <v>1214</v>
      </c>
      <c r="M31" s="199" t="s">
        <v>183</v>
      </c>
      <c r="N31" s="200" t="s">
        <v>183</v>
      </c>
      <c r="P31" s="568"/>
      <c r="Q31" s="568"/>
      <c r="R31" s="568"/>
      <c r="S31" s="635"/>
      <c r="T31" s="568"/>
    </row>
    <row r="32" spans="1:21" ht="12.75" customHeight="1" x14ac:dyDescent="0.2">
      <c r="A32" s="554"/>
      <c r="B32" s="555"/>
      <c r="C32" s="19"/>
      <c r="D32" s="1115"/>
      <c r="E32" s="1248"/>
      <c r="F32" s="257"/>
      <c r="G32" s="101" t="s">
        <v>28</v>
      </c>
      <c r="H32" s="702">
        <f>1182/3.4528*1000</f>
        <v>342331</v>
      </c>
      <c r="I32" s="690">
        <f>1298.5/3.4528*1000</f>
        <v>376072</v>
      </c>
      <c r="J32" s="703">
        <f>1298.5/3.4528*1000</f>
        <v>376072</v>
      </c>
      <c r="K32" s="636" t="s">
        <v>43</v>
      </c>
      <c r="L32" s="637">
        <v>823</v>
      </c>
      <c r="M32" s="534" t="s">
        <v>184</v>
      </c>
      <c r="N32" s="535" t="s">
        <v>185</v>
      </c>
      <c r="O32" s="839"/>
      <c r="P32" s="635"/>
      <c r="Q32" s="635"/>
      <c r="R32" s="568"/>
      <c r="S32" s="568"/>
      <c r="T32" s="568"/>
    </row>
    <row r="33" spans="1:22" ht="12.75" customHeight="1" x14ac:dyDescent="0.2">
      <c r="A33" s="554"/>
      <c r="B33" s="555"/>
      <c r="C33" s="19"/>
      <c r="D33" s="1063" t="s">
        <v>36</v>
      </c>
      <c r="E33" s="1248"/>
      <c r="F33" s="257"/>
      <c r="G33" s="101" t="s">
        <v>20</v>
      </c>
      <c r="H33" s="702">
        <v>0</v>
      </c>
      <c r="I33" s="690">
        <v>63716</v>
      </c>
      <c r="J33" s="703">
        <f>168/3.4528*1000</f>
        <v>48656</v>
      </c>
      <c r="K33" s="1167" t="s">
        <v>199</v>
      </c>
      <c r="L33" s="1169">
        <v>2</v>
      </c>
      <c r="M33" s="1171">
        <v>1</v>
      </c>
      <c r="N33" s="1173"/>
      <c r="P33" s="568"/>
      <c r="Q33" s="568"/>
      <c r="R33" s="568"/>
      <c r="S33" s="568"/>
      <c r="T33" s="568"/>
    </row>
    <row r="34" spans="1:22" ht="12.75" customHeight="1" x14ac:dyDescent="0.2">
      <c r="A34" s="554"/>
      <c r="B34" s="555"/>
      <c r="C34" s="19"/>
      <c r="D34" s="1063"/>
      <c r="E34" s="1248"/>
      <c r="F34" s="257"/>
      <c r="G34" s="169" t="s">
        <v>29</v>
      </c>
      <c r="H34" s="704">
        <v>88073</v>
      </c>
      <c r="I34" s="761">
        <f>160/3.4528*1000</f>
        <v>46339</v>
      </c>
      <c r="J34" s="692"/>
      <c r="K34" s="1168"/>
      <c r="L34" s="1170"/>
      <c r="M34" s="1172"/>
      <c r="N34" s="1174"/>
      <c r="O34" s="839"/>
      <c r="P34" s="635"/>
      <c r="Q34" s="635"/>
      <c r="R34" s="635"/>
      <c r="S34" s="568"/>
      <c r="T34" s="568"/>
    </row>
    <row r="35" spans="1:22" ht="12.75" customHeight="1" x14ac:dyDescent="0.2">
      <c r="A35" s="554"/>
      <c r="B35" s="555"/>
      <c r="C35" s="35"/>
      <c r="D35" s="1063"/>
      <c r="E35" s="1248"/>
      <c r="F35" s="257"/>
      <c r="G35" s="851" t="s">
        <v>223</v>
      </c>
      <c r="H35" s="717">
        <v>90887</v>
      </c>
      <c r="I35" s="852"/>
      <c r="J35" s="853"/>
      <c r="K35" s="1168"/>
      <c r="L35" s="1170"/>
      <c r="M35" s="1172"/>
      <c r="N35" s="1174"/>
      <c r="P35" s="568"/>
      <c r="Q35" s="568"/>
      <c r="R35" s="568"/>
      <c r="S35" s="568"/>
      <c r="T35" s="568"/>
    </row>
    <row r="36" spans="1:22" ht="27.75" customHeight="1" x14ac:dyDescent="0.2">
      <c r="A36" s="38"/>
      <c r="B36" s="28"/>
      <c r="C36" s="19"/>
      <c r="D36" s="1063" t="s">
        <v>161</v>
      </c>
      <c r="E36" s="1248"/>
      <c r="F36" s="257"/>
      <c r="G36" s="165"/>
      <c r="H36" s="675"/>
      <c r="I36" s="762"/>
      <c r="J36" s="705"/>
      <c r="K36" s="1168"/>
      <c r="L36" s="1170"/>
      <c r="M36" s="1172"/>
      <c r="N36" s="1174"/>
      <c r="P36" s="568"/>
      <c r="Q36" s="568"/>
      <c r="R36" s="568"/>
      <c r="S36" s="568"/>
      <c r="T36" s="568"/>
    </row>
    <row r="37" spans="1:22" ht="27.75" customHeight="1" x14ac:dyDescent="0.2">
      <c r="A37" s="38"/>
      <c r="B37" s="28"/>
      <c r="C37" s="19"/>
      <c r="D37" s="1063"/>
      <c r="E37" s="119"/>
      <c r="F37" s="257"/>
      <c r="G37" s="165"/>
      <c r="H37" s="675"/>
      <c r="I37" s="762"/>
      <c r="J37" s="705"/>
      <c r="K37" s="952"/>
      <c r="L37" s="954"/>
      <c r="M37" s="956"/>
      <c r="N37" s="218"/>
      <c r="P37" s="568"/>
      <c r="Q37" s="568"/>
      <c r="R37" s="568"/>
      <c r="S37" s="568"/>
      <c r="T37" s="568"/>
    </row>
    <row r="38" spans="1:22" ht="12.75" customHeight="1" x14ac:dyDescent="0.2">
      <c r="A38" s="38"/>
      <c r="B38" s="28"/>
      <c r="C38" s="19"/>
      <c r="D38" s="1124" t="s">
        <v>37</v>
      </c>
      <c r="E38" s="119"/>
      <c r="F38" s="257"/>
      <c r="G38" s="165"/>
      <c r="H38" s="675"/>
      <c r="I38" s="762"/>
      <c r="J38" s="705"/>
      <c r="K38" s="952"/>
      <c r="L38" s="954"/>
      <c r="M38" s="956"/>
      <c r="N38" s="218"/>
    </row>
    <row r="39" spans="1:22" ht="12.75" customHeight="1" x14ac:dyDescent="0.2">
      <c r="A39" s="38"/>
      <c r="B39" s="28"/>
      <c r="C39" s="19"/>
      <c r="D39" s="1124"/>
      <c r="E39" s="119"/>
      <c r="F39" s="257"/>
      <c r="G39" s="169"/>
      <c r="H39" s="704"/>
      <c r="I39" s="762"/>
      <c r="J39" s="705"/>
      <c r="K39" s="952"/>
      <c r="L39" s="954"/>
      <c r="M39" s="956"/>
      <c r="N39" s="218"/>
    </row>
    <row r="40" spans="1:22" ht="12.75" customHeight="1" x14ac:dyDescent="0.2">
      <c r="A40" s="38"/>
      <c r="B40" s="28"/>
      <c r="C40" s="19"/>
      <c r="D40" s="1124"/>
      <c r="E40" s="119"/>
      <c r="F40" s="257"/>
      <c r="G40" s="169"/>
      <c r="H40" s="704"/>
      <c r="I40" s="763"/>
      <c r="J40" s="706"/>
      <c r="K40" s="952"/>
      <c r="L40" s="954"/>
      <c r="M40" s="956"/>
      <c r="N40" s="218"/>
    </row>
    <row r="41" spans="1:22" ht="12.75" customHeight="1" x14ac:dyDescent="0.2">
      <c r="A41" s="554"/>
      <c r="B41" s="555"/>
      <c r="C41" s="40"/>
      <c r="D41" s="1063" t="s">
        <v>210</v>
      </c>
      <c r="E41" s="119"/>
      <c r="F41" s="257"/>
      <c r="G41" s="90"/>
      <c r="H41" s="675"/>
      <c r="I41" s="694"/>
      <c r="J41" s="695"/>
      <c r="K41" s="952"/>
      <c r="L41" s="954"/>
      <c r="M41" s="956"/>
      <c r="N41" s="958"/>
    </row>
    <row r="42" spans="1:22" ht="12.75" customHeight="1" x14ac:dyDescent="0.2">
      <c r="A42" s="554"/>
      <c r="B42" s="555"/>
      <c r="C42" s="40"/>
      <c r="D42" s="1063"/>
      <c r="E42" s="119"/>
      <c r="F42" s="257"/>
      <c r="G42" s="90"/>
      <c r="H42" s="675"/>
      <c r="I42" s="694"/>
      <c r="J42" s="695"/>
      <c r="K42" s="952"/>
      <c r="L42" s="954"/>
      <c r="M42" s="956"/>
      <c r="N42" s="958"/>
      <c r="T42" s="109"/>
      <c r="V42" s="109"/>
    </row>
    <row r="43" spans="1:22" ht="12.75" customHeight="1" x14ac:dyDescent="0.2">
      <c r="A43" s="554"/>
      <c r="B43" s="555"/>
      <c r="C43" s="19"/>
      <c r="D43" s="1063"/>
      <c r="E43" s="119"/>
      <c r="F43" s="257"/>
      <c r="G43" s="90"/>
      <c r="H43" s="675"/>
      <c r="I43" s="694"/>
      <c r="J43" s="695"/>
      <c r="K43" s="952"/>
      <c r="L43" s="954"/>
      <c r="M43" s="956"/>
      <c r="N43" s="958"/>
      <c r="P43" s="568"/>
      <c r="Q43" s="568"/>
    </row>
    <row r="44" spans="1:22" ht="12.75" customHeight="1" x14ac:dyDescent="0.2">
      <c r="A44" s="25"/>
      <c r="B44" s="28"/>
      <c r="C44" s="19"/>
      <c r="D44" s="1063" t="s">
        <v>142</v>
      </c>
      <c r="E44" s="119"/>
      <c r="F44" s="257"/>
      <c r="G44" s="90"/>
      <c r="H44" s="675"/>
      <c r="I44" s="694"/>
      <c r="J44" s="695"/>
      <c r="K44" s="663"/>
      <c r="L44" s="954"/>
      <c r="M44" s="956"/>
      <c r="N44" s="958"/>
    </row>
    <row r="45" spans="1:22" ht="12.75" customHeight="1" x14ac:dyDescent="0.2">
      <c r="A45" s="25"/>
      <c r="B45" s="28"/>
      <c r="C45" s="19"/>
      <c r="D45" s="1063"/>
      <c r="E45" s="119"/>
      <c r="F45" s="257"/>
      <c r="G45" s="90"/>
      <c r="H45" s="675"/>
      <c r="I45" s="694"/>
      <c r="J45" s="695"/>
      <c r="K45" s="663"/>
      <c r="L45" s="954"/>
      <c r="M45" s="956"/>
      <c r="N45" s="958"/>
      <c r="R45" s="109"/>
    </row>
    <row r="46" spans="1:22" ht="40.5" customHeight="1" x14ac:dyDescent="0.2">
      <c r="A46" s="25"/>
      <c r="B46" s="28"/>
      <c r="C46" s="19"/>
      <c r="D46" s="1063" t="s">
        <v>211</v>
      </c>
      <c r="E46" s="119"/>
      <c r="F46" s="257"/>
      <c r="G46" s="90"/>
      <c r="H46" s="675"/>
      <c r="I46" s="694"/>
      <c r="J46" s="695"/>
      <c r="K46" s="952"/>
      <c r="L46" s="967"/>
      <c r="M46" s="956"/>
      <c r="N46" s="620"/>
      <c r="P46" s="109"/>
      <c r="R46" s="109"/>
    </row>
    <row r="47" spans="1:22" ht="39.75" customHeight="1" x14ac:dyDescent="0.2">
      <c r="A47" s="25"/>
      <c r="B47" s="28"/>
      <c r="C47" s="19"/>
      <c r="D47" s="1063"/>
      <c r="E47" s="119"/>
      <c r="F47" s="257"/>
      <c r="G47" s="90"/>
      <c r="H47" s="675"/>
      <c r="I47" s="694"/>
      <c r="J47" s="695"/>
      <c r="K47" s="663"/>
      <c r="L47" s="954"/>
      <c r="M47" s="956"/>
      <c r="N47" s="958"/>
      <c r="P47" s="568"/>
      <c r="R47" s="109"/>
    </row>
    <row r="48" spans="1:22" ht="18" customHeight="1" x14ac:dyDescent="0.2">
      <c r="A48" s="25"/>
      <c r="B48" s="28"/>
      <c r="C48" s="19"/>
      <c r="D48" s="1063" t="s">
        <v>222</v>
      </c>
      <c r="E48" s="119"/>
      <c r="F48" s="257"/>
      <c r="G48" s="969"/>
      <c r="H48" s="675"/>
      <c r="I48" s="694"/>
      <c r="J48" s="695"/>
      <c r="K48" s="1243"/>
      <c r="L48" s="954"/>
      <c r="M48" s="956"/>
      <c r="N48" s="218"/>
      <c r="R48" s="109"/>
    </row>
    <row r="49" spans="1:21" ht="18" customHeight="1" x14ac:dyDescent="0.2">
      <c r="A49" s="25"/>
      <c r="B49" s="28"/>
      <c r="C49" s="19"/>
      <c r="D49" s="1063"/>
      <c r="E49" s="119"/>
      <c r="F49" s="257"/>
      <c r="G49" s="969"/>
      <c r="H49" s="675"/>
      <c r="I49" s="694"/>
      <c r="J49" s="695"/>
      <c r="K49" s="1243"/>
      <c r="L49" s="954"/>
      <c r="M49" s="956"/>
      <c r="N49" s="218"/>
      <c r="R49" s="109"/>
    </row>
    <row r="50" spans="1:21" ht="19.5" customHeight="1" x14ac:dyDescent="0.2">
      <c r="A50" s="664"/>
      <c r="B50" s="665"/>
      <c r="C50" s="580"/>
      <c r="D50" s="1242"/>
      <c r="E50" s="846"/>
      <c r="F50" s="581"/>
      <c r="G50" s="844"/>
      <c r="H50" s="680"/>
      <c r="I50" s="736"/>
      <c r="J50" s="707"/>
      <c r="K50" s="1244"/>
      <c r="L50" s="847"/>
      <c r="M50" s="564"/>
      <c r="N50" s="848"/>
    </row>
    <row r="51" spans="1:21" ht="12.75" customHeight="1" x14ac:dyDescent="0.2">
      <c r="A51" s="917"/>
      <c r="B51" s="918"/>
      <c r="C51" s="916"/>
      <c r="D51" s="1245" t="s">
        <v>97</v>
      </c>
      <c r="E51" s="1246" t="s">
        <v>186</v>
      </c>
      <c r="F51" s="919"/>
      <c r="G51" s="99"/>
      <c r="H51" s="718"/>
      <c r="I51" s="691"/>
      <c r="J51" s="692"/>
      <c r="K51" s="951"/>
      <c r="L51" s="953"/>
      <c r="M51" s="955"/>
      <c r="N51" s="562"/>
      <c r="S51" s="109"/>
      <c r="T51" s="109"/>
    </row>
    <row r="52" spans="1:21" ht="12.75" customHeight="1" x14ac:dyDescent="0.2">
      <c r="A52" s="38"/>
      <c r="B52" s="28"/>
      <c r="C52" s="19"/>
      <c r="D52" s="1063"/>
      <c r="E52" s="1239"/>
      <c r="F52" s="257"/>
      <c r="G52" s="90"/>
      <c r="H52" s="675"/>
      <c r="I52" s="694"/>
      <c r="J52" s="695"/>
      <c r="K52" s="952"/>
      <c r="L52" s="954"/>
      <c r="M52" s="956"/>
      <c r="N52" s="218"/>
      <c r="P52" s="109"/>
      <c r="T52" s="109"/>
    </row>
    <row r="53" spans="1:21" ht="18.75" customHeight="1" x14ac:dyDescent="0.2">
      <c r="A53" s="38"/>
      <c r="B53" s="28"/>
      <c r="C53" s="19"/>
      <c r="D53" s="1063"/>
      <c r="E53" s="1239"/>
      <c r="F53" s="257"/>
      <c r="G53" s="169"/>
      <c r="H53" s="704"/>
      <c r="I53" s="694"/>
      <c r="J53" s="695"/>
      <c r="K53" s="968"/>
      <c r="L53" s="954"/>
      <c r="M53" s="956"/>
      <c r="N53" s="218"/>
      <c r="P53" s="109"/>
    </row>
    <row r="54" spans="1:21" ht="12.75" customHeight="1" x14ac:dyDescent="0.2">
      <c r="A54" s="38"/>
      <c r="B54" s="28"/>
      <c r="C54" s="19"/>
      <c r="D54" s="1063" t="s">
        <v>38</v>
      </c>
      <c r="E54" s="641"/>
      <c r="F54" s="257"/>
      <c r="G54" s="90"/>
      <c r="H54" s="675"/>
      <c r="I54" s="694"/>
      <c r="J54" s="695"/>
      <c r="K54" s="1243"/>
      <c r="L54" s="1238"/>
      <c r="M54" s="1233"/>
      <c r="N54" s="1236"/>
      <c r="U54" s="109"/>
    </row>
    <row r="55" spans="1:21" ht="15" customHeight="1" x14ac:dyDescent="0.2">
      <c r="A55" s="38"/>
      <c r="B55" s="28"/>
      <c r="C55" s="19"/>
      <c r="D55" s="1063"/>
      <c r="E55" s="119"/>
      <c r="F55" s="257"/>
      <c r="G55" s="90"/>
      <c r="H55" s="675"/>
      <c r="I55" s="694"/>
      <c r="J55" s="695"/>
      <c r="K55" s="1243"/>
      <c r="L55" s="1238"/>
      <c r="M55" s="1233"/>
      <c r="N55" s="1236"/>
    </row>
    <row r="56" spans="1:21" ht="13.5" customHeight="1" thickBot="1" x14ac:dyDescent="0.25">
      <c r="A56" s="39"/>
      <c r="B56" s="253"/>
      <c r="C56" s="254"/>
      <c r="D56" s="987"/>
      <c r="E56" s="527"/>
      <c r="F56" s="540"/>
      <c r="G56" s="642" t="s">
        <v>16</v>
      </c>
      <c r="H56" s="708">
        <f>SUM(H31:H55)</f>
        <v>3220619</v>
      </c>
      <c r="I56" s="708">
        <f>SUM(I31:I55)</f>
        <v>2990240</v>
      </c>
      <c r="J56" s="685">
        <f>SUM(J31:J55)</f>
        <v>2681534</v>
      </c>
      <c r="K56" s="920"/>
      <c r="L56" s="921"/>
      <c r="M56" s="922"/>
      <c r="N56" s="923"/>
    </row>
    <row r="57" spans="1:21" ht="28.5" customHeight="1" x14ac:dyDescent="0.2">
      <c r="A57" s="21" t="s">
        <v>9</v>
      </c>
      <c r="B57" s="27" t="s">
        <v>10</v>
      </c>
      <c r="C57" s="22" t="s">
        <v>10</v>
      </c>
      <c r="D57" s="556" t="s">
        <v>60</v>
      </c>
      <c r="E57" s="557"/>
      <c r="F57" s="937"/>
      <c r="G57" s="102"/>
      <c r="H57" s="672"/>
      <c r="I57" s="673"/>
      <c r="J57" s="674"/>
      <c r="K57" s="588"/>
      <c r="L57" s="589"/>
      <c r="M57" s="105"/>
      <c r="N57" s="106"/>
    </row>
    <row r="58" spans="1:21" ht="42" customHeight="1" x14ac:dyDescent="0.2">
      <c r="A58" s="554"/>
      <c r="B58" s="555"/>
      <c r="C58" s="19"/>
      <c r="D58" s="259" t="s">
        <v>102</v>
      </c>
      <c r="E58" s="641"/>
      <c r="F58" s="938"/>
      <c r="G58" s="90"/>
      <c r="H58" s="675"/>
      <c r="I58" s="678"/>
      <c r="J58" s="679"/>
      <c r="K58" s="590"/>
      <c r="L58" s="432"/>
      <c r="M58" s="79"/>
      <c r="N58" s="78"/>
      <c r="P58" s="109"/>
    </row>
    <row r="59" spans="1:21" ht="30" customHeight="1" x14ac:dyDescent="0.2">
      <c r="A59" s="554"/>
      <c r="B59" s="555"/>
      <c r="C59" s="19"/>
      <c r="D59" s="1134" t="s">
        <v>178</v>
      </c>
      <c r="E59" s="1239" t="s">
        <v>95</v>
      </c>
      <c r="F59" s="587" t="s">
        <v>35</v>
      </c>
      <c r="G59" s="101" t="s">
        <v>12</v>
      </c>
      <c r="H59" s="702">
        <f>20/3.4528*1000</f>
        <v>5792</v>
      </c>
      <c r="I59" s="712"/>
      <c r="J59" s="713"/>
      <c r="K59" s="643" t="s">
        <v>200</v>
      </c>
      <c r="L59" s="953">
        <v>1</v>
      </c>
      <c r="M59" s="625"/>
      <c r="N59" s="596"/>
    </row>
    <row r="60" spans="1:21" x14ac:dyDescent="0.2">
      <c r="A60" s="583"/>
      <c r="B60" s="555"/>
      <c r="C60" s="44"/>
      <c r="D60" s="1237"/>
      <c r="E60" s="1240"/>
      <c r="F60" s="600"/>
      <c r="G60" s="327" t="s">
        <v>16</v>
      </c>
      <c r="H60" s="714">
        <f>H59</f>
        <v>5792</v>
      </c>
      <c r="I60" s="716"/>
      <c r="J60" s="715"/>
      <c r="K60" s="646"/>
      <c r="L60" s="647"/>
      <c r="M60" s="626"/>
      <c r="N60" s="648"/>
      <c r="P60" s="109"/>
      <c r="S60" s="109"/>
    </row>
    <row r="61" spans="1:21" ht="30" customHeight="1" x14ac:dyDescent="0.2">
      <c r="A61" s="583"/>
      <c r="B61" s="555"/>
      <c r="C61" s="44"/>
      <c r="D61" s="1134" t="s">
        <v>175</v>
      </c>
      <c r="E61" s="612"/>
      <c r="F61" s="587" t="s">
        <v>167</v>
      </c>
      <c r="G61" s="584" t="s">
        <v>12</v>
      </c>
      <c r="H61" s="717">
        <f>36.3/3.4528*1000</f>
        <v>10513</v>
      </c>
      <c r="I61" s="720"/>
      <c r="J61" s="721"/>
      <c r="K61" s="924" t="s">
        <v>225</v>
      </c>
      <c r="L61" s="925">
        <v>1</v>
      </c>
      <c r="M61" s="591"/>
      <c r="N61" s="592" t="s">
        <v>170</v>
      </c>
      <c r="P61" s="897"/>
    </row>
    <row r="62" spans="1:21" ht="30" customHeight="1" x14ac:dyDescent="0.2">
      <c r="A62" s="583"/>
      <c r="B62" s="555"/>
      <c r="C62" s="44"/>
      <c r="D62" s="1118"/>
      <c r="E62" s="1"/>
      <c r="F62" s="938"/>
      <c r="G62" s="584" t="s">
        <v>29</v>
      </c>
      <c r="H62" s="717"/>
      <c r="I62" s="722">
        <f>148.7/3.4528*1000</f>
        <v>43066</v>
      </c>
      <c r="J62" s="719">
        <f>634.9/3.4528*1000</f>
        <v>183880</v>
      </c>
      <c r="K62" s="911" t="s">
        <v>173</v>
      </c>
      <c r="L62" s="894"/>
      <c r="M62" s="895">
        <v>1</v>
      </c>
      <c r="N62" s="898"/>
      <c r="P62" s="109"/>
    </row>
    <row r="63" spans="1:21" ht="18" customHeight="1" x14ac:dyDescent="0.2">
      <c r="A63" s="583"/>
      <c r="B63" s="555"/>
      <c r="C63" s="44"/>
      <c r="D63" s="1118"/>
      <c r="E63" s="1"/>
      <c r="F63" s="938"/>
      <c r="G63" s="584" t="s">
        <v>169</v>
      </c>
      <c r="H63" s="717"/>
      <c r="I63" s="722"/>
      <c r="J63" s="719">
        <f>120.2/3.4528*1000</f>
        <v>34812</v>
      </c>
      <c r="K63" s="1235" t="s">
        <v>174</v>
      </c>
      <c r="L63" s="603"/>
      <c r="M63" s="604"/>
      <c r="N63" s="593">
        <v>30</v>
      </c>
      <c r="P63" s="109"/>
    </row>
    <row r="64" spans="1:21" x14ac:dyDescent="0.2">
      <c r="A64" s="583"/>
      <c r="B64" s="555"/>
      <c r="C64" s="44"/>
      <c r="D64" s="1237"/>
      <c r="E64" s="585"/>
      <c r="F64" s="938"/>
      <c r="G64" s="319" t="s">
        <v>16</v>
      </c>
      <c r="H64" s="709">
        <f>SUM(H61:H63)</f>
        <v>10513</v>
      </c>
      <c r="I64" s="710">
        <f>SUM(I62:I63)</f>
        <v>43066</v>
      </c>
      <c r="J64" s="723">
        <f>SUM(J62:J63)</f>
        <v>218692</v>
      </c>
      <c r="K64" s="1241"/>
      <c r="L64" s="603"/>
      <c r="M64" s="605"/>
      <c r="N64" s="593"/>
      <c r="P64" s="109"/>
    </row>
    <row r="65" spans="1:20" ht="29.25" customHeight="1" x14ac:dyDescent="0.2">
      <c r="A65" s="554"/>
      <c r="B65" s="555"/>
      <c r="C65" s="19"/>
      <c r="D65" s="1134" t="s">
        <v>212</v>
      </c>
      <c r="E65" s="996"/>
      <c r="F65" s="1234"/>
      <c r="G65" s="99" t="s">
        <v>12</v>
      </c>
      <c r="H65" s="718">
        <f>15/3.4528*1000</f>
        <v>4344</v>
      </c>
      <c r="I65" s="724">
        <f>50/3.4528*1000</f>
        <v>14481</v>
      </c>
      <c r="J65" s="725">
        <f>50/3.4528*1000</f>
        <v>14481</v>
      </c>
      <c r="K65" s="926" t="s">
        <v>225</v>
      </c>
      <c r="L65" s="927">
        <v>1</v>
      </c>
      <c r="M65" s="905"/>
      <c r="N65" s="906"/>
      <c r="P65" s="109"/>
    </row>
    <row r="66" spans="1:20" ht="18" customHeight="1" x14ac:dyDescent="0.2">
      <c r="A66" s="554"/>
      <c r="B66" s="555"/>
      <c r="C66" s="19"/>
      <c r="D66" s="1118"/>
      <c r="E66" s="996"/>
      <c r="F66" s="1234"/>
      <c r="G66" s="90"/>
      <c r="H66" s="675"/>
      <c r="I66" s="678"/>
      <c r="J66" s="726"/>
      <c r="K66" s="926" t="s">
        <v>226</v>
      </c>
      <c r="L66" s="928">
        <v>1</v>
      </c>
      <c r="M66" s="956"/>
      <c r="N66" s="594"/>
      <c r="P66" s="109"/>
      <c r="R66" s="109"/>
    </row>
    <row r="67" spans="1:20" ht="28.5" customHeight="1" x14ac:dyDescent="0.2">
      <c r="A67" s="29"/>
      <c r="B67" s="32"/>
      <c r="C67" s="44"/>
      <c r="D67" s="1118"/>
      <c r="E67" s="996"/>
      <c r="F67" s="1234"/>
      <c r="G67" s="319" t="s">
        <v>16</v>
      </c>
      <c r="H67" s="709">
        <f>H65</f>
        <v>4344</v>
      </c>
      <c r="I67" s="710">
        <f>SUM(I65:I66)</f>
        <v>14481</v>
      </c>
      <c r="J67" s="723">
        <f>SUM(J65:J66)</f>
        <v>14481</v>
      </c>
      <c r="K67" s="911" t="s">
        <v>171</v>
      </c>
      <c r="L67" s="907"/>
      <c r="M67" s="908"/>
      <c r="N67" s="909">
        <v>1</v>
      </c>
      <c r="P67" s="109"/>
    </row>
    <row r="68" spans="1:20" ht="12.75" customHeight="1" x14ac:dyDescent="0.2">
      <c r="A68" s="554"/>
      <c r="B68" s="555"/>
      <c r="C68" s="19"/>
      <c r="D68" s="1223" t="s">
        <v>172</v>
      </c>
      <c r="E68" s="996"/>
      <c r="F68" s="1234"/>
      <c r="G68" s="99" t="s">
        <v>12</v>
      </c>
      <c r="H68" s="718">
        <f>31/3.4528*1000</f>
        <v>8978</v>
      </c>
      <c r="I68" s="724"/>
      <c r="J68" s="725"/>
      <c r="K68" s="1226" t="s">
        <v>225</v>
      </c>
      <c r="L68" s="927">
        <v>1</v>
      </c>
      <c r="M68" s="913"/>
      <c r="N68" s="595"/>
      <c r="P68" s="109"/>
      <c r="S68" s="109"/>
    </row>
    <row r="69" spans="1:20" x14ac:dyDescent="0.2">
      <c r="A69" s="554"/>
      <c r="B69" s="555"/>
      <c r="C69" s="19"/>
      <c r="D69" s="1224"/>
      <c r="E69" s="996"/>
      <c r="F69" s="1234"/>
      <c r="G69" s="99" t="s">
        <v>29</v>
      </c>
      <c r="H69" s="718"/>
      <c r="I69" s="724">
        <f>49/3.4528*1000</f>
        <v>14191</v>
      </c>
      <c r="J69" s="725">
        <f>391/3.4528*1000</f>
        <v>113241</v>
      </c>
      <c r="K69" s="1227"/>
      <c r="L69" s="629"/>
      <c r="M69" s="631"/>
      <c r="N69" s="594"/>
      <c r="O69" s="897"/>
    </row>
    <row r="70" spans="1:20" ht="12.75" customHeight="1" x14ac:dyDescent="0.2">
      <c r="A70" s="29"/>
      <c r="B70" s="32"/>
      <c r="C70" s="44"/>
      <c r="D70" s="1224"/>
      <c r="E70" s="996"/>
      <c r="F70" s="1234"/>
      <c r="G70" s="586" t="s">
        <v>169</v>
      </c>
      <c r="H70" s="727"/>
      <c r="I70" s="712"/>
      <c r="J70" s="713">
        <f>69/3.4528*1000</f>
        <v>19984</v>
      </c>
      <c r="K70" s="1235" t="s">
        <v>173</v>
      </c>
      <c r="L70" s="910"/>
      <c r="M70" s="895">
        <v>1</v>
      </c>
      <c r="N70" s="620"/>
    </row>
    <row r="71" spans="1:20" ht="16.5" customHeight="1" x14ac:dyDescent="0.2">
      <c r="A71" s="29"/>
      <c r="B71" s="32"/>
      <c r="C71" s="44"/>
      <c r="D71" s="1224"/>
      <c r="E71" s="1119"/>
      <c r="F71" s="1234"/>
      <c r="G71" s="319" t="s">
        <v>16</v>
      </c>
      <c r="H71" s="709">
        <f>SUM(H68:H70)</f>
        <v>8978</v>
      </c>
      <c r="I71" s="710">
        <f>SUM(I68:I70)</f>
        <v>14191</v>
      </c>
      <c r="J71" s="723">
        <f>SUM(J69:J70)</f>
        <v>133225</v>
      </c>
      <c r="K71" s="1235"/>
      <c r="L71" s="954"/>
      <c r="M71" s="956"/>
      <c r="N71" s="594"/>
      <c r="P71" s="109"/>
    </row>
    <row r="72" spans="1:20" ht="26.25" thickBot="1" x14ac:dyDescent="0.25">
      <c r="A72" s="558"/>
      <c r="B72" s="33"/>
      <c r="C72" s="45"/>
      <c r="D72" s="1225"/>
      <c r="E72" s="1220" t="s">
        <v>187</v>
      </c>
      <c r="F72" s="1221"/>
      <c r="G72" s="1222"/>
      <c r="H72" s="711">
        <f>H71+H67+H64+H60</f>
        <v>29627</v>
      </c>
      <c r="I72" s="708">
        <f>I60+I67+I71+I64</f>
        <v>71738</v>
      </c>
      <c r="J72" s="708">
        <f>J60+J67+J71+J64</f>
        <v>366398</v>
      </c>
      <c r="K72" s="911" t="s">
        <v>174</v>
      </c>
      <c r="L72" s="961"/>
      <c r="M72" s="962"/>
      <c r="N72" s="912">
        <v>50</v>
      </c>
      <c r="P72" s="109"/>
    </row>
    <row r="73" spans="1:20" ht="15.75" customHeight="1" x14ac:dyDescent="0.2">
      <c r="A73" s="21" t="s">
        <v>9</v>
      </c>
      <c r="B73" s="27" t="s">
        <v>10</v>
      </c>
      <c r="C73" s="22" t="s">
        <v>11</v>
      </c>
      <c r="D73" s="1213" t="s">
        <v>49</v>
      </c>
      <c r="E73" s="653"/>
      <c r="F73" s="947">
        <v>6</v>
      </c>
      <c r="G73" s="102" t="s">
        <v>12</v>
      </c>
      <c r="H73" s="672">
        <v>107159</v>
      </c>
      <c r="I73" s="673">
        <f>108.9/3.4528*1000</f>
        <v>31540</v>
      </c>
      <c r="J73" s="674"/>
      <c r="K73" s="1215" t="s">
        <v>121</v>
      </c>
      <c r="L73" s="104">
        <v>2</v>
      </c>
      <c r="M73" s="105">
        <v>1</v>
      </c>
      <c r="N73" s="106"/>
      <c r="P73" s="568"/>
      <c r="Q73" s="568"/>
      <c r="R73" s="568"/>
    </row>
    <row r="74" spans="1:20" ht="25.5" customHeight="1" x14ac:dyDescent="0.2">
      <c r="A74" s="554"/>
      <c r="B74" s="555"/>
      <c r="C74" s="19"/>
      <c r="D74" s="1214"/>
      <c r="E74" s="654"/>
      <c r="F74" s="948"/>
      <c r="G74" s="99" t="s">
        <v>20</v>
      </c>
      <c r="H74" s="718">
        <v>0</v>
      </c>
      <c r="I74" s="724"/>
      <c r="J74" s="725"/>
      <c r="K74" s="1041"/>
      <c r="L74" s="433"/>
      <c r="M74" s="79"/>
      <c r="N74" s="78"/>
      <c r="P74" s="568"/>
      <c r="Q74" s="568"/>
      <c r="R74" s="568"/>
    </row>
    <row r="75" spans="1:20" ht="41.25" customHeight="1" x14ac:dyDescent="0.2">
      <c r="A75" s="554"/>
      <c r="B75" s="555"/>
      <c r="C75" s="19"/>
      <c r="D75" s="946" t="s">
        <v>176</v>
      </c>
      <c r="E75" s="654"/>
      <c r="F75" s="487"/>
      <c r="G75" s="530"/>
      <c r="H75" s="728"/>
      <c r="I75" s="678"/>
      <c r="J75" s="679"/>
      <c r="K75" s="942"/>
      <c r="L75" s="649"/>
      <c r="M75" s="79"/>
      <c r="N75" s="594"/>
    </row>
    <row r="76" spans="1:20" ht="21" customHeight="1" x14ac:dyDescent="0.2">
      <c r="A76" s="554"/>
      <c r="B76" s="555"/>
      <c r="C76" s="19"/>
      <c r="D76" s="1118" t="s">
        <v>213</v>
      </c>
      <c r="E76" s="1219"/>
      <c r="F76" s="979"/>
      <c r="G76" s="90"/>
      <c r="H76" s="675"/>
      <c r="I76" s="678"/>
      <c r="J76" s="726"/>
      <c r="K76" s="1041"/>
      <c r="L76" s="640"/>
      <c r="M76" s="650"/>
      <c r="N76" s="78"/>
      <c r="P76" s="109"/>
    </row>
    <row r="77" spans="1:20" ht="32.25" customHeight="1" x14ac:dyDescent="0.2">
      <c r="A77" s="554"/>
      <c r="B77" s="555"/>
      <c r="C77" s="19"/>
      <c r="D77" s="1118"/>
      <c r="E77" s="1219"/>
      <c r="F77" s="979"/>
      <c r="G77" s="530"/>
      <c r="H77" s="728"/>
      <c r="I77" s="678"/>
      <c r="J77" s="726"/>
      <c r="K77" s="1041"/>
      <c r="L77" s="258"/>
      <c r="M77" s="956"/>
      <c r="N77" s="594"/>
      <c r="P77" s="109"/>
      <c r="T77" s="109"/>
    </row>
    <row r="78" spans="1:20" ht="28.5" customHeight="1" thickBot="1" x14ac:dyDescent="0.25">
      <c r="A78" s="24"/>
      <c r="B78" s="14"/>
      <c r="C78" s="45"/>
      <c r="D78" s="946" t="s">
        <v>188</v>
      </c>
      <c r="E78" s="655"/>
      <c r="F78" s="656"/>
      <c r="G78" s="313" t="s">
        <v>16</v>
      </c>
      <c r="H78" s="683">
        <f>SUM(H73:H77)</f>
        <v>107159</v>
      </c>
      <c r="I78" s="684">
        <f>SUM(I73:I77)</f>
        <v>31540</v>
      </c>
      <c r="J78" s="684"/>
      <c r="K78" s="651"/>
      <c r="L78" s="652"/>
      <c r="M78" s="644"/>
      <c r="N78" s="645"/>
    </row>
    <row r="79" spans="1:20" ht="13.5" thickBot="1" x14ac:dyDescent="0.25">
      <c r="A79" s="30" t="s">
        <v>9</v>
      </c>
      <c r="B79" s="33" t="s">
        <v>10</v>
      </c>
      <c r="C79" s="1228" t="s">
        <v>15</v>
      </c>
      <c r="D79" s="1116"/>
      <c r="E79" s="1116"/>
      <c r="F79" s="1116"/>
      <c r="G79" s="1117"/>
      <c r="H79" s="700">
        <f>H78+H72+H56</f>
        <v>3357405</v>
      </c>
      <c r="I79" s="699">
        <f>I78+I72+I56</f>
        <v>3093518</v>
      </c>
      <c r="J79" s="700">
        <f>J78+J72+J56</f>
        <v>3047932</v>
      </c>
      <c r="K79" s="990"/>
      <c r="L79" s="991"/>
      <c r="M79" s="991"/>
      <c r="N79" s="992"/>
    </row>
    <row r="80" spans="1:20" ht="13.5" thickBot="1" x14ac:dyDescent="0.25">
      <c r="A80" s="18" t="s">
        <v>9</v>
      </c>
      <c r="B80" s="148" t="s">
        <v>11</v>
      </c>
      <c r="C80" s="1067" t="s">
        <v>136</v>
      </c>
      <c r="D80" s="1068"/>
      <c r="E80" s="1068"/>
      <c r="F80" s="1068"/>
      <c r="G80" s="1068"/>
      <c r="H80" s="1068"/>
      <c r="I80" s="1068"/>
      <c r="J80" s="1068"/>
      <c r="K80" s="1068"/>
      <c r="L80" s="1068"/>
      <c r="M80" s="1068"/>
      <c r="N80" s="1069"/>
    </row>
    <row r="81" spans="1:18" ht="42.75" customHeight="1" x14ac:dyDescent="0.2">
      <c r="A81" s="21" t="s">
        <v>9</v>
      </c>
      <c r="B81" s="27" t="s">
        <v>11</v>
      </c>
      <c r="C81" s="22" t="s">
        <v>9</v>
      </c>
      <c r="D81" s="446" t="s">
        <v>71</v>
      </c>
      <c r="E81" s="1231" t="s">
        <v>189</v>
      </c>
      <c r="F81" s="947">
        <v>2</v>
      </c>
      <c r="G81" s="657" t="s">
        <v>12</v>
      </c>
      <c r="H81" s="672">
        <f>60/3.4528*1000</f>
        <v>17377</v>
      </c>
      <c r="I81" s="673">
        <f>120/3.4528*1000</f>
        <v>34754</v>
      </c>
      <c r="J81" s="673">
        <f>180/3.4528*1000</f>
        <v>52132</v>
      </c>
      <c r="K81" s="219"/>
      <c r="L81" s="104"/>
      <c r="M81" s="105"/>
      <c r="N81" s="106"/>
    </row>
    <row r="82" spans="1:18" ht="42" customHeight="1" x14ac:dyDescent="0.2">
      <c r="A82" s="554"/>
      <c r="B82" s="555"/>
      <c r="C82" s="19"/>
      <c r="D82" s="571" t="s">
        <v>100</v>
      </c>
      <c r="E82" s="1232"/>
      <c r="F82" s="948"/>
      <c r="G82" s="569"/>
      <c r="H82" s="675"/>
      <c r="I82" s="729"/>
      <c r="J82" s="729"/>
      <c r="K82" s="572" t="s">
        <v>201</v>
      </c>
      <c r="L82" s="220">
        <v>1</v>
      </c>
      <c r="M82" s="221">
        <v>1</v>
      </c>
      <c r="N82" s="222">
        <v>1</v>
      </c>
      <c r="O82" s="839"/>
    </row>
    <row r="83" spans="1:18" ht="12.75" customHeight="1" x14ac:dyDescent="0.2">
      <c r="A83" s="554"/>
      <c r="B83" s="555"/>
      <c r="C83" s="19"/>
      <c r="D83" s="1229" t="s">
        <v>163</v>
      </c>
      <c r="E83" s="1232"/>
      <c r="F83" s="948"/>
      <c r="G83" s="569"/>
      <c r="H83" s="675"/>
      <c r="I83" s="730"/>
      <c r="J83" s="730"/>
      <c r="K83" s="661" t="s">
        <v>202</v>
      </c>
      <c r="L83" s="658"/>
      <c r="M83" s="659">
        <v>1</v>
      </c>
      <c r="N83" s="660">
        <v>1</v>
      </c>
      <c r="R83" s="109"/>
    </row>
    <row r="84" spans="1:18" ht="28.5" customHeight="1" x14ac:dyDescent="0.2">
      <c r="A84" s="554"/>
      <c r="B84" s="555"/>
      <c r="C84" s="19"/>
      <c r="D84" s="1229"/>
      <c r="E84" s="1232"/>
      <c r="F84" s="948"/>
      <c r="G84" s="74"/>
      <c r="H84" s="835"/>
      <c r="I84" s="936"/>
      <c r="J84" s="936"/>
      <c r="K84" s="817" t="s">
        <v>203</v>
      </c>
      <c r="L84" s="658">
        <v>1</v>
      </c>
      <c r="M84" s="659">
        <v>1</v>
      </c>
      <c r="N84" s="660">
        <v>1</v>
      </c>
      <c r="P84" s="109"/>
    </row>
    <row r="85" spans="1:18" ht="51" x14ac:dyDescent="0.2">
      <c r="A85" s="554"/>
      <c r="B85" s="555"/>
      <c r="C85" s="19"/>
      <c r="D85" s="965" t="s">
        <v>214</v>
      </c>
      <c r="E85" s="666"/>
      <c r="F85" s="948"/>
      <c r="G85" s="569"/>
      <c r="H85" s="675"/>
      <c r="I85" s="729"/>
      <c r="J85" s="729"/>
      <c r="K85" s="935" t="s">
        <v>204</v>
      </c>
      <c r="L85" s="220"/>
      <c r="M85" s="221">
        <v>2</v>
      </c>
      <c r="N85" s="222">
        <v>4</v>
      </c>
      <c r="P85" s="109"/>
      <c r="R85" s="109"/>
    </row>
    <row r="86" spans="1:18" x14ac:dyDescent="0.2">
      <c r="A86" s="554"/>
      <c r="B86" s="555"/>
      <c r="C86" s="19"/>
      <c r="D86" s="1229" t="s">
        <v>73</v>
      </c>
      <c r="E86" s="666"/>
      <c r="F86" s="948"/>
      <c r="G86" s="619"/>
      <c r="H86" s="680"/>
      <c r="I86" s="731"/>
      <c r="J86" s="731"/>
      <c r="K86" s="582"/>
      <c r="L86" s="472"/>
      <c r="M86" s="221"/>
      <c r="N86" s="222"/>
    </row>
    <row r="87" spans="1:18" ht="43.5" customHeight="1" thickBot="1" x14ac:dyDescent="0.25">
      <c r="A87" s="24"/>
      <c r="B87" s="14"/>
      <c r="C87" s="45"/>
      <c r="D87" s="1230"/>
      <c r="E87" s="667"/>
      <c r="F87" s="395"/>
      <c r="G87" s="570" t="s">
        <v>16</v>
      </c>
      <c r="H87" s="683">
        <f>SUM(H81:H86)</f>
        <v>17377</v>
      </c>
      <c r="I87" s="732">
        <f>SUM(I81:I86)</f>
        <v>34754</v>
      </c>
      <c r="J87" s="732">
        <f>SUM(J81:J86)</f>
        <v>52132</v>
      </c>
      <c r="K87" s="841"/>
      <c r="L87" s="606"/>
      <c r="M87" s="607"/>
      <c r="N87" s="608"/>
    </row>
    <row r="88" spans="1:18" ht="51" x14ac:dyDescent="0.2">
      <c r="A88" s="21" t="s">
        <v>9</v>
      </c>
      <c r="B88" s="27" t="s">
        <v>11</v>
      </c>
      <c r="C88" s="22" t="s">
        <v>10</v>
      </c>
      <c r="D88" s="662" t="s">
        <v>79</v>
      </c>
      <c r="E88" s="474"/>
      <c r="F88" s="1076">
        <v>2</v>
      </c>
      <c r="G88" s="657" t="s">
        <v>12</v>
      </c>
      <c r="H88" s="672"/>
      <c r="I88" s="733">
        <f>30/3.4528*1000</f>
        <v>8689</v>
      </c>
      <c r="J88" s="733">
        <f>70/3.4528*1000</f>
        <v>20273</v>
      </c>
      <c r="K88" s="219"/>
      <c r="L88" s="104"/>
      <c r="M88" s="105"/>
      <c r="N88" s="106"/>
    </row>
    <row r="89" spans="1:18" ht="42" customHeight="1" x14ac:dyDescent="0.2">
      <c r="A89" s="25"/>
      <c r="B89" s="28"/>
      <c r="C89" s="19"/>
      <c r="D89" s="118" t="s">
        <v>164</v>
      </c>
      <c r="E89" s="845" t="s">
        <v>96</v>
      </c>
      <c r="F89" s="1077"/>
      <c r="G89" s="417"/>
      <c r="H89" s="675"/>
      <c r="I89" s="695"/>
      <c r="J89" s="734"/>
      <c r="K89" s="83" t="s">
        <v>132</v>
      </c>
      <c r="L89" s="258"/>
      <c r="M89" s="956">
        <v>2</v>
      </c>
      <c r="N89" s="966">
        <v>3</v>
      </c>
      <c r="O89" s="840"/>
      <c r="P89" s="109"/>
      <c r="R89" s="109"/>
    </row>
    <row r="90" spans="1:18" ht="23.25" customHeight="1" x14ac:dyDescent="0.2">
      <c r="A90" s="554"/>
      <c r="B90" s="555"/>
      <c r="C90" s="19"/>
      <c r="D90" s="1063" t="s">
        <v>165</v>
      </c>
      <c r="E90" s="1211" t="s">
        <v>81</v>
      </c>
      <c r="F90" s="1077"/>
      <c r="G90" s="619"/>
      <c r="H90" s="680"/>
      <c r="I90" s="707"/>
      <c r="J90" s="707"/>
      <c r="K90" s="970" t="s">
        <v>205</v>
      </c>
      <c r="L90" s="479"/>
      <c r="M90" s="477">
        <v>1</v>
      </c>
      <c r="N90" s="478">
        <v>1</v>
      </c>
      <c r="O90" s="840"/>
    </row>
    <row r="91" spans="1:18" ht="17.25" customHeight="1" thickBot="1" x14ac:dyDescent="0.25">
      <c r="A91" s="24"/>
      <c r="B91" s="14"/>
      <c r="C91" s="45"/>
      <c r="D91" s="987"/>
      <c r="E91" s="1212"/>
      <c r="F91" s="1078"/>
      <c r="G91" s="570" t="s">
        <v>16</v>
      </c>
      <c r="H91" s="683"/>
      <c r="I91" s="708">
        <f>SUM(I88:I90)</f>
        <v>8689</v>
      </c>
      <c r="J91" s="708">
        <f>SUM(J88:J90)</f>
        <v>20273</v>
      </c>
      <c r="K91" s="971"/>
      <c r="L91" s="225"/>
      <c r="M91" s="962"/>
      <c r="N91" s="963"/>
      <c r="O91" s="840"/>
    </row>
    <row r="92" spans="1:18" ht="29.25" customHeight="1" x14ac:dyDescent="0.2">
      <c r="A92" s="21" t="s">
        <v>9</v>
      </c>
      <c r="B92" s="27" t="s">
        <v>11</v>
      </c>
      <c r="C92" s="22" t="s">
        <v>11</v>
      </c>
      <c r="D92" s="446" t="s">
        <v>86</v>
      </c>
      <c r="E92" s="1210" t="s">
        <v>90</v>
      </c>
      <c r="F92" s="978" t="s">
        <v>35</v>
      </c>
      <c r="G92" s="657" t="s">
        <v>12</v>
      </c>
      <c r="H92" s="672"/>
      <c r="I92" s="735">
        <f>25/3.4528*1000</f>
        <v>7241</v>
      </c>
      <c r="J92" s="735">
        <f>35/3.4528*1000</f>
        <v>10137</v>
      </c>
      <c r="K92" s="597"/>
      <c r="L92" s="223"/>
      <c r="M92" s="205"/>
      <c r="N92" s="224"/>
    </row>
    <row r="93" spans="1:18" ht="17.25" customHeight="1" x14ac:dyDescent="0.2">
      <c r="A93" s="554"/>
      <c r="B93" s="555"/>
      <c r="C93" s="19"/>
      <c r="D93" s="943" t="s">
        <v>215</v>
      </c>
      <c r="E93" s="1211"/>
      <c r="F93" s="979"/>
      <c r="G93" s="569"/>
      <c r="H93" s="675"/>
      <c r="I93" s="694"/>
      <c r="J93" s="695"/>
      <c r="K93" s="573" t="s">
        <v>206</v>
      </c>
      <c r="L93" s="479"/>
      <c r="M93" s="477">
        <v>3</v>
      </c>
      <c r="N93" s="478">
        <v>4</v>
      </c>
    </row>
    <row r="94" spans="1:18" ht="15.75" customHeight="1" x14ac:dyDescent="0.2">
      <c r="A94" s="554"/>
      <c r="B94" s="555"/>
      <c r="C94" s="19"/>
      <c r="D94" s="1063" t="s">
        <v>87</v>
      </c>
      <c r="E94" s="1211"/>
      <c r="F94" s="979"/>
      <c r="G94" s="619"/>
      <c r="H94" s="680"/>
      <c r="I94" s="736"/>
      <c r="J94" s="737"/>
      <c r="K94" s="970" t="s">
        <v>192</v>
      </c>
      <c r="L94" s="479"/>
      <c r="M94" s="477">
        <v>2</v>
      </c>
      <c r="N94" s="478">
        <v>3</v>
      </c>
    </row>
    <row r="95" spans="1:18" ht="13.5" thickBot="1" x14ac:dyDescent="0.25">
      <c r="A95" s="24"/>
      <c r="B95" s="14"/>
      <c r="C95" s="45"/>
      <c r="D95" s="987"/>
      <c r="E95" s="1212"/>
      <c r="F95" s="980"/>
      <c r="G95" s="570" t="s">
        <v>16</v>
      </c>
      <c r="H95" s="683"/>
      <c r="I95" s="708">
        <f>SUM(I92:I94)</f>
        <v>7241</v>
      </c>
      <c r="J95" s="685">
        <f>SUM(J92:J94)</f>
        <v>10137</v>
      </c>
      <c r="K95" s="971"/>
      <c r="L95" s="961"/>
      <c r="M95" s="962"/>
      <c r="N95" s="963"/>
      <c r="P95" s="109"/>
    </row>
    <row r="96" spans="1:18" ht="39.75" customHeight="1" x14ac:dyDescent="0.2">
      <c r="A96" s="21" t="s">
        <v>9</v>
      </c>
      <c r="B96" s="27" t="s">
        <v>11</v>
      </c>
      <c r="C96" s="22" t="s">
        <v>13</v>
      </c>
      <c r="D96" s="986" t="s">
        <v>166</v>
      </c>
      <c r="E96" s="1210" t="s">
        <v>84</v>
      </c>
      <c r="F96" s="998" t="s">
        <v>35</v>
      </c>
      <c r="G96" s="618" t="s">
        <v>12</v>
      </c>
      <c r="H96" s="893">
        <v>11584</v>
      </c>
      <c r="I96" s="687">
        <v>11584</v>
      </c>
      <c r="J96" s="687">
        <f>40/3.4528*1000</f>
        <v>11585</v>
      </c>
      <c r="K96" s="566" t="s">
        <v>207</v>
      </c>
      <c r="L96" s="563">
        <v>4</v>
      </c>
      <c r="M96" s="205">
        <v>10</v>
      </c>
      <c r="N96" s="224">
        <v>10</v>
      </c>
      <c r="O96" s="840"/>
    </row>
    <row r="97" spans="1:15" ht="13.5" thickBot="1" x14ac:dyDescent="0.25">
      <c r="A97" s="24"/>
      <c r="B97" s="14"/>
      <c r="C97" s="45"/>
      <c r="D97" s="987"/>
      <c r="E97" s="1212"/>
      <c r="F97" s="999"/>
      <c r="G97" s="570" t="s">
        <v>16</v>
      </c>
      <c r="H97" s="698">
        <f>H96</f>
        <v>11584</v>
      </c>
      <c r="I97" s="708">
        <f t="shared" ref="I97:J97" si="1">I96</f>
        <v>11584</v>
      </c>
      <c r="J97" s="685">
        <f t="shared" si="1"/>
        <v>11585</v>
      </c>
      <c r="K97" s="574"/>
      <c r="L97" s="961"/>
      <c r="M97" s="962"/>
      <c r="N97" s="963"/>
      <c r="O97" s="840"/>
    </row>
    <row r="98" spans="1:15" ht="14.25" customHeight="1" thickBot="1" x14ac:dyDescent="0.25">
      <c r="A98" s="30" t="s">
        <v>9</v>
      </c>
      <c r="B98" s="33" t="s">
        <v>11</v>
      </c>
      <c r="C98" s="1228" t="s">
        <v>15</v>
      </c>
      <c r="D98" s="1116"/>
      <c r="E98" s="1116"/>
      <c r="F98" s="1116"/>
      <c r="G98" s="1117"/>
      <c r="H98" s="738">
        <f>H97+H95+H91+H87</f>
        <v>28961</v>
      </c>
      <c r="I98" s="739">
        <f>I97+I91+I87+I95</f>
        <v>62268</v>
      </c>
      <c r="J98" s="739">
        <f>J97+J91+J87+J95</f>
        <v>94127</v>
      </c>
      <c r="K98" s="990"/>
      <c r="L98" s="991"/>
      <c r="M98" s="991"/>
      <c r="N98" s="992"/>
    </row>
    <row r="99" spans="1:15" ht="14.25" customHeight="1" thickBot="1" x14ac:dyDescent="0.25">
      <c r="A99" s="13" t="s">
        <v>9</v>
      </c>
      <c r="B99" s="1202" t="s">
        <v>17</v>
      </c>
      <c r="C99" s="1096"/>
      <c r="D99" s="1096"/>
      <c r="E99" s="1096"/>
      <c r="F99" s="1096"/>
      <c r="G99" s="1097"/>
      <c r="H99" s="740">
        <f>H98+H79+H29</f>
        <v>3998422</v>
      </c>
      <c r="I99" s="741">
        <f>I79+I29+I98</f>
        <v>3888582</v>
      </c>
      <c r="J99" s="741">
        <f>J79+J29+J98</f>
        <v>3929883</v>
      </c>
      <c r="K99" s="1070"/>
      <c r="L99" s="1071"/>
      <c r="M99" s="1071"/>
      <c r="N99" s="1072"/>
    </row>
    <row r="100" spans="1:15" ht="14.25" customHeight="1" thickBot="1" x14ac:dyDescent="0.25">
      <c r="A100" s="31" t="s">
        <v>14</v>
      </c>
      <c r="B100" s="1203" t="s">
        <v>85</v>
      </c>
      <c r="C100" s="1101"/>
      <c r="D100" s="1101"/>
      <c r="E100" s="1101"/>
      <c r="F100" s="1101"/>
      <c r="G100" s="1102"/>
      <c r="H100" s="742">
        <f>H99</f>
        <v>3998422</v>
      </c>
      <c r="I100" s="744">
        <f t="shared" ref="I100" si="2">I99</f>
        <v>3888582</v>
      </c>
      <c r="J100" s="743">
        <f>J99</f>
        <v>3929883</v>
      </c>
      <c r="K100" s="1007"/>
      <c r="L100" s="1008"/>
      <c r="M100" s="1008"/>
      <c r="N100" s="1009"/>
    </row>
    <row r="101" spans="1:15" ht="14.25" customHeight="1" x14ac:dyDescent="0.2">
      <c r="A101" s="622"/>
      <c r="B101" s="623"/>
      <c r="C101" s="623"/>
      <c r="D101" s="623"/>
      <c r="E101" s="623"/>
      <c r="F101" s="623"/>
      <c r="G101" s="623"/>
      <c r="H101" s="745"/>
      <c r="I101" s="745"/>
      <c r="J101" s="745"/>
      <c r="K101" s="621"/>
      <c r="L101" s="621"/>
      <c r="M101" s="621"/>
      <c r="N101" s="621"/>
    </row>
    <row r="102" spans="1:15" ht="15.75" customHeight="1" thickBot="1" x14ac:dyDescent="0.25">
      <c r="A102" s="1192" t="s">
        <v>21</v>
      </c>
      <c r="B102" s="1192"/>
      <c r="C102" s="1192"/>
      <c r="D102" s="1192"/>
      <c r="E102" s="1192"/>
      <c r="F102" s="1192"/>
      <c r="G102" s="1192"/>
      <c r="H102" s="1192"/>
      <c r="I102" s="1192"/>
      <c r="J102" s="1192"/>
      <c r="K102" s="243"/>
      <c r="L102" s="609"/>
      <c r="M102" s="609"/>
      <c r="N102" s="609"/>
    </row>
    <row r="103" spans="1:15" ht="42" customHeight="1" x14ac:dyDescent="0.2">
      <c r="A103" s="1193" t="s">
        <v>19</v>
      </c>
      <c r="B103" s="1194"/>
      <c r="C103" s="1194"/>
      <c r="D103" s="1194"/>
      <c r="E103" s="1194"/>
      <c r="F103" s="1194"/>
      <c r="G103" s="1195"/>
      <c r="H103" s="746" t="s">
        <v>179</v>
      </c>
      <c r="I103" s="747" t="s">
        <v>180</v>
      </c>
      <c r="J103" s="747" t="s">
        <v>181</v>
      </c>
      <c r="K103" s="69"/>
      <c r="L103" s="1093"/>
      <c r="M103" s="1093"/>
      <c r="N103" s="1093"/>
    </row>
    <row r="104" spans="1:15" x14ac:dyDescent="0.2">
      <c r="A104" s="1207" t="s">
        <v>32</v>
      </c>
      <c r="B104" s="1208"/>
      <c r="C104" s="1208"/>
      <c r="D104" s="1208"/>
      <c r="E104" s="1208"/>
      <c r="F104" s="1208"/>
      <c r="G104" s="1209"/>
      <c r="H104" s="748">
        <f ca="1">SUM(H105:H109)</f>
        <v>3910349</v>
      </c>
      <c r="I104" s="749">
        <f>SUM(I105:I109)</f>
        <v>3721270</v>
      </c>
      <c r="J104" s="749">
        <f>SUM(J105:J109)</f>
        <v>3584106</v>
      </c>
      <c r="K104" s="70"/>
      <c r="L104" s="1091"/>
      <c r="M104" s="1091"/>
      <c r="N104" s="1091"/>
    </row>
    <row r="105" spans="1:15" x14ac:dyDescent="0.2">
      <c r="A105" s="1103" t="s">
        <v>22</v>
      </c>
      <c r="B105" s="1104"/>
      <c r="C105" s="1104"/>
      <c r="D105" s="1104"/>
      <c r="E105" s="1104"/>
      <c r="F105" s="1104"/>
      <c r="G105" s="1105"/>
      <c r="H105" s="750">
        <f>SUMIF(G12:G96,"sb",H12:H96)</f>
        <v>3342718</v>
      </c>
      <c r="I105" s="751">
        <f>SUMIF(G12:G96,"sb",I12:I96)</f>
        <v>3192279</v>
      </c>
      <c r="J105" s="751">
        <f>SUMIF(G12:G96,"sb",J12:J96)</f>
        <v>3000319</v>
      </c>
      <c r="K105" s="139"/>
      <c r="L105" s="1092"/>
      <c r="M105" s="1092"/>
      <c r="N105" s="1092"/>
    </row>
    <row r="106" spans="1:15" x14ac:dyDescent="0.2">
      <c r="A106" s="1103" t="s">
        <v>99</v>
      </c>
      <c r="B106" s="1104"/>
      <c r="C106" s="1104"/>
      <c r="D106" s="1104"/>
      <c r="E106" s="1104"/>
      <c r="F106" s="1104"/>
      <c r="G106" s="1105"/>
      <c r="H106" s="750">
        <f>SUMIF(G12:G96,"sb(vr)",H12:H96)</f>
        <v>134413</v>
      </c>
      <c r="I106" s="751">
        <f>SUMIF(G13:G96,"sb(vr)",I13:I96)</f>
        <v>152919</v>
      </c>
      <c r="J106" s="751">
        <f>SUMIF(G13:G96,"sb(vr)",J13:J96)</f>
        <v>152919</v>
      </c>
      <c r="K106" s="568"/>
      <c r="L106" s="945"/>
      <c r="M106" s="945"/>
      <c r="N106" s="945"/>
    </row>
    <row r="107" spans="1:15" ht="27" customHeight="1" x14ac:dyDescent="0.2">
      <c r="A107" s="1204" t="s">
        <v>31</v>
      </c>
      <c r="B107" s="1205"/>
      <c r="C107" s="1205"/>
      <c r="D107" s="1205"/>
      <c r="E107" s="1205"/>
      <c r="F107" s="1205"/>
      <c r="G107" s="1206"/>
      <c r="H107" s="752">
        <f>SUMIF(G12:G96,"sb(sp)",H12:H96)</f>
        <v>342331</v>
      </c>
      <c r="I107" s="753">
        <f>SUMIF(G13:G96,"sb(sp)",I13:I96)</f>
        <v>376072</v>
      </c>
      <c r="J107" s="753">
        <f>SUMIF(G13:G96,"SB(SP)",J13:J96)</f>
        <v>376072</v>
      </c>
      <c r="K107" s="624"/>
      <c r="L107" s="1092"/>
      <c r="M107" s="1092"/>
      <c r="N107" s="1092"/>
    </row>
    <row r="108" spans="1:15" ht="14.25" customHeight="1" x14ac:dyDescent="0.2">
      <c r="A108" s="1204" t="s">
        <v>224</v>
      </c>
      <c r="B108" s="1205"/>
      <c r="C108" s="1205"/>
      <c r="D108" s="1205"/>
      <c r="E108" s="1205"/>
      <c r="F108" s="1205"/>
      <c r="G108" s="1206"/>
      <c r="H108" s="752">
        <f>SUMIF(G12:G96,"SB(SPL)",H12:H96)</f>
        <v>90887</v>
      </c>
      <c r="I108" s="753"/>
      <c r="J108" s="854"/>
      <c r="K108" s="944"/>
      <c r="L108" s="945"/>
      <c r="M108" s="945"/>
      <c r="N108" s="945"/>
    </row>
    <row r="109" spans="1:15" s="8" customFormat="1" x14ac:dyDescent="0.2">
      <c r="A109" s="1199" t="s">
        <v>168</v>
      </c>
      <c r="B109" s="1200"/>
      <c r="C109" s="1200"/>
      <c r="D109" s="1200"/>
      <c r="E109" s="1200"/>
      <c r="F109" s="1200"/>
      <c r="G109" s="1201"/>
      <c r="H109" s="754">
        <f ca="1">SUMIF(G12:H96,"sb(p)",H12:H96)</f>
        <v>0</v>
      </c>
      <c r="I109" s="755">
        <f>SUMIF(G13:G96,"SB(P)",I13:I96)</f>
        <v>0</v>
      </c>
      <c r="J109" s="756">
        <f>SUMIF(G13:G96,"SB(P)",J13:J96)</f>
        <v>54796</v>
      </c>
      <c r="K109" s="139"/>
      <c r="L109" s="945"/>
      <c r="M109" s="945"/>
      <c r="N109" s="945"/>
      <c r="O109" s="671"/>
    </row>
    <row r="110" spans="1:15" x14ac:dyDescent="0.2">
      <c r="A110" s="1207" t="s">
        <v>33</v>
      </c>
      <c r="B110" s="1208"/>
      <c r="C110" s="1208"/>
      <c r="D110" s="1208"/>
      <c r="E110" s="1208"/>
      <c r="F110" s="1208"/>
      <c r="G110" s="1209"/>
      <c r="H110" s="748">
        <f>SUM(H111:H112)</f>
        <v>88073</v>
      </c>
      <c r="I110" s="757">
        <f>SUM(I111:I112)</f>
        <v>167312</v>
      </c>
      <c r="J110" s="757">
        <f>SUM(J111:J112)</f>
        <v>345777</v>
      </c>
      <c r="K110" s="70"/>
      <c r="L110" s="1091"/>
      <c r="M110" s="1091"/>
      <c r="N110" s="1091"/>
    </row>
    <row r="111" spans="1:15" x14ac:dyDescent="0.2">
      <c r="A111" s="1103" t="s">
        <v>23</v>
      </c>
      <c r="B111" s="1104"/>
      <c r="C111" s="1104"/>
      <c r="D111" s="1104"/>
      <c r="E111" s="1104"/>
      <c r="F111" s="1104"/>
      <c r="G111" s="1105"/>
      <c r="H111" s="750">
        <f>SUMIF(G12:G96,"es",H12:H96)</f>
        <v>88073</v>
      </c>
      <c r="I111" s="751">
        <f>SUMIF(G13:G96,"es",I13:I96)</f>
        <v>103596</v>
      </c>
      <c r="J111" s="751">
        <f>SUMIF(G13:G96,"es",J13:J96)</f>
        <v>297121</v>
      </c>
      <c r="K111" s="139"/>
      <c r="L111" s="1092"/>
      <c r="M111" s="1092"/>
      <c r="N111" s="1092"/>
    </row>
    <row r="112" spans="1:15" x14ac:dyDescent="0.2">
      <c r="A112" s="1103" t="s">
        <v>24</v>
      </c>
      <c r="B112" s="1104"/>
      <c r="C112" s="1104"/>
      <c r="D112" s="1104"/>
      <c r="E112" s="1104"/>
      <c r="F112" s="1104"/>
      <c r="G112" s="1105"/>
      <c r="H112" s="750">
        <f>SUMIF(G12:G96,"lrvb",H12:H96)</f>
        <v>0</v>
      </c>
      <c r="I112" s="751">
        <f>SUMIF(G13:G96,"lrvb",I13:I96)</f>
        <v>63716</v>
      </c>
      <c r="J112" s="751">
        <f>SUMIF(G13:G96,"lrvb",J13:J96)</f>
        <v>48656</v>
      </c>
      <c r="K112" s="139"/>
      <c r="L112" s="1092"/>
      <c r="M112" s="1092"/>
      <c r="N112" s="1092"/>
    </row>
    <row r="113" spans="1:14" ht="13.5" thickBot="1" x14ac:dyDescent="0.25">
      <c r="A113" s="1216" t="s">
        <v>16</v>
      </c>
      <c r="B113" s="1217"/>
      <c r="C113" s="1217"/>
      <c r="D113" s="1217"/>
      <c r="E113" s="1217"/>
      <c r="F113" s="1217"/>
      <c r="G113" s="1218"/>
      <c r="H113" s="686">
        <f ca="1">H110+H104</f>
        <v>3998422</v>
      </c>
      <c r="I113" s="685">
        <f>I110+I104</f>
        <v>3888582</v>
      </c>
      <c r="J113" s="685">
        <f>J110+J104</f>
        <v>3929883</v>
      </c>
      <c r="K113" s="70"/>
      <c r="L113" s="1091"/>
      <c r="M113" s="1091"/>
      <c r="N113" s="1091"/>
    </row>
    <row r="114" spans="1:14" x14ac:dyDescent="0.2">
      <c r="A114" s="47"/>
      <c r="B114" s="47"/>
      <c r="C114" s="47"/>
      <c r="D114" s="47"/>
      <c r="K114" s="71"/>
      <c r="L114" s="1092"/>
      <c r="M114" s="1092"/>
      <c r="N114" s="1092"/>
    </row>
    <row r="115" spans="1:14" x14ac:dyDescent="0.2">
      <c r="L115" s="1089"/>
      <c r="M115" s="1089"/>
      <c r="N115" s="1089"/>
    </row>
    <row r="116" spans="1:14" x14ac:dyDescent="0.2">
      <c r="K116" s="10"/>
      <c r="L116" s="610"/>
      <c r="M116" s="610"/>
      <c r="N116" s="610"/>
    </row>
    <row r="117" spans="1:14" x14ac:dyDescent="0.2">
      <c r="A117" s="1"/>
      <c r="B117" s="1"/>
      <c r="C117" s="1"/>
      <c r="D117" s="1"/>
      <c r="E117" s="1"/>
      <c r="F117" s="1"/>
      <c r="G117" s="1"/>
      <c r="H117" s="759"/>
      <c r="I117" s="669"/>
      <c r="J117" s="669"/>
      <c r="K117" s="51"/>
      <c r="L117" s="611"/>
      <c r="M117" s="611"/>
      <c r="N117" s="611"/>
    </row>
    <row r="118" spans="1:14" x14ac:dyDescent="0.2">
      <c r="A118" s="1"/>
      <c r="B118" s="1"/>
      <c r="C118" s="1"/>
      <c r="D118" s="1"/>
      <c r="E118" s="1"/>
      <c r="F118" s="1"/>
      <c r="G118" s="1"/>
      <c r="H118" s="759"/>
      <c r="I118" s="669"/>
      <c r="J118" s="669"/>
      <c r="K118" s="49"/>
      <c r="L118" s="611"/>
      <c r="M118" s="611"/>
      <c r="N118" s="611"/>
    </row>
    <row r="119" spans="1:14" x14ac:dyDescent="0.2">
      <c r="A119" s="1"/>
      <c r="B119" s="1"/>
      <c r="C119" s="1"/>
      <c r="D119" s="1"/>
      <c r="E119" s="1"/>
      <c r="F119" s="1"/>
      <c r="G119" s="1"/>
      <c r="H119" s="759"/>
      <c r="I119" s="669"/>
      <c r="J119" s="669"/>
      <c r="K119" s="49"/>
      <c r="L119" s="611"/>
      <c r="M119" s="611"/>
      <c r="N119" s="611"/>
    </row>
    <row r="120" spans="1:14" x14ac:dyDescent="0.2">
      <c r="A120" s="1"/>
      <c r="B120" s="1"/>
      <c r="C120" s="1"/>
      <c r="D120" s="1"/>
      <c r="E120" s="1"/>
      <c r="F120" s="1"/>
      <c r="G120" s="1"/>
      <c r="H120" s="759"/>
      <c r="I120" s="669"/>
      <c r="J120" s="669"/>
      <c r="K120" s="49"/>
      <c r="L120" s="611"/>
      <c r="M120" s="611"/>
      <c r="N120" s="61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668"/>
      <c r="L129" s="1"/>
      <c r="M129" s="1"/>
      <c r="N129" s="1"/>
    </row>
  </sheetData>
  <mergeCells count="125">
    <mergeCell ref="A108:G108"/>
    <mergeCell ref="A1:N1"/>
    <mergeCell ref="A2:N2"/>
    <mergeCell ref="A3:N3"/>
    <mergeCell ref="M4:N4"/>
    <mergeCell ref="A5:A7"/>
    <mergeCell ref="B5:B7"/>
    <mergeCell ref="C5:C7"/>
    <mergeCell ref="D5:D7"/>
    <mergeCell ref="E5:E7"/>
    <mergeCell ref="I5:I7"/>
    <mergeCell ref="J5:J7"/>
    <mergeCell ref="K5:N5"/>
    <mergeCell ref="A9:N9"/>
    <mergeCell ref="B10:N10"/>
    <mergeCell ref="C11:N11"/>
    <mergeCell ref="D17:D18"/>
    <mergeCell ref="K17:K18"/>
    <mergeCell ref="E12:E13"/>
    <mergeCell ref="C29:G29"/>
    <mergeCell ref="K29:N29"/>
    <mergeCell ref="K6:K7"/>
    <mergeCell ref="L6:N6"/>
    <mergeCell ref="A8:N8"/>
    <mergeCell ref="F5:F7"/>
    <mergeCell ref="G5:G7"/>
    <mergeCell ref="D19:D20"/>
    <mergeCell ref="E19:E20"/>
    <mergeCell ref="F19:F20"/>
    <mergeCell ref="D21:D22"/>
    <mergeCell ref="E21:E22"/>
    <mergeCell ref="C30:N30"/>
    <mergeCell ref="D31:D32"/>
    <mergeCell ref="D33:D35"/>
    <mergeCell ref="K21:K22"/>
    <mergeCell ref="L21:L22"/>
    <mergeCell ref="M21:M22"/>
    <mergeCell ref="N21:N22"/>
    <mergeCell ref="D25:D26"/>
    <mergeCell ref="D27:D28"/>
    <mergeCell ref="K25:K26"/>
    <mergeCell ref="K33:K36"/>
    <mergeCell ref="L33:L36"/>
    <mergeCell ref="M33:M36"/>
    <mergeCell ref="N33:N36"/>
    <mergeCell ref="E31:E36"/>
    <mergeCell ref="F21:F22"/>
    <mergeCell ref="D48:D50"/>
    <mergeCell ref="K48:K50"/>
    <mergeCell ref="K54:K55"/>
    <mergeCell ref="D36:D37"/>
    <mergeCell ref="D38:D40"/>
    <mergeCell ref="D41:D43"/>
    <mergeCell ref="D44:D45"/>
    <mergeCell ref="D46:D47"/>
    <mergeCell ref="D51:D53"/>
    <mergeCell ref="E51:E53"/>
    <mergeCell ref="M54:M55"/>
    <mergeCell ref="E68:E71"/>
    <mergeCell ref="F68:F71"/>
    <mergeCell ref="K70:K71"/>
    <mergeCell ref="N54:N55"/>
    <mergeCell ref="D59:D60"/>
    <mergeCell ref="L54:L55"/>
    <mergeCell ref="E59:E60"/>
    <mergeCell ref="D61:D64"/>
    <mergeCell ref="D65:D67"/>
    <mergeCell ref="E65:E67"/>
    <mergeCell ref="F65:F67"/>
    <mergeCell ref="D54:D56"/>
    <mergeCell ref="K63:K64"/>
    <mergeCell ref="D76:D77"/>
    <mergeCell ref="E76:E77"/>
    <mergeCell ref="F76:F77"/>
    <mergeCell ref="K76:K77"/>
    <mergeCell ref="E72:G72"/>
    <mergeCell ref="D68:D72"/>
    <mergeCell ref="K68:K69"/>
    <mergeCell ref="K94:K95"/>
    <mergeCell ref="L103:N103"/>
    <mergeCell ref="K98:N98"/>
    <mergeCell ref="C79:G79"/>
    <mergeCell ref="K79:N79"/>
    <mergeCell ref="C80:N80"/>
    <mergeCell ref="D83:D84"/>
    <mergeCell ref="D86:D87"/>
    <mergeCell ref="D96:D97"/>
    <mergeCell ref="E96:E97"/>
    <mergeCell ref="F96:F97"/>
    <mergeCell ref="C98:G98"/>
    <mergeCell ref="E81:E84"/>
    <mergeCell ref="L114:N114"/>
    <mergeCell ref="L115:N115"/>
    <mergeCell ref="A112:G112"/>
    <mergeCell ref="L112:N112"/>
    <mergeCell ref="A113:G113"/>
    <mergeCell ref="L113:N113"/>
    <mergeCell ref="A110:G110"/>
    <mergeCell ref="L110:N110"/>
    <mergeCell ref="A111:G111"/>
    <mergeCell ref="L111:N111"/>
    <mergeCell ref="A105:G105"/>
    <mergeCell ref="L105:N105"/>
    <mergeCell ref="A102:J102"/>
    <mergeCell ref="A103:G103"/>
    <mergeCell ref="H5:H7"/>
    <mergeCell ref="L107:N107"/>
    <mergeCell ref="A109:G109"/>
    <mergeCell ref="B99:G99"/>
    <mergeCell ref="K99:N99"/>
    <mergeCell ref="B100:G100"/>
    <mergeCell ref="K100:N100"/>
    <mergeCell ref="A106:G106"/>
    <mergeCell ref="A107:G107"/>
    <mergeCell ref="A104:G104"/>
    <mergeCell ref="L104:N104"/>
    <mergeCell ref="E92:E95"/>
    <mergeCell ref="F92:F95"/>
    <mergeCell ref="D94:D95"/>
    <mergeCell ref="F88:F91"/>
    <mergeCell ref="D90:D91"/>
    <mergeCell ref="E90:E91"/>
    <mergeCell ref="K90:K91"/>
    <mergeCell ref="D73:D74"/>
    <mergeCell ref="K73:K74"/>
  </mergeCells>
  <printOptions horizontalCentered="1"/>
  <pageMargins left="0.78740157480314965" right="0.19685039370078741" top="0.39370078740157483" bottom="0.39370078740157483" header="0.31496062992125984" footer="0.31496062992125984"/>
  <pageSetup paperSize="9" scale="80" orientation="portrait" r:id="rId1"/>
  <rowBreaks count="1" manualBreakCount="1">
    <brk id="50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4" sqref="B4"/>
    </sheetView>
  </sheetViews>
  <sheetFormatPr defaultColWidth="9.140625" defaultRowHeight="15.75" x14ac:dyDescent="0.25"/>
  <cols>
    <col min="1" max="1" width="22.7109375" style="111" customWidth="1"/>
    <col min="2" max="2" width="60.7109375" style="111" customWidth="1"/>
    <col min="3" max="16384" width="9.140625" style="111"/>
  </cols>
  <sheetData>
    <row r="1" spans="1:2" x14ac:dyDescent="0.25">
      <c r="A1" s="1252" t="s">
        <v>50</v>
      </c>
      <c r="B1" s="1252"/>
    </row>
    <row r="2" spans="1:2" ht="31.5" x14ac:dyDescent="0.25">
      <c r="A2" s="112" t="s">
        <v>5</v>
      </c>
      <c r="B2" s="113" t="s">
        <v>51</v>
      </c>
    </row>
    <row r="3" spans="1:2" x14ac:dyDescent="0.25">
      <c r="A3" s="112">
        <v>1</v>
      </c>
      <c r="B3" s="113" t="s">
        <v>52</v>
      </c>
    </row>
    <row r="4" spans="1:2" x14ac:dyDescent="0.25">
      <c r="A4" s="112">
        <v>2</v>
      </c>
      <c r="B4" s="113" t="s">
        <v>53</v>
      </c>
    </row>
    <row r="5" spans="1:2" x14ac:dyDescent="0.25">
      <c r="A5" s="112">
        <v>3</v>
      </c>
      <c r="B5" s="113" t="s">
        <v>54</v>
      </c>
    </row>
    <row r="6" spans="1:2" x14ac:dyDescent="0.25">
      <c r="A6" s="112">
        <v>4</v>
      </c>
      <c r="B6" s="113" t="s">
        <v>55</v>
      </c>
    </row>
    <row r="7" spans="1:2" x14ac:dyDescent="0.25">
      <c r="A7" s="112">
        <v>5</v>
      </c>
      <c r="B7" s="113" t="s">
        <v>56</v>
      </c>
    </row>
    <row r="8" spans="1:2" x14ac:dyDescent="0.25">
      <c r="A8" s="112">
        <v>6</v>
      </c>
      <c r="B8" s="113" t="s">
        <v>57</v>
      </c>
    </row>
    <row r="9" spans="1:2" ht="15.75" customHeight="1" x14ac:dyDescent="0.25"/>
    <row r="10" spans="1:2" ht="15.75" customHeight="1" x14ac:dyDescent="0.25">
      <c r="A10" s="1253" t="s">
        <v>58</v>
      </c>
      <c r="B10" s="1253"/>
    </row>
  </sheetData>
  <mergeCells count="2">
    <mergeCell ref="A1:B1"/>
    <mergeCell ref="A10:B10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19"/>
  <sheetViews>
    <sheetView zoomScaleNormal="100" zoomScaleSheetLayoutView="80" workbookViewId="0"/>
  </sheetViews>
  <sheetFormatPr defaultColWidth="9.140625" defaultRowHeight="12.75" x14ac:dyDescent="0.2"/>
  <cols>
    <col min="1" max="1" width="2.28515625" style="4" customWidth="1"/>
    <col min="2" max="2" width="2.42578125" style="4" customWidth="1"/>
    <col min="3" max="3" width="2.5703125" style="4" customWidth="1"/>
    <col min="4" max="4" width="27.28515625" style="4" customWidth="1"/>
    <col min="5" max="5" width="3.5703125" style="843" customWidth="1"/>
    <col min="6" max="6" width="2.7109375" style="41" customWidth="1"/>
    <col min="7" max="7" width="8.5703125" style="843" customWidth="1"/>
    <col min="8" max="8" width="10.140625" style="670" customWidth="1"/>
    <col min="9" max="9" width="10.42578125" style="670" customWidth="1"/>
    <col min="10" max="10" width="10.140625" style="670" customWidth="1"/>
    <col min="11" max="11" width="24.7109375" style="50" customWidth="1"/>
    <col min="12" max="12" width="5.85546875" style="41" customWidth="1"/>
    <col min="13" max="16384" width="9.140625" style="1"/>
  </cols>
  <sheetData>
    <row r="1" spans="1:16" ht="15.75" x14ac:dyDescent="0.2">
      <c r="K1" s="1254" t="s">
        <v>221</v>
      </c>
      <c r="L1" s="1254"/>
    </row>
    <row r="2" spans="1:16" s="11" customFormat="1" x14ac:dyDescent="0.2">
      <c r="A2" s="1012" t="s">
        <v>217</v>
      </c>
      <c r="B2" s="1012"/>
      <c r="C2" s="1012"/>
      <c r="D2" s="1012"/>
      <c r="E2" s="1012"/>
      <c r="F2" s="1012"/>
      <c r="G2" s="1012"/>
      <c r="H2" s="1012"/>
      <c r="I2" s="1012"/>
      <c r="J2" s="1012"/>
      <c r="K2" s="1012"/>
      <c r="L2" s="1012"/>
    </row>
    <row r="3" spans="1:16" s="11" customFormat="1" x14ac:dyDescent="0.2">
      <c r="A3" s="1024" t="s">
        <v>61</v>
      </c>
      <c r="B3" s="1025"/>
      <c r="C3" s="1025"/>
      <c r="D3" s="1025"/>
      <c r="E3" s="1025"/>
      <c r="F3" s="1025"/>
      <c r="G3" s="1025"/>
      <c r="H3" s="1025"/>
      <c r="I3" s="1025"/>
      <c r="J3" s="1025"/>
      <c r="K3" s="1025"/>
      <c r="L3" s="1025"/>
    </row>
    <row r="4" spans="1:16" s="11" customFormat="1" x14ac:dyDescent="0.2">
      <c r="A4" s="1012" t="s">
        <v>149</v>
      </c>
      <c r="B4" s="1032"/>
      <c r="C4" s="1032"/>
      <c r="D4" s="1032"/>
      <c r="E4" s="1032"/>
      <c r="F4" s="1032"/>
      <c r="G4" s="1032"/>
      <c r="H4" s="1032"/>
      <c r="I4" s="1032"/>
      <c r="J4" s="1032"/>
      <c r="K4" s="1032"/>
      <c r="L4" s="1032"/>
    </row>
    <row r="5" spans="1:16" s="11" customFormat="1" ht="13.5" thickBot="1" x14ac:dyDescent="0.25">
      <c r="A5" s="8"/>
      <c r="B5" s="8"/>
      <c r="C5" s="8"/>
      <c r="D5" s="8"/>
      <c r="E5" s="870"/>
      <c r="F5" s="42"/>
      <c r="G5" s="843"/>
      <c r="H5" s="670"/>
      <c r="I5" s="670"/>
      <c r="J5" s="670"/>
      <c r="K5" s="48"/>
      <c r="L5" s="42" t="s">
        <v>190</v>
      </c>
    </row>
    <row r="6" spans="1:16" s="11" customFormat="1" ht="13.5" customHeight="1" thickBot="1" x14ac:dyDescent="0.25">
      <c r="A6" s="1026" t="s">
        <v>1</v>
      </c>
      <c r="B6" s="1029" t="s">
        <v>2</v>
      </c>
      <c r="C6" s="1029" t="s">
        <v>3</v>
      </c>
      <c r="D6" s="1146" t="s">
        <v>25</v>
      </c>
      <c r="E6" s="1033" t="s">
        <v>4</v>
      </c>
      <c r="F6" s="1036" t="s">
        <v>5</v>
      </c>
      <c r="G6" s="1046" t="s">
        <v>6</v>
      </c>
      <c r="H6" s="1261" t="s">
        <v>156</v>
      </c>
      <c r="I6" s="1255" t="s">
        <v>219</v>
      </c>
      <c r="J6" s="1258" t="s">
        <v>218</v>
      </c>
      <c r="K6" s="1154" t="s">
        <v>150</v>
      </c>
      <c r="L6" s="1156"/>
    </row>
    <row r="7" spans="1:16" s="11" customFormat="1" ht="12.75" customHeight="1" x14ac:dyDescent="0.2">
      <c r="A7" s="1027"/>
      <c r="B7" s="1030"/>
      <c r="C7" s="1030"/>
      <c r="D7" s="1147"/>
      <c r="E7" s="1034"/>
      <c r="F7" s="1037"/>
      <c r="G7" s="1047"/>
      <c r="H7" s="1262"/>
      <c r="I7" s="1256"/>
      <c r="J7" s="1259"/>
      <c r="K7" s="1049" t="s">
        <v>25</v>
      </c>
      <c r="L7" s="764" t="s">
        <v>191</v>
      </c>
    </row>
    <row r="8" spans="1:16" s="11" customFormat="1" ht="101.25" customHeight="1" thickBot="1" x14ac:dyDescent="0.25">
      <c r="A8" s="1028"/>
      <c r="B8" s="1031"/>
      <c r="C8" s="1031"/>
      <c r="D8" s="1148"/>
      <c r="E8" s="1035"/>
      <c r="F8" s="1038"/>
      <c r="G8" s="1048"/>
      <c r="H8" s="1263"/>
      <c r="I8" s="1257"/>
      <c r="J8" s="1260"/>
      <c r="K8" s="1050"/>
      <c r="L8" s="765" t="s">
        <v>47</v>
      </c>
    </row>
    <row r="9" spans="1:16" ht="13.5" customHeight="1" x14ac:dyDescent="0.2">
      <c r="A9" s="1043" t="s">
        <v>30</v>
      </c>
      <c r="B9" s="1044"/>
      <c r="C9" s="1044"/>
      <c r="D9" s="1044"/>
      <c r="E9" s="1044"/>
      <c r="F9" s="1044"/>
      <c r="G9" s="1044"/>
      <c r="H9" s="1044"/>
      <c r="I9" s="1044"/>
      <c r="J9" s="1044"/>
      <c r="K9" s="1044"/>
      <c r="L9" s="1045"/>
    </row>
    <row r="10" spans="1:16" ht="13.5" thickBot="1" x14ac:dyDescent="0.25">
      <c r="A10" s="1019" t="s">
        <v>34</v>
      </c>
      <c r="B10" s="1020"/>
      <c r="C10" s="1020"/>
      <c r="D10" s="1020"/>
      <c r="E10" s="1020"/>
      <c r="F10" s="1020"/>
      <c r="G10" s="1020"/>
      <c r="H10" s="1020"/>
      <c r="I10" s="1020"/>
      <c r="J10" s="1020"/>
      <c r="K10" s="1020"/>
      <c r="L10" s="1021"/>
    </row>
    <row r="11" spans="1:16" ht="13.5" thickBot="1" x14ac:dyDescent="0.25">
      <c r="A11" s="13" t="s">
        <v>9</v>
      </c>
      <c r="B11" s="1165" t="s">
        <v>107</v>
      </c>
      <c r="C11" s="1165"/>
      <c r="D11" s="1165"/>
      <c r="E11" s="1165"/>
      <c r="F11" s="1165"/>
      <c r="G11" s="1165"/>
      <c r="H11" s="1165"/>
      <c r="I11" s="1165"/>
      <c r="J11" s="1165"/>
      <c r="K11" s="1165"/>
      <c r="L11" s="1166"/>
    </row>
    <row r="12" spans="1:16" ht="13.5" thickBot="1" x14ac:dyDescent="0.25">
      <c r="A12" s="13" t="s">
        <v>9</v>
      </c>
      <c r="B12" s="14" t="s">
        <v>9</v>
      </c>
      <c r="C12" s="1159" t="s">
        <v>39</v>
      </c>
      <c r="D12" s="1159"/>
      <c r="E12" s="1159"/>
      <c r="F12" s="1159"/>
      <c r="G12" s="1159"/>
      <c r="H12" s="1159"/>
      <c r="I12" s="1159"/>
      <c r="J12" s="1159"/>
      <c r="K12" s="1159"/>
      <c r="L12" s="1161"/>
    </row>
    <row r="13" spans="1:16" ht="25.5" customHeight="1" x14ac:dyDescent="0.2">
      <c r="A13" s="23" t="s">
        <v>9</v>
      </c>
      <c r="B13" s="26" t="s">
        <v>9</v>
      </c>
      <c r="C13" s="22" t="s">
        <v>9</v>
      </c>
      <c r="D13" s="146" t="s">
        <v>40</v>
      </c>
      <c r="E13" s="1264" t="s">
        <v>182</v>
      </c>
      <c r="F13" s="859" t="s">
        <v>35</v>
      </c>
      <c r="G13" s="102" t="s">
        <v>12</v>
      </c>
      <c r="H13" s="849">
        <v>202735</v>
      </c>
      <c r="I13" s="796">
        <v>202735</v>
      </c>
      <c r="J13" s="794"/>
      <c r="K13" s="144" t="s">
        <v>192</v>
      </c>
      <c r="L13" s="767">
        <v>58</v>
      </c>
      <c r="P13" s="109"/>
    </row>
    <row r="14" spans="1:16" ht="27.75" customHeight="1" x14ac:dyDescent="0.2">
      <c r="A14" s="25"/>
      <c r="B14" s="28"/>
      <c r="C14" s="19"/>
      <c r="D14" s="863" t="s">
        <v>141</v>
      </c>
      <c r="E14" s="1265"/>
      <c r="F14" s="273"/>
      <c r="G14" s="165"/>
      <c r="H14" s="675"/>
      <c r="I14" s="797"/>
      <c r="J14" s="791"/>
      <c r="K14" s="559" t="s">
        <v>193</v>
      </c>
      <c r="L14" s="766">
        <v>2</v>
      </c>
    </row>
    <row r="15" spans="1:16" ht="30.75" customHeight="1" x14ac:dyDescent="0.2">
      <c r="A15" s="25"/>
      <c r="B15" s="28"/>
      <c r="C15" s="19"/>
      <c r="D15" s="118" t="s">
        <v>69</v>
      </c>
      <c r="E15" s="150"/>
      <c r="F15" s="273"/>
      <c r="G15" s="165"/>
      <c r="H15" s="675"/>
      <c r="I15" s="797"/>
      <c r="J15" s="791"/>
      <c r="K15" s="576"/>
      <c r="L15" s="781"/>
      <c r="N15" s="109"/>
    </row>
    <row r="16" spans="1:16" ht="55.5" customHeight="1" x14ac:dyDescent="0.2">
      <c r="A16" s="25"/>
      <c r="B16" s="28"/>
      <c r="C16" s="19"/>
      <c r="D16" s="615" t="s">
        <v>208</v>
      </c>
      <c r="E16" s="150"/>
      <c r="F16" s="273"/>
      <c r="G16" s="165"/>
      <c r="H16" s="675"/>
      <c r="I16" s="797"/>
      <c r="J16" s="791"/>
      <c r="K16" s="83"/>
      <c r="L16" s="782"/>
      <c r="N16" s="109"/>
    </row>
    <row r="17" spans="1:19" ht="40.5" customHeight="1" x14ac:dyDescent="0.2">
      <c r="A17" s="25"/>
      <c r="B17" s="28"/>
      <c r="C17" s="19"/>
      <c r="D17" s="855" t="s">
        <v>177</v>
      </c>
      <c r="E17" s="150"/>
      <c r="F17" s="273"/>
      <c r="G17" s="165"/>
      <c r="H17" s="675"/>
      <c r="I17" s="797"/>
      <c r="J17" s="791"/>
      <c r="K17" s="83"/>
      <c r="L17" s="782"/>
      <c r="N17" s="109"/>
    </row>
    <row r="18" spans="1:19" ht="14.25" customHeight="1" x14ac:dyDescent="0.2">
      <c r="A18" s="25"/>
      <c r="B18" s="28"/>
      <c r="C18" s="19"/>
      <c r="D18" s="1118" t="s">
        <v>159</v>
      </c>
      <c r="E18" s="150"/>
      <c r="F18" s="273"/>
      <c r="G18" s="420"/>
      <c r="H18" s="680"/>
      <c r="I18" s="798"/>
      <c r="J18" s="795"/>
      <c r="K18" s="1041"/>
      <c r="L18" s="782"/>
      <c r="N18" s="109"/>
    </row>
    <row r="19" spans="1:19" ht="13.5" thickBot="1" x14ac:dyDescent="0.25">
      <c r="A19" s="25"/>
      <c r="B19" s="28"/>
      <c r="C19" s="19"/>
      <c r="D19" s="1135"/>
      <c r="E19" s="856"/>
      <c r="F19" s="274"/>
      <c r="G19" s="310" t="s">
        <v>16</v>
      </c>
      <c r="H19" s="683">
        <f>SUM(H13:H18)</f>
        <v>202735</v>
      </c>
      <c r="I19" s="799">
        <f>SUM(I13:I18)</f>
        <v>202735</v>
      </c>
      <c r="J19" s="799"/>
      <c r="K19" s="1042"/>
      <c r="L19" s="783"/>
      <c r="N19" s="109"/>
    </row>
    <row r="20" spans="1:19" ht="15" customHeight="1" x14ac:dyDescent="0.2">
      <c r="A20" s="23" t="s">
        <v>9</v>
      </c>
      <c r="B20" s="26" t="s">
        <v>9</v>
      </c>
      <c r="C20" s="22" t="s">
        <v>10</v>
      </c>
      <c r="D20" s="1249" t="s">
        <v>70</v>
      </c>
      <c r="E20" s="995"/>
      <c r="F20" s="978" t="s">
        <v>35</v>
      </c>
      <c r="G20" s="87" t="s">
        <v>12</v>
      </c>
      <c r="H20" s="672">
        <f>500/3.4528*1000</f>
        <v>144810</v>
      </c>
      <c r="I20" s="796">
        <f>500/3.4528*1000</f>
        <v>144810</v>
      </c>
      <c r="J20" s="794"/>
      <c r="K20" s="167" t="s">
        <v>194</v>
      </c>
      <c r="L20" s="858">
        <v>4</v>
      </c>
    </row>
    <row r="21" spans="1:19" ht="13.5" thickBot="1" x14ac:dyDescent="0.25">
      <c r="A21" s="25"/>
      <c r="B21" s="28"/>
      <c r="C21" s="19"/>
      <c r="D21" s="1135"/>
      <c r="E21" s="997"/>
      <c r="F21" s="980"/>
      <c r="G21" s="310" t="s">
        <v>16</v>
      </c>
      <c r="H21" s="683">
        <f>H20</f>
        <v>144810</v>
      </c>
      <c r="I21" s="799">
        <f>I20</f>
        <v>144810</v>
      </c>
      <c r="J21" s="711"/>
      <c r="K21" s="282"/>
      <c r="L21" s="279"/>
      <c r="N21" s="109"/>
    </row>
    <row r="22" spans="1:19" ht="15" customHeight="1" x14ac:dyDescent="0.2">
      <c r="A22" s="23" t="s">
        <v>9</v>
      </c>
      <c r="B22" s="26" t="s">
        <v>9</v>
      </c>
      <c r="C22" s="22" t="s">
        <v>11</v>
      </c>
      <c r="D22" s="1266" t="s">
        <v>63</v>
      </c>
      <c r="E22" s="995"/>
      <c r="F22" s="978" t="s">
        <v>35</v>
      </c>
      <c r="G22" s="87" t="s">
        <v>12</v>
      </c>
      <c r="H22" s="672">
        <f>31.2/3.4528*1000</f>
        <v>9036</v>
      </c>
      <c r="I22" s="825">
        <v>9037</v>
      </c>
      <c r="J22" s="826">
        <f>I22-H22</f>
        <v>1</v>
      </c>
      <c r="K22" s="1013" t="s">
        <v>195</v>
      </c>
      <c r="L22" s="1187">
        <v>6</v>
      </c>
    </row>
    <row r="23" spans="1:19" ht="13.5" thickBot="1" x14ac:dyDescent="0.25">
      <c r="A23" s="25"/>
      <c r="B23" s="28"/>
      <c r="C23" s="19"/>
      <c r="D23" s="1267"/>
      <c r="E23" s="997"/>
      <c r="F23" s="980"/>
      <c r="G23" s="310" t="s">
        <v>16</v>
      </c>
      <c r="H23" s="683">
        <f>H22</f>
        <v>9036</v>
      </c>
      <c r="I23" s="799">
        <f>I22</f>
        <v>9037</v>
      </c>
      <c r="J23" s="888">
        <f>J22</f>
        <v>1</v>
      </c>
      <c r="K23" s="1014"/>
      <c r="L23" s="1188"/>
    </row>
    <row r="24" spans="1:19" ht="29.25" customHeight="1" x14ac:dyDescent="0.2">
      <c r="A24" s="37" t="s">
        <v>9</v>
      </c>
      <c r="B24" s="26" t="s">
        <v>9</v>
      </c>
      <c r="C24" s="22" t="s">
        <v>13</v>
      </c>
      <c r="D24" s="91" t="s">
        <v>106</v>
      </c>
      <c r="E24" s="244"/>
      <c r="F24" s="280" t="s">
        <v>35</v>
      </c>
      <c r="G24" s="265" t="s">
        <v>98</v>
      </c>
      <c r="H24" s="717">
        <f>464.1/3.4528*1000</f>
        <v>134413</v>
      </c>
      <c r="I24" s="812">
        <f>464.1/3.4528*1000</f>
        <v>134413</v>
      </c>
      <c r="J24" s="805"/>
      <c r="K24" s="842" t="s">
        <v>196</v>
      </c>
      <c r="L24" s="562">
        <v>16</v>
      </c>
      <c r="Q24" s="109"/>
    </row>
    <row r="25" spans="1:19" ht="28.5" customHeight="1" x14ac:dyDescent="0.2">
      <c r="A25" s="38"/>
      <c r="B25" s="28"/>
      <c r="C25" s="19"/>
      <c r="D25" s="617" t="s">
        <v>209</v>
      </c>
      <c r="E25" s="245"/>
      <c r="F25" s="862"/>
      <c r="G25" s="575" t="s">
        <v>12</v>
      </c>
      <c r="H25" s="717">
        <f>418/3.4528*1000</f>
        <v>121061</v>
      </c>
      <c r="I25" s="812">
        <f>418/3.4528*1000</f>
        <v>121061</v>
      </c>
      <c r="J25" s="805"/>
      <c r="K25" s="842" t="s">
        <v>197</v>
      </c>
      <c r="L25" s="562">
        <v>16</v>
      </c>
      <c r="N25" s="116"/>
      <c r="S25" s="109"/>
    </row>
    <row r="26" spans="1:19" ht="25.5" customHeight="1" x14ac:dyDescent="0.2">
      <c r="A26" s="38"/>
      <c r="B26" s="555"/>
      <c r="C26" s="19"/>
      <c r="D26" s="1063" t="s">
        <v>160</v>
      </c>
      <c r="E26" s="245"/>
      <c r="F26" s="249"/>
      <c r="G26" s="100"/>
      <c r="H26" s="704"/>
      <c r="I26" s="809"/>
      <c r="J26" s="803"/>
      <c r="K26" s="1185" t="s">
        <v>198</v>
      </c>
      <c r="L26" s="784" t="s">
        <v>44</v>
      </c>
      <c r="N26" s="568"/>
      <c r="O26" s="568"/>
      <c r="P26" s="568"/>
      <c r="Q26" s="568"/>
    </row>
    <row r="27" spans="1:19" ht="15" customHeight="1" x14ac:dyDescent="0.2">
      <c r="A27" s="38"/>
      <c r="B27" s="555"/>
      <c r="C27" s="19"/>
      <c r="D27" s="1063"/>
      <c r="E27" s="245"/>
      <c r="F27" s="249"/>
      <c r="G27" s="100"/>
      <c r="H27" s="704"/>
      <c r="I27" s="809"/>
      <c r="J27" s="803"/>
      <c r="K27" s="1186"/>
      <c r="L27" s="785"/>
    </row>
    <row r="28" spans="1:19" ht="17.25" customHeight="1" x14ac:dyDescent="0.2">
      <c r="A28" s="25"/>
      <c r="B28" s="28"/>
      <c r="C28" s="19"/>
      <c r="D28" s="1118" t="s">
        <v>105</v>
      </c>
      <c r="E28" s="613"/>
      <c r="F28" s="614"/>
      <c r="G28" s="873"/>
      <c r="H28" s="675"/>
      <c r="I28" s="797"/>
      <c r="J28" s="791"/>
      <c r="K28" s="857"/>
      <c r="L28" s="218"/>
    </row>
    <row r="29" spans="1:19" ht="13.5" thickBot="1" x14ac:dyDescent="0.25">
      <c r="A29" s="39"/>
      <c r="B29" s="14"/>
      <c r="C29" s="36"/>
      <c r="D29" s="1135"/>
      <c r="E29" s="246"/>
      <c r="F29" s="250"/>
      <c r="G29" s="313" t="s">
        <v>16</v>
      </c>
      <c r="H29" s="683">
        <f>SUM(H24:H28)</f>
        <v>255474</v>
      </c>
      <c r="I29" s="799">
        <f>SUM(I24:I28)</f>
        <v>255474</v>
      </c>
      <c r="J29" s="711"/>
      <c r="K29" s="578"/>
      <c r="L29" s="768"/>
      <c r="N29" s="109"/>
    </row>
    <row r="30" spans="1:19" ht="13.5" thickBot="1" x14ac:dyDescent="0.25">
      <c r="A30" s="24" t="s">
        <v>9</v>
      </c>
      <c r="B30" s="34" t="s">
        <v>9</v>
      </c>
      <c r="C30" s="972" t="s">
        <v>15</v>
      </c>
      <c r="D30" s="973"/>
      <c r="E30" s="973"/>
      <c r="F30" s="1116"/>
      <c r="G30" s="1117"/>
      <c r="H30" s="699">
        <f>H29+H23+H21+H19</f>
        <v>612055</v>
      </c>
      <c r="I30" s="816">
        <f>I29+I23+I21+I19</f>
        <v>612056</v>
      </c>
      <c r="J30" s="816">
        <f>J29+J23+J21+J19</f>
        <v>1</v>
      </c>
      <c r="K30" s="990"/>
      <c r="L30" s="992"/>
    </row>
    <row r="31" spans="1:19" ht="13.5" thickBot="1" x14ac:dyDescent="0.25">
      <c r="A31" s="21" t="s">
        <v>9</v>
      </c>
      <c r="B31" s="27" t="s">
        <v>10</v>
      </c>
      <c r="C31" s="1112" t="s">
        <v>82</v>
      </c>
      <c r="D31" s="1113"/>
      <c r="E31" s="1113"/>
      <c r="F31" s="1113"/>
      <c r="G31" s="1068"/>
      <c r="H31" s="1068"/>
      <c r="I31" s="1068"/>
      <c r="J31" s="1068"/>
      <c r="K31" s="1068"/>
      <c r="L31" s="1069"/>
    </row>
    <row r="32" spans="1:19" ht="14.25" customHeight="1" x14ac:dyDescent="0.2">
      <c r="A32" s="21" t="s">
        <v>9</v>
      </c>
      <c r="B32" s="27" t="s">
        <v>10</v>
      </c>
      <c r="C32" s="22" t="s">
        <v>9</v>
      </c>
      <c r="D32" s="1250" t="s">
        <v>59</v>
      </c>
      <c r="E32" s="1247"/>
      <c r="F32" s="256">
        <v>2</v>
      </c>
      <c r="G32" s="168" t="s">
        <v>12</v>
      </c>
      <c r="H32" s="850">
        <v>2649328</v>
      </c>
      <c r="I32" s="880">
        <f>2649328+50000</f>
        <v>2699328</v>
      </c>
      <c r="J32" s="934">
        <f>I32-H32</f>
        <v>50000</v>
      </c>
      <c r="K32" s="524" t="s">
        <v>196</v>
      </c>
      <c r="L32" s="399">
        <v>1214</v>
      </c>
      <c r="M32" s="568"/>
      <c r="N32" s="568"/>
      <c r="O32" s="568"/>
      <c r="P32" s="568"/>
      <c r="Q32" s="635"/>
      <c r="R32" s="568"/>
    </row>
    <row r="33" spans="1:20" ht="12.75" customHeight="1" x14ac:dyDescent="0.2">
      <c r="A33" s="554"/>
      <c r="B33" s="555"/>
      <c r="C33" s="19"/>
      <c r="D33" s="1115"/>
      <c r="E33" s="1248"/>
      <c r="F33" s="257"/>
      <c r="G33" s="101" t="s">
        <v>28</v>
      </c>
      <c r="H33" s="878">
        <f>1182/3.4528*1000</f>
        <v>342331</v>
      </c>
      <c r="I33" s="808">
        <f>1182/3.4528*1000</f>
        <v>342331</v>
      </c>
      <c r="J33" s="802"/>
      <c r="K33" s="636" t="s">
        <v>43</v>
      </c>
      <c r="L33" s="786">
        <v>823</v>
      </c>
      <c r="M33" s="635"/>
      <c r="N33" s="635"/>
      <c r="O33" s="635"/>
      <c r="P33" s="568"/>
      <c r="Q33" s="568"/>
      <c r="R33" s="568"/>
    </row>
    <row r="34" spans="1:20" ht="12.75" customHeight="1" x14ac:dyDescent="0.2">
      <c r="A34" s="554"/>
      <c r="B34" s="555"/>
      <c r="C34" s="19"/>
      <c r="D34" s="1063" t="s">
        <v>36</v>
      </c>
      <c r="E34" s="1248"/>
      <c r="F34" s="257"/>
      <c r="G34" s="101" t="s">
        <v>20</v>
      </c>
      <c r="H34" s="878">
        <v>0</v>
      </c>
      <c r="I34" s="808">
        <v>0</v>
      </c>
      <c r="J34" s="802"/>
      <c r="K34" s="1167" t="s">
        <v>199</v>
      </c>
      <c r="L34" s="1268">
        <v>2</v>
      </c>
      <c r="M34" s="568"/>
      <c r="N34" s="568"/>
      <c r="O34" s="568"/>
      <c r="P34" s="568"/>
      <c r="Q34" s="568"/>
      <c r="R34" s="568"/>
    </row>
    <row r="35" spans="1:20" ht="12.75" customHeight="1" x14ac:dyDescent="0.2">
      <c r="A35" s="554"/>
      <c r="B35" s="555"/>
      <c r="C35" s="19"/>
      <c r="D35" s="1063"/>
      <c r="E35" s="1248"/>
      <c r="F35" s="257"/>
      <c r="G35" s="169" t="s">
        <v>29</v>
      </c>
      <c r="H35" s="879">
        <v>88073</v>
      </c>
      <c r="I35" s="809">
        <v>88073</v>
      </c>
      <c r="J35" s="803"/>
      <c r="K35" s="1168"/>
      <c r="L35" s="1269"/>
      <c r="M35" s="635"/>
      <c r="N35" s="635"/>
      <c r="O35" s="635"/>
      <c r="P35" s="635"/>
      <c r="Q35" s="568"/>
      <c r="R35" s="568"/>
    </row>
    <row r="36" spans="1:20" ht="12.75" customHeight="1" x14ac:dyDescent="0.2">
      <c r="A36" s="554"/>
      <c r="B36" s="555"/>
      <c r="C36" s="35"/>
      <c r="D36" s="1063"/>
      <c r="E36" s="1248"/>
      <c r="F36" s="257"/>
      <c r="G36" s="169"/>
      <c r="H36" s="879"/>
      <c r="I36" s="809"/>
      <c r="J36" s="803"/>
      <c r="K36" s="1168"/>
      <c r="L36" s="1269"/>
      <c r="M36" s="568"/>
      <c r="N36" s="568"/>
      <c r="O36" s="568"/>
      <c r="P36" s="568"/>
      <c r="Q36" s="568"/>
      <c r="R36" s="568"/>
    </row>
    <row r="37" spans="1:20" ht="27.75" customHeight="1" x14ac:dyDescent="0.2">
      <c r="A37" s="38"/>
      <c r="B37" s="28"/>
      <c r="C37" s="19"/>
      <c r="D37" s="1063" t="s">
        <v>161</v>
      </c>
      <c r="E37" s="1248"/>
      <c r="F37" s="257"/>
      <c r="G37" s="881" t="s">
        <v>223</v>
      </c>
      <c r="H37" s="882">
        <v>90887</v>
      </c>
      <c r="I37" s="814">
        <v>90887</v>
      </c>
      <c r="J37" s="883"/>
      <c r="K37" s="1168"/>
      <c r="L37" s="1269"/>
      <c r="M37" s="568"/>
      <c r="N37" s="568"/>
      <c r="O37" s="568"/>
      <c r="P37" s="568"/>
      <c r="Q37" s="568"/>
      <c r="R37" s="568"/>
    </row>
    <row r="38" spans="1:20" ht="27.75" customHeight="1" x14ac:dyDescent="0.2">
      <c r="A38" s="38"/>
      <c r="B38" s="28"/>
      <c r="C38" s="19"/>
      <c r="D38" s="1063"/>
      <c r="E38" s="119"/>
      <c r="F38" s="257"/>
      <c r="G38" s="165"/>
      <c r="H38" s="675"/>
      <c r="I38" s="797"/>
      <c r="J38" s="791"/>
      <c r="K38" s="857"/>
      <c r="L38" s="874"/>
      <c r="M38" s="568"/>
      <c r="N38" s="568"/>
      <c r="O38" s="568"/>
      <c r="P38" s="568"/>
      <c r="Q38" s="568"/>
      <c r="R38" s="568"/>
    </row>
    <row r="39" spans="1:20" ht="28.5" customHeight="1" x14ac:dyDescent="0.2">
      <c r="A39" s="38"/>
      <c r="B39" s="28"/>
      <c r="C39" s="19"/>
      <c r="D39" s="1063" t="s">
        <v>216</v>
      </c>
      <c r="E39" s="119"/>
      <c r="F39" s="257"/>
      <c r="G39" s="638"/>
      <c r="H39" s="675"/>
      <c r="I39" s="797"/>
      <c r="J39" s="791"/>
      <c r="K39" s="639"/>
      <c r="L39" s="874"/>
    </row>
    <row r="40" spans="1:20" ht="36.75" customHeight="1" x14ac:dyDescent="0.2">
      <c r="A40" s="38"/>
      <c r="B40" s="28"/>
      <c r="C40" s="19"/>
      <c r="D40" s="1063"/>
      <c r="E40" s="119"/>
      <c r="F40" s="257"/>
      <c r="G40" s="873"/>
      <c r="H40" s="675"/>
      <c r="I40" s="797"/>
      <c r="J40" s="791"/>
      <c r="K40" s="639"/>
      <c r="L40" s="874"/>
    </row>
    <row r="41" spans="1:20" ht="12.75" customHeight="1" x14ac:dyDescent="0.2">
      <c r="A41" s="38"/>
      <c r="B41" s="28"/>
      <c r="C41" s="19"/>
      <c r="D41" s="1124" t="s">
        <v>37</v>
      </c>
      <c r="E41" s="119"/>
      <c r="F41" s="257"/>
      <c r="G41" s="165"/>
      <c r="H41" s="675"/>
      <c r="I41" s="797"/>
      <c r="J41" s="791"/>
      <c r="K41" s="857"/>
      <c r="L41" s="874"/>
    </row>
    <row r="42" spans="1:20" ht="12.75" customHeight="1" x14ac:dyDescent="0.2">
      <c r="A42" s="38"/>
      <c r="B42" s="28"/>
      <c r="C42" s="19"/>
      <c r="D42" s="1124"/>
      <c r="E42" s="119"/>
      <c r="F42" s="257"/>
      <c r="G42" s="169"/>
      <c r="H42" s="704"/>
      <c r="I42" s="809"/>
      <c r="J42" s="803"/>
      <c r="K42" s="857"/>
      <c r="L42" s="874"/>
    </row>
    <row r="43" spans="1:20" ht="12.75" customHeight="1" x14ac:dyDescent="0.2">
      <c r="A43" s="38"/>
      <c r="B43" s="28"/>
      <c r="C43" s="19"/>
      <c r="D43" s="1124"/>
      <c r="E43" s="119"/>
      <c r="F43" s="257"/>
      <c r="G43" s="169"/>
      <c r="H43" s="704"/>
      <c r="I43" s="809"/>
      <c r="J43" s="803"/>
      <c r="K43" s="857"/>
      <c r="L43" s="874"/>
    </row>
    <row r="44" spans="1:20" ht="12.75" customHeight="1" x14ac:dyDescent="0.2">
      <c r="A44" s="554"/>
      <c r="B44" s="555"/>
      <c r="C44" s="40"/>
      <c r="D44" s="1063" t="s">
        <v>210</v>
      </c>
      <c r="E44" s="119"/>
      <c r="F44" s="257"/>
      <c r="G44" s="90"/>
      <c r="H44" s="675"/>
      <c r="I44" s="797"/>
      <c r="J44" s="791"/>
      <c r="K44" s="857"/>
      <c r="L44" s="874"/>
    </row>
    <row r="45" spans="1:20" ht="12.75" customHeight="1" x14ac:dyDescent="0.2">
      <c r="A45" s="554"/>
      <c r="B45" s="555"/>
      <c r="C45" s="40"/>
      <c r="D45" s="1063"/>
      <c r="E45" s="119"/>
      <c r="F45" s="257"/>
      <c r="G45" s="90"/>
      <c r="H45" s="675"/>
      <c r="I45" s="797"/>
      <c r="J45" s="791"/>
      <c r="K45" s="857"/>
      <c r="L45" s="874"/>
      <c r="R45" s="109"/>
      <c r="T45" s="109"/>
    </row>
    <row r="46" spans="1:20" ht="12.75" customHeight="1" x14ac:dyDescent="0.2">
      <c r="A46" s="599"/>
      <c r="B46" s="598"/>
      <c r="C46" s="580"/>
      <c r="D46" s="1242"/>
      <c r="E46" s="577"/>
      <c r="F46" s="581"/>
      <c r="G46" s="110"/>
      <c r="H46" s="680"/>
      <c r="I46" s="798"/>
      <c r="J46" s="795"/>
      <c r="K46" s="565"/>
      <c r="L46" s="770"/>
      <c r="N46" s="568"/>
      <c r="O46" s="568"/>
    </row>
    <row r="47" spans="1:20" ht="12.75" customHeight="1" x14ac:dyDescent="0.2">
      <c r="A47" s="25"/>
      <c r="B47" s="28"/>
      <c r="C47" s="19"/>
      <c r="D47" s="1063" t="s">
        <v>142</v>
      </c>
      <c r="E47" s="119"/>
      <c r="F47" s="257"/>
      <c r="G47" s="90"/>
      <c r="H47" s="675"/>
      <c r="I47" s="797"/>
      <c r="J47" s="791"/>
      <c r="K47" s="663"/>
      <c r="L47" s="874"/>
    </row>
    <row r="48" spans="1:20" ht="12.75" customHeight="1" x14ac:dyDescent="0.2">
      <c r="A48" s="25"/>
      <c r="B48" s="28"/>
      <c r="C48" s="19"/>
      <c r="D48" s="1063"/>
      <c r="E48" s="119"/>
      <c r="F48" s="257"/>
      <c r="G48" s="90"/>
      <c r="H48" s="675"/>
      <c r="I48" s="797"/>
      <c r="J48" s="791"/>
      <c r="K48" s="663"/>
      <c r="L48" s="874"/>
      <c r="P48" s="109"/>
    </row>
    <row r="49" spans="1:18" ht="40.5" customHeight="1" x14ac:dyDescent="0.2">
      <c r="A49" s="25"/>
      <c r="B49" s="28"/>
      <c r="C49" s="19"/>
      <c r="D49" s="1063" t="s">
        <v>211</v>
      </c>
      <c r="E49" s="119"/>
      <c r="F49" s="257"/>
      <c r="G49" s="90"/>
      <c r="H49" s="675"/>
      <c r="I49" s="797"/>
      <c r="J49" s="791"/>
      <c r="K49" s="857"/>
      <c r="L49" s="873"/>
      <c r="N49" s="109"/>
      <c r="P49" s="109"/>
    </row>
    <row r="50" spans="1:18" ht="42" customHeight="1" x14ac:dyDescent="0.2">
      <c r="A50" s="25"/>
      <c r="B50" s="28"/>
      <c r="C50" s="19"/>
      <c r="D50" s="1063"/>
      <c r="E50" s="119"/>
      <c r="F50" s="257"/>
      <c r="G50" s="90"/>
      <c r="H50" s="675"/>
      <c r="I50" s="797"/>
      <c r="J50" s="791"/>
      <c r="K50" s="663"/>
      <c r="L50" s="874"/>
      <c r="M50" s="568"/>
      <c r="N50" s="568"/>
      <c r="P50" s="109"/>
    </row>
    <row r="51" spans="1:18" ht="12.75" customHeight="1" x14ac:dyDescent="0.2">
      <c r="A51" s="38"/>
      <c r="B51" s="28"/>
      <c r="C51" s="19"/>
      <c r="D51" s="1063" t="s">
        <v>97</v>
      </c>
      <c r="E51" s="1271" t="s">
        <v>186</v>
      </c>
      <c r="F51" s="257"/>
      <c r="G51" s="90"/>
      <c r="H51" s="675"/>
      <c r="I51" s="797"/>
      <c r="J51" s="791"/>
      <c r="K51" s="857"/>
      <c r="L51" s="874"/>
      <c r="R51" s="109"/>
    </row>
    <row r="52" spans="1:18" ht="12.75" customHeight="1" x14ac:dyDescent="0.2">
      <c r="A52" s="38"/>
      <c r="B52" s="28"/>
      <c r="C52" s="19"/>
      <c r="D52" s="1063"/>
      <c r="E52" s="1271"/>
      <c r="F52" s="257"/>
      <c r="G52" s="90"/>
      <c r="H52" s="675"/>
      <c r="I52" s="797"/>
      <c r="J52" s="791"/>
      <c r="K52" s="857"/>
      <c r="L52" s="874"/>
      <c r="N52" s="109"/>
      <c r="R52" s="109"/>
    </row>
    <row r="53" spans="1:18" ht="18.75" customHeight="1" x14ac:dyDescent="0.2">
      <c r="A53" s="38"/>
      <c r="B53" s="28"/>
      <c r="C53" s="19"/>
      <c r="D53" s="1063"/>
      <c r="E53" s="1271"/>
      <c r="F53" s="257"/>
      <c r="G53" s="169"/>
      <c r="H53" s="704"/>
      <c r="I53" s="809"/>
      <c r="J53" s="803"/>
      <c r="K53" s="871"/>
      <c r="L53" s="874"/>
      <c r="N53" s="109"/>
    </row>
    <row r="54" spans="1:18" ht="12.75" customHeight="1" x14ac:dyDescent="0.2">
      <c r="A54" s="38"/>
      <c r="B54" s="28"/>
      <c r="C54" s="19"/>
      <c r="D54" s="1063" t="s">
        <v>38</v>
      </c>
      <c r="E54" s="641"/>
      <c r="F54" s="257"/>
      <c r="G54" s="90"/>
      <c r="H54" s="675"/>
      <c r="I54" s="797"/>
      <c r="J54" s="791"/>
      <c r="K54" s="1243"/>
      <c r="L54" s="1270"/>
    </row>
    <row r="55" spans="1:18" ht="15" customHeight="1" x14ac:dyDescent="0.2">
      <c r="A55" s="38"/>
      <c r="B55" s="28"/>
      <c r="C55" s="19"/>
      <c r="D55" s="1063"/>
      <c r="E55" s="119"/>
      <c r="F55" s="257"/>
      <c r="G55" s="90"/>
      <c r="H55" s="675"/>
      <c r="I55" s="797"/>
      <c r="J55" s="791"/>
      <c r="K55" s="1243"/>
      <c r="L55" s="1270"/>
    </row>
    <row r="56" spans="1:18" ht="14.25" customHeight="1" thickBot="1" x14ac:dyDescent="0.25">
      <c r="A56" s="38"/>
      <c r="B56" s="28"/>
      <c r="C56" s="19"/>
      <c r="D56" s="987"/>
      <c r="E56" s="119"/>
      <c r="F56" s="257"/>
      <c r="G56" s="642" t="s">
        <v>16</v>
      </c>
      <c r="H56" s="708">
        <f>SUM(H32:H55)</f>
        <v>3170619</v>
      </c>
      <c r="I56" s="810">
        <f>SUM(I32:I55)</f>
        <v>3220619</v>
      </c>
      <c r="J56" s="810">
        <f>SUM(J32:J55)</f>
        <v>50000</v>
      </c>
      <c r="K56" s="601"/>
      <c r="L56" s="873"/>
    </row>
    <row r="57" spans="1:18" ht="30" customHeight="1" x14ac:dyDescent="0.2">
      <c r="A57" s="21" t="s">
        <v>9</v>
      </c>
      <c r="B57" s="27" t="s">
        <v>10</v>
      </c>
      <c r="C57" s="22" t="s">
        <v>10</v>
      </c>
      <c r="D57" s="556" t="s">
        <v>60</v>
      </c>
      <c r="E57" s="557"/>
      <c r="F57" s="859"/>
      <c r="G57" s="102"/>
      <c r="H57" s="672"/>
      <c r="I57" s="796"/>
      <c r="J57" s="794"/>
      <c r="K57" s="103"/>
      <c r="L57" s="772"/>
    </row>
    <row r="58" spans="1:18" ht="42" customHeight="1" x14ac:dyDescent="0.2">
      <c r="A58" s="554"/>
      <c r="B58" s="555"/>
      <c r="C58" s="19"/>
      <c r="D58" s="259" t="s">
        <v>102</v>
      </c>
      <c r="E58" s="641"/>
      <c r="F58" s="864"/>
      <c r="G58" s="90"/>
      <c r="H58" s="675"/>
      <c r="I58" s="797"/>
      <c r="J58" s="791"/>
      <c r="K58" s="52"/>
      <c r="L58" s="773"/>
      <c r="N58" s="109"/>
    </row>
    <row r="59" spans="1:18" ht="30" customHeight="1" x14ac:dyDescent="0.2">
      <c r="A59" s="554"/>
      <c r="B59" s="555"/>
      <c r="C59" s="19"/>
      <c r="D59" s="1134" t="s">
        <v>178</v>
      </c>
      <c r="E59" s="1271" t="s">
        <v>95</v>
      </c>
      <c r="F59" s="587" t="s">
        <v>35</v>
      </c>
      <c r="G59" s="101" t="s">
        <v>12</v>
      </c>
      <c r="H59" s="702">
        <f>20/3.4528*1000</f>
        <v>5792</v>
      </c>
      <c r="I59" s="808">
        <f>20/3.4528*1000</f>
        <v>5792</v>
      </c>
      <c r="J59" s="802"/>
      <c r="K59" s="842" t="s">
        <v>200</v>
      </c>
      <c r="L59" s="876">
        <v>1</v>
      </c>
    </row>
    <row r="60" spans="1:18" x14ac:dyDescent="0.2">
      <c r="A60" s="583"/>
      <c r="B60" s="555"/>
      <c r="C60" s="44"/>
      <c r="D60" s="1237"/>
      <c r="E60" s="1272"/>
      <c r="F60" s="600"/>
      <c r="G60" s="327" t="s">
        <v>16</v>
      </c>
      <c r="H60" s="714">
        <f>H59</f>
        <v>5792</v>
      </c>
      <c r="I60" s="811">
        <f>I59</f>
        <v>5792</v>
      </c>
      <c r="J60" s="804"/>
      <c r="K60" s="84"/>
      <c r="L60" s="780"/>
      <c r="N60" s="109"/>
      <c r="Q60" s="109"/>
    </row>
    <row r="61" spans="1:18" ht="43.5" customHeight="1" x14ac:dyDescent="0.2">
      <c r="A61" s="583"/>
      <c r="B61" s="555"/>
      <c r="C61" s="44"/>
      <c r="D61" s="1134" t="s">
        <v>175</v>
      </c>
      <c r="E61" s="612"/>
      <c r="F61" s="587" t="s">
        <v>167</v>
      </c>
      <c r="G61" s="584" t="s">
        <v>12</v>
      </c>
      <c r="H61" s="717">
        <f>36.3/3.4528*1000</f>
        <v>10513</v>
      </c>
      <c r="I61" s="812">
        <f>36.3/3.4528*1000</f>
        <v>10513</v>
      </c>
      <c r="J61" s="805"/>
      <c r="K61" s="899" t="s">
        <v>225</v>
      </c>
      <c r="L61" s="900">
        <v>1</v>
      </c>
      <c r="N61" s="109"/>
    </row>
    <row r="62" spans="1:18" x14ac:dyDescent="0.2">
      <c r="A62" s="583"/>
      <c r="B62" s="555"/>
      <c r="C62" s="44"/>
      <c r="D62" s="1237"/>
      <c r="E62" s="585"/>
      <c r="F62" s="864"/>
      <c r="G62" s="319" t="s">
        <v>16</v>
      </c>
      <c r="H62" s="709">
        <f>SUM(H61:H61)</f>
        <v>10513</v>
      </c>
      <c r="I62" s="813">
        <f>SUM(I61:I61)</f>
        <v>10513</v>
      </c>
      <c r="J62" s="806"/>
      <c r="K62" s="896"/>
      <c r="L62" s="775"/>
      <c r="N62" s="109"/>
    </row>
    <row r="63" spans="1:18" ht="38.25" customHeight="1" x14ac:dyDescent="0.2">
      <c r="A63" s="554"/>
      <c r="B63" s="555"/>
      <c r="C63" s="19"/>
      <c r="D63" s="1134" t="s">
        <v>212</v>
      </c>
      <c r="E63" s="996"/>
      <c r="F63" s="1234"/>
      <c r="G63" s="99" t="s">
        <v>12</v>
      </c>
      <c r="H63" s="718">
        <f>15/3.4528*1000</f>
        <v>4344</v>
      </c>
      <c r="I63" s="814">
        <f>15/3.4528*1000</f>
        <v>4344</v>
      </c>
      <c r="J63" s="719"/>
      <c r="K63" s="902" t="s">
        <v>225</v>
      </c>
      <c r="L63" s="903">
        <v>1</v>
      </c>
      <c r="N63" s="109"/>
    </row>
    <row r="64" spans="1:18" ht="17.25" customHeight="1" x14ac:dyDescent="0.2">
      <c r="A64" s="29"/>
      <c r="B64" s="32"/>
      <c r="C64" s="44"/>
      <c r="D64" s="1118"/>
      <c r="E64" s="996"/>
      <c r="F64" s="1234"/>
      <c r="G64" s="319" t="s">
        <v>16</v>
      </c>
      <c r="H64" s="709">
        <f>H63</f>
        <v>4344</v>
      </c>
      <c r="I64" s="813">
        <f>I63</f>
        <v>4344</v>
      </c>
      <c r="J64" s="806"/>
      <c r="K64" s="902" t="s">
        <v>226</v>
      </c>
      <c r="L64" s="904">
        <v>1</v>
      </c>
      <c r="N64" s="109"/>
    </row>
    <row r="65" spans="1:18" ht="12.75" customHeight="1" x14ac:dyDescent="0.2">
      <c r="A65" s="554"/>
      <c r="B65" s="555"/>
      <c r="C65" s="19"/>
      <c r="D65" s="1223" t="s">
        <v>172</v>
      </c>
      <c r="E65" s="996"/>
      <c r="F65" s="1234"/>
      <c r="G65" s="99" t="s">
        <v>12</v>
      </c>
      <c r="H65" s="718">
        <f>31/3.4528*1000</f>
        <v>8978</v>
      </c>
      <c r="I65" s="814">
        <f>31/3.4528*1000</f>
        <v>8978</v>
      </c>
      <c r="J65" s="719"/>
      <c r="K65" s="1274" t="s">
        <v>227</v>
      </c>
      <c r="L65" s="914">
        <v>1</v>
      </c>
      <c r="N65" s="109"/>
      <c r="P65" s="109"/>
    </row>
    <row r="66" spans="1:18" x14ac:dyDescent="0.2">
      <c r="A66" s="554"/>
      <c r="B66" s="555"/>
      <c r="C66" s="19"/>
      <c r="D66" s="1224"/>
      <c r="E66" s="996"/>
      <c r="F66" s="1234"/>
      <c r="G66" s="99" t="s">
        <v>29</v>
      </c>
      <c r="H66" s="718"/>
      <c r="I66" s="814"/>
      <c r="J66" s="719"/>
      <c r="K66" s="1275"/>
      <c r="L66" s="915"/>
      <c r="M66" s="109"/>
    </row>
    <row r="67" spans="1:18" x14ac:dyDescent="0.2">
      <c r="A67" s="29"/>
      <c r="B67" s="32"/>
      <c r="C67" s="44"/>
      <c r="D67" s="1224"/>
      <c r="E67" s="996"/>
      <c r="F67" s="1234"/>
      <c r="G67" s="586" t="s">
        <v>169</v>
      </c>
      <c r="H67" s="727"/>
      <c r="I67" s="815"/>
      <c r="J67" s="807"/>
      <c r="K67" s="1186"/>
      <c r="L67" s="877"/>
    </row>
    <row r="68" spans="1:18" ht="16.5" customHeight="1" x14ac:dyDescent="0.2">
      <c r="A68" s="29"/>
      <c r="B68" s="32"/>
      <c r="C68" s="44"/>
      <c r="D68" s="1224"/>
      <c r="E68" s="1119"/>
      <c r="F68" s="1234"/>
      <c r="G68" s="319" t="s">
        <v>16</v>
      </c>
      <c r="H68" s="709">
        <f>SUM(H65:H67)</f>
        <v>8978</v>
      </c>
      <c r="I68" s="813">
        <f>SUM(I65:I67)</f>
        <v>8978</v>
      </c>
      <c r="J68" s="806"/>
      <c r="K68" s="1186"/>
      <c r="L68" s="787"/>
      <c r="N68" s="109"/>
    </row>
    <row r="69" spans="1:18" ht="13.5" thickBot="1" x14ac:dyDescent="0.25">
      <c r="A69" s="558"/>
      <c r="B69" s="33"/>
      <c r="C69" s="45"/>
      <c r="D69" s="1225"/>
      <c r="E69" s="1220" t="s">
        <v>187</v>
      </c>
      <c r="F69" s="1221"/>
      <c r="G69" s="1222"/>
      <c r="H69" s="711">
        <f>H68+H64+H62+H60</f>
        <v>29627</v>
      </c>
      <c r="I69" s="799">
        <f>I68+I64+I62+I60</f>
        <v>29627</v>
      </c>
      <c r="J69" s="711"/>
      <c r="K69" s="901"/>
      <c r="L69" s="788"/>
      <c r="N69" s="109"/>
    </row>
    <row r="70" spans="1:18" ht="15.75" customHeight="1" x14ac:dyDescent="0.2">
      <c r="A70" s="21" t="s">
        <v>9</v>
      </c>
      <c r="B70" s="27" t="s">
        <v>10</v>
      </c>
      <c r="C70" s="22" t="s">
        <v>11</v>
      </c>
      <c r="D70" s="1213" t="s">
        <v>49</v>
      </c>
      <c r="E70" s="653"/>
      <c r="F70" s="860">
        <v>6</v>
      </c>
      <c r="G70" s="102" t="s">
        <v>12</v>
      </c>
      <c r="H70" s="672">
        <f>493.7/3.4528*1000</f>
        <v>142985</v>
      </c>
      <c r="I70" s="825">
        <f>493.7/3.4528*1000-35826</f>
        <v>107159</v>
      </c>
      <c r="J70" s="826">
        <f>I70-H70</f>
        <v>-35826</v>
      </c>
      <c r="K70" s="1215" t="s">
        <v>121</v>
      </c>
      <c r="L70" s="932" t="s">
        <v>228</v>
      </c>
      <c r="M70" s="568"/>
      <c r="N70" s="568"/>
      <c r="O70" s="568"/>
      <c r="P70" s="568"/>
    </row>
    <row r="71" spans="1:18" ht="25.5" customHeight="1" x14ac:dyDescent="0.2">
      <c r="A71" s="554"/>
      <c r="B71" s="555"/>
      <c r="C71" s="19"/>
      <c r="D71" s="1214"/>
      <c r="E71" s="654"/>
      <c r="F71" s="861"/>
      <c r="G71" s="99" t="s">
        <v>20</v>
      </c>
      <c r="H71" s="718">
        <f>163.1/3.4528*1000</f>
        <v>47237</v>
      </c>
      <c r="I71" s="930">
        <v>0</v>
      </c>
      <c r="J71" s="931">
        <f>I71-H71</f>
        <v>-47237</v>
      </c>
      <c r="K71" s="1041"/>
      <c r="L71" s="774"/>
      <c r="M71" s="568"/>
      <c r="N71" s="568"/>
      <c r="O71" s="568"/>
      <c r="P71" s="568"/>
    </row>
    <row r="72" spans="1:18" ht="41.25" customHeight="1" x14ac:dyDescent="0.2">
      <c r="A72" s="554"/>
      <c r="B72" s="555"/>
      <c r="C72" s="19"/>
      <c r="D72" s="855" t="s">
        <v>176</v>
      </c>
      <c r="E72" s="654"/>
      <c r="F72" s="487"/>
      <c r="G72" s="530"/>
      <c r="H72" s="728"/>
      <c r="I72" s="797"/>
      <c r="J72" s="791"/>
      <c r="K72" s="875"/>
      <c r="L72" s="774"/>
    </row>
    <row r="73" spans="1:18" ht="41.25" customHeight="1" x14ac:dyDescent="0.2">
      <c r="A73" s="554"/>
      <c r="B73" s="555"/>
      <c r="C73" s="19"/>
      <c r="D73" s="1273" t="s">
        <v>162</v>
      </c>
      <c r="E73" s="1219"/>
      <c r="F73" s="979"/>
      <c r="G73" s="90"/>
      <c r="H73" s="675"/>
      <c r="I73" s="797"/>
      <c r="J73" s="791"/>
      <c r="K73" s="83"/>
      <c r="L73" s="218"/>
      <c r="N73" s="109"/>
      <c r="R73" s="109"/>
    </row>
    <row r="74" spans="1:18" ht="27" customHeight="1" x14ac:dyDescent="0.2">
      <c r="A74" s="554"/>
      <c r="B74" s="555"/>
      <c r="C74" s="19"/>
      <c r="D74" s="1273"/>
      <c r="E74" s="1219"/>
      <c r="F74" s="979"/>
      <c r="G74" s="530"/>
      <c r="H74" s="728"/>
      <c r="I74" s="797"/>
      <c r="J74" s="791"/>
      <c r="K74" s="875"/>
      <c r="L74" s="218"/>
      <c r="P74" s="109"/>
    </row>
    <row r="75" spans="1:18" ht="21" customHeight="1" x14ac:dyDescent="0.2">
      <c r="A75" s="554"/>
      <c r="B75" s="555"/>
      <c r="C75" s="19"/>
      <c r="D75" s="1118" t="s">
        <v>213</v>
      </c>
      <c r="E75" s="1219"/>
      <c r="F75" s="979"/>
      <c r="G75" s="90"/>
      <c r="H75" s="675"/>
      <c r="I75" s="797"/>
      <c r="J75" s="791"/>
      <c r="K75" s="1041"/>
      <c r="L75" s="218"/>
      <c r="N75" s="109"/>
    </row>
    <row r="76" spans="1:18" ht="32.25" customHeight="1" x14ac:dyDescent="0.2">
      <c r="A76" s="554"/>
      <c r="B76" s="555"/>
      <c r="C76" s="19"/>
      <c r="D76" s="1118"/>
      <c r="E76" s="1219"/>
      <c r="F76" s="979"/>
      <c r="G76" s="530"/>
      <c r="H76" s="728"/>
      <c r="I76" s="797"/>
      <c r="J76" s="791"/>
      <c r="K76" s="1041"/>
      <c r="L76" s="929"/>
      <c r="N76" s="109"/>
      <c r="P76" s="109"/>
      <c r="R76" s="109"/>
    </row>
    <row r="77" spans="1:18" ht="30.75" customHeight="1" thickBot="1" x14ac:dyDescent="0.25">
      <c r="A77" s="24"/>
      <c r="B77" s="14"/>
      <c r="C77" s="45"/>
      <c r="D77" s="855" t="s">
        <v>188</v>
      </c>
      <c r="E77" s="655"/>
      <c r="F77" s="656"/>
      <c r="G77" s="313" t="s">
        <v>16</v>
      </c>
      <c r="H77" s="683">
        <f>SUM(H70:H76)</f>
        <v>190222</v>
      </c>
      <c r="I77" s="799">
        <f>SUM(I70:I76)</f>
        <v>107159</v>
      </c>
      <c r="J77" s="711">
        <f>SUM(J70:J76)</f>
        <v>-83063</v>
      </c>
      <c r="K77" s="901"/>
      <c r="L77" s="933"/>
    </row>
    <row r="78" spans="1:18" ht="13.5" thickBot="1" x14ac:dyDescent="0.25">
      <c r="A78" s="30" t="s">
        <v>9</v>
      </c>
      <c r="B78" s="33" t="s">
        <v>10</v>
      </c>
      <c r="C78" s="1228" t="s">
        <v>15</v>
      </c>
      <c r="D78" s="1116"/>
      <c r="E78" s="1116"/>
      <c r="F78" s="1116"/>
      <c r="G78" s="1117"/>
      <c r="H78" s="699">
        <f>H77+H69+H56</f>
        <v>3390468</v>
      </c>
      <c r="I78" s="816">
        <f>I77+I69+I56</f>
        <v>3357405</v>
      </c>
      <c r="J78" s="816">
        <f>J77+J69+J56</f>
        <v>-33063</v>
      </c>
      <c r="K78" s="990"/>
      <c r="L78" s="992"/>
    </row>
    <row r="79" spans="1:18" ht="13.5" thickBot="1" x14ac:dyDescent="0.25">
      <c r="A79" s="18" t="s">
        <v>9</v>
      </c>
      <c r="B79" s="148" t="s">
        <v>11</v>
      </c>
      <c r="C79" s="1067" t="s">
        <v>136</v>
      </c>
      <c r="D79" s="1068"/>
      <c r="E79" s="1068"/>
      <c r="F79" s="1068"/>
      <c r="G79" s="1068"/>
      <c r="H79" s="1068"/>
      <c r="I79" s="1068"/>
      <c r="J79" s="1068"/>
      <c r="K79" s="1068"/>
      <c r="L79" s="1069"/>
    </row>
    <row r="80" spans="1:18" ht="42.75" customHeight="1" x14ac:dyDescent="0.2">
      <c r="A80" s="21" t="s">
        <v>9</v>
      </c>
      <c r="B80" s="27" t="s">
        <v>11</v>
      </c>
      <c r="C80" s="22" t="s">
        <v>9</v>
      </c>
      <c r="D80" s="446" t="s">
        <v>71</v>
      </c>
      <c r="E80" s="1264" t="s">
        <v>189</v>
      </c>
      <c r="F80" s="860">
        <v>2</v>
      </c>
      <c r="G80" s="657" t="s">
        <v>12</v>
      </c>
      <c r="H80" s="672">
        <f>60/3.4528*1000</f>
        <v>17377</v>
      </c>
      <c r="I80" s="796">
        <f>60/3.4528*1000</f>
        <v>17377</v>
      </c>
      <c r="J80" s="820"/>
      <c r="K80" s="219"/>
      <c r="L80" s="106"/>
    </row>
    <row r="81" spans="1:16" ht="42" customHeight="1" x14ac:dyDescent="0.2">
      <c r="A81" s="554"/>
      <c r="B81" s="555"/>
      <c r="C81" s="19"/>
      <c r="D81" s="571" t="s">
        <v>100</v>
      </c>
      <c r="E81" s="1265"/>
      <c r="F81" s="861"/>
      <c r="G81" s="569"/>
      <c r="H81" s="675"/>
      <c r="I81" s="797"/>
      <c r="J81" s="821"/>
      <c r="K81" s="572" t="s">
        <v>201</v>
      </c>
      <c r="L81" s="776">
        <v>1</v>
      </c>
      <c r="M81" s="109"/>
    </row>
    <row r="82" spans="1:16" ht="12.75" customHeight="1" x14ac:dyDescent="0.2">
      <c r="A82" s="554"/>
      <c r="B82" s="555"/>
      <c r="C82" s="19"/>
      <c r="D82" s="1229" t="s">
        <v>163</v>
      </c>
      <c r="E82" s="1265"/>
      <c r="F82" s="861"/>
      <c r="G82" s="569"/>
      <c r="H82" s="675"/>
      <c r="I82" s="797"/>
      <c r="J82" s="821"/>
      <c r="K82" s="817" t="s">
        <v>202</v>
      </c>
      <c r="L82" s="789"/>
    </row>
    <row r="83" spans="1:16" ht="28.5" customHeight="1" x14ac:dyDescent="0.2">
      <c r="A83" s="554"/>
      <c r="B83" s="555"/>
      <c r="C83" s="19"/>
      <c r="D83" s="1229"/>
      <c r="E83" s="1265"/>
      <c r="F83" s="861"/>
      <c r="G83" s="74"/>
      <c r="H83" s="835"/>
      <c r="I83" s="836"/>
      <c r="J83" s="837"/>
      <c r="K83" s="817" t="s">
        <v>203</v>
      </c>
      <c r="L83" s="789">
        <v>1</v>
      </c>
      <c r="N83" s="109"/>
    </row>
    <row r="84" spans="1:16" ht="51" x14ac:dyDescent="0.2">
      <c r="A84" s="554"/>
      <c r="B84" s="555"/>
      <c r="C84" s="19"/>
      <c r="D84" s="872" t="s">
        <v>214</v>
      </c>
      <c r="E84" s="666"/>
      <c r="F84" s="861"/>
      <c r="G84" s="569"/>
      <c r="H84" s="675"/>
      <c r="I84" s="797"/>
      <c r="J84" s="821"/>
      <c r="K84" s="818" t="s">
        <v>204</v>
      </c>
      <c r="L84" s="776"/>
      <c r="N84" s="109"/>
      <c r="P84" s="109"/>
    </row>
    <row r="85" spans="1:16" x14ac:dyDescent="0.2">
      <c r="A85" s="554"/>
      <c r="B85" s="555"/>
      <c r="C85" s="19"/>
      <c r="D85" s="1229" t="s">
        <v>73</v>
      </c>
      <c r="E85" s="666"/>
      <c r="F85" s="861"/>
      <c r="G85" s="619"/>
      <c r="H85" s="680"/>
      <c r="I85" s="798"/>
      <c r="J85" s="822"/>
      <c r="K85" s="819"/>
      <c r="L85" s="790"/>
    </row>
    <row r="86" spans="1:16" ht="43.5" customHeight="1" thickBot="1" x14ac:dyDescent="0.25">
      <c r="A86" s="24"/>
      <c r="B86" s="14"/>
      <c r="C86" s="45"/>
      <c r="D86" s="1230"/>
      <c r="E86" s="667"/>
      <c r="F86" s="395"/>
      <c r="G86" s="570" t="s">
        <v>16</v>
      </c>
      <c r="H86" s="683">
        <f>SUM(H80:H85)</f>
        <v>17377</v>
      </c>
      <c r="I86" s="799">
        <f>SUM(I80:I85)</f>
        <v>17377</v>
      </c>
      <c r="J86" s="823"/>
      <c r="K86" s="841"/>
      <c r="L86" s="777"/>
    </row>
    <row r="87" spans="1:16" ht="39.75" customHeight="1" x14ac:dyDescent="0.2">
      <c r="A87" s="21" t="s">
        <v>9</v>
      </c>
      <c r="B87" s="27" t="s">
        <v>11</v>
      </c>
      <c r="C87" s="22" t="s">
        <v>13</v>
      </c>
      <c r="D87" s="986" t="s">
        <v>166</v>
      </c>
      <c r="E87" s="1094" t="s">
        <v>84</v>
      </c>
      <c r="F87" s="998" t="s">
        <v>35</v>
      </c>
      <c r="G87" s="618" t="s">
        <v>12</v>
      </c>
      <c r="H87" s="680">
        <f>40/3.4528*1000</f>
        <v>11585</v>
      </c>
      <c r="I87" s="892">
        <v>11584</v>
      </c>
      <c r="J87" s="889">
        <f>I87-H87</f>
        <v>-1</v>
      </c>
      <c r="K87" s="778" t="s">
        <v>207</v>
      </c>
      <c r="L87" s="769">
        <v>4</v>
      </c>
      <c r="M87" s="181"/>
    </row>
    <row r="88" spans="1:16" ht="13.5" thickBot="1" x14ac:dyDescent="0.25">
      <c r="A88" s="24"/>
      <c r="B88" s="14"/>
      <c r="C88" s="45"/>
      <c r="D88" s="987"/>
      <c r="E88" s="1095"/>
      <c r="F88" s="999"/>
      <c r="G88" s="570" t="s">
        <v>16</v>
      </c>
      <c r="H88" s="683">
        <f>H87</f>
        <v>11585</v>
      </c>
      <c r="I88" s="799">
        <f>I87</f>
        <v>11584</v>
      </c>
      <c r="J88" s="890">
        <f>J87</f>
        <v>-1</v>
      </c>
      <c r="K88" s="779"/>
      <c r="L88" s="771"/>
      <c r="M88" s="181"/>
    </row>
    <row r="89" spans="1:16" ht="14.25" customHeight="1" thickBot="1" x14ac:dyDescent="0.25">
      <c r="A89" s="30" t="s">
        <v>9</v>
      </c>
      <c r="B89" s="33" t="s">
        <v>11</v>
      </c>
      <c r="C89" s="1228" t="s">
        <v>15</v>
      </c>
      <c r="D89" s="1116"/>
      <c r="E89" s="1116"/>
      <c r="F89" s="1116"/>
      <c r="G89" s="1117"/>
      <c r="H89" s="739">
        <f>H88+H86</f>
        <v>28962</v>
      </c>
      <c r="I89" s="816">
        <f>I88+I86</f>
        <v>28961</v>
      </c>
      <c r="J89" s="891">
        <f>J88+J86</f>
        <v>-1</v>
      </c>
      <c r="K89" s="990"/>
      <c r="L89" s="992"/>
    </row>
    <row r="90" spans="1:16" ht="14.25" customHeight="1" thickBot="1" x14ac:dyDescent="0.25">
      <c r="A90" s="13" t="s">
        <v>9</v>
      </c>
      <c r="B90" s="1202" t="s">
        <v>17</v>
      </c>
      <c r="C90" s="1096"/>
      <c r="D90" s="1096"/>
      <c r="E90" s="1096"/>
      <c r="F90" s="1096"/>
      <c r="G90" s="1097"/>
      <c r="H90" s="741">
        <f>H89+H78+H30</f>
        <v>4031485</v>
      </c>
      <c r="I90" s="800">
        <f>I89+I78+I30</f>
        <v>3998422</v>
      </c>
      <c r="J90" s="792">
        <f>J89+J78+J30</f>
        <v>-33063</v>
      </c>
      <c r="K90" s="1070"/>
      <c r="L90" s="1072"/>
    </row>
    <row r="91" spans="1:16" ht="14.25" customHeight="1" thickBot="1" x14ac:dyDescent="0.25">
      <c r="A91" s="31" t="s">
        <v>14</v>
      </c>
      <c r="B91" s="1203" t="s">
        <v>85</v>
      </c>
      <c r="C91" s="1101"/>
      <c r="D91" s="1101"/>
      <c r="E91" s="1101"/>
      <c r="F91" s="1101"/>
      <c r="G91" s="1102"/>
      <c r="H91" s="824">
        <f>H90</f>
        <v>4031485</v>
      </c>
      <c r="I91" s="801">
        <f>I90</f>
        <v>3998422</v>
      </c>
      <c r="J91" s="793">
        <f>J90</f>
        <v>-33063</v>
      </c>
      <c r="K91" s="1007"/>
      <c r="L91" s="1009"/>
    </row>
    <row r="92" spans="1:16" ht="14.25" customHeight="1" x14ac:dyDescent="0.2">
      <c r="A92" s="622"/>
      <c r="B92" s="623"/>
      <c r="C92" s="623"/>
      <c r="D92" s="623"/>
      <c r="E92" s="623"/>
      <c r="F92" s="623"/>
      <c r="G92" s="623"/>
      <c r="H92" s="745"/>
      <c r="I92" s="745"/>
      <c r="J92" s="745"/>
      <c r="K92" s="621"/>
      <c r="L92" s="621"/>
    </row>
    <row r="93" spans="1:16" ht="15.75" customHeight="1" thickBot="1" x14ac:dyDescent="0.25">
      <c r="A93" s="1192" t="s">
        <v>21</v>
      </c>
      <c r="B93" s="1192"/>
      <c r="C93" s="1192"/>
      <c r="D93" s="1192"/>
      <c r="E93" s="1192"/>
      <c r="F93" s="1192"/>
      <c r="G93" s="1192"/>
      <c r="H93" s="1192"/>
      <c r="I93" s="1192"/>
      <c r="J93" s="1192"/>
      <c r="K93" s="243"/>
      <c r="L93" s="609"/>
    </row>
    <row r="94" spans="1:16" ht="54.75" customHeight="1" x14ac:dyDescent="0.2">
      <c r="A94" s="1193" t="s">
        <v>19</v>
      </c>
      <c r="B94" s="1194"/>
      <c r="C94" s="1194"/>
      <c r="D94" s="1194"/>
      <c r="E94" s="1194"/>
      <c r="F94" s="1194"/>
      <c r="G94" s="1195"/>
      <c r="H94" s="830" t="s">
        <v>179</v>
      </c>
      <c r="I94" s="834" t="s">
        <v>220</v>
      </c>
      <c r="J94" s="884" t="s">
        <v>218</v>
      </c>
      <c r="K94" s="69"/>
      <c r="L94" s="869"/>
    </row>
    <row r="95" spans="1:16" x14ac:dyDescent="0.2">
      <c r="A95" s="1207" t="s">
        <v>32</v>
      </c>
      <c r="B95" s="1208"/>
      <c r="C95" s="1208"/>
      <c r="D95" s="1208"/>
      <c r="E95" s="1208"/>
      <c r="F95" s="1208"/>
      <c r="G95" s="1209"/>
      <c r="H95" s="831">
        <f>SUM(H96:H99)</f>
        <v>3896175</v>
      </c>
      <c r="I95" s="827">
        <f>SUM(I96:I99)</f>
        <v>3910349</v>
      </c>
      <c r="J95" s="885">
        <f>SUM(J96:J99)</f>
        <v>14174</v>
      </c>
      <c r="K95" s="70"/>
      <c r="L95" s="867"/>
    </row>
    <row r="96" spans="1:16" x14ac:dyDescent="0.2">
      <c r="A96" s="1103" t="s">
        <v>22</v>
      </c>
      <c r="B96" s="1104"/>
      <c r="C96" s="1104"/>
      <c r="D96" s="1104"/>
      <c r="E96" s="1104"/>
      <c r="F96" s="1104"/>
      <c r="G96" s="1105"/>
      <c r="H96" s="832">
        <f>SUMIF(G13:G87,"sb",H13:H87)</f>
        <v>3328544</v>
      </c>
      <c r="I96" s="828">
        <f>SUMIF(G13:G87,"sb",I13:I87)</f>
        <v>3342718</v>
      </c>
      <c r="J96" s="886">
        <f>I96-H96</f>
        <v>14174</v>
      </c>
      <c r="K96" s="139"/>
      <c r="L96" s="868"/>
    </row>
    <row r="97" spans="1:12" x14ac:dyDescent="0.2">
      <c r="A97" s="1103" t="s">
        <v>99</v>
      </c>
      <c r="B97" s="1104"/>
      <c r="C97" s="1104"/>
      <c r="D97" s="1104"/>
      <c r="E97" s="1104"/>
      <c r="F97" s="1104"/>
      <c r="G97" s="1105"/>
      <c r="H97" s="832">
        <f>SUMIF(G13:G87,"sb(vr)",H13:H87)</f>
        <v>134413</v>
      </c>
      <c r="I97" s="828">
        <f>SUMIF(G13:G87,"sb(vr)",I13:I87)</f>
        <v>134413</v>
      </c>
      <c r="J97" s="886">
        <f t="shared" ref="J97:J98" si="0">I97-H97</f>
        <v>0</v>
      </c>
      <c r="K97" s="568"/>
      <c r="L97" s="868"/>
    </row>
    <row r="98" spans="1:12" ht="29.25" customHeight="1" x14ac:dyDescent="0.2">
      <c r="A98" s="1204" t="s">
        <v>31</v>
      </c>
      <c r="B98" s="1205"/>
      <c r="C98" s="1205"/>
      <c r="D98" s="1205"/>
      <c r="E98" s="1205"/>
      <c r="F98" s="1205"/>
      <c r="G98" s="1206"/>
      <c r="H98" s="833">
        <f>SUMIF(G13:G87,"sb(sp)",H13:H87)</f>
        <v>342331</v>
      </c>
      <c r="I98" s="829">
        <f>SUMIF(G13:G87,"sb(sp)",I13:I87)</f>
        <v>342331</v>
      </c>
      <c r="J98" s="886">
        <f t="shared" si="0"/>
        <v>0</v>
      </c>
      <c r="K98" s="866"/>
      <c r="L98" s="868"/>
    </row>
    <row r="99" spans="1:12" ht="13.5" customHeight="1" x14ac:dyDescent="0.2">
      <c r="A99" s="1204" t="s">
        <v>224</v>
      </c>
      <c r="B99" s="1205"/>
      <c r="C99" s="1205"/>
      <c r="D99" s="1205"/>
      <c r="E99" s="1205"/>
      <c r="F99" s="1205"/>
      <c r="G99" s="1206"/>
      <c r="H99" s="833">
        <f>SUMIF(G13:G87,"SB(SPL)",H13:H87)</f>
        <v>90887</v>
      </c>
      <c r="I99" s="829">
        <f>SUMIF(G13:G87,"SB(SPL)",I13:I87)</f>
        <v>90887</v>
      </c>
      <c r="J99" s="854">
        <f>SUMIF(G13:G87,"SB(SPL)",J13:J87)</f>
        <v>0</v>
      </c>
      <c r="K99" s="866"/>
      <c r="L99" s="868"/>
    </row>
    <row r="100" spans="1:12" x14ac:dyDescent="0.2">
      <c r="A100" s="1207" t="s">
        <v>33</v>
      </c>
      <c r="B100" s="1208"/>
      <c r="C100" s="1208"/>
      <c r="D100" s="1208"/>
      <c r="E100" s="1208"/>
      <c r="F100" s="1208"/>
      <c r="G100" s="1209"/>
      <c r="H100" s="831">
        <f>SUM(H101:H102)</f>
        <v>135310</v>
      </c>
      <c r="I100" s="827">
        <f>SUM(I101:I102)</f>
        <v>88073</v>
      </c>
      <c r="J100" s="885">
        <f>SUM(J101:J102)</f>
        <v>-47237</v>
      </c>
      <c r="K100" s="70"/>
      <c r="L100" s="867"/>
    </row>
    <row r="101" spans="1:12" x14ac:dyDescent="0.2">
      <c r="A101" s="1103" t="s">
        <v>23</v>
      </c>
      <c r="B101" s="1104"/>
      <c r="C101" s="1104"/>
      <c r="D101" s="1104"/>
      <c r="E101" s="1104"/>
      <c r="F101" s="1104"/>
      <c r="G101" s="1105"/>
      <c r="H101" s="832">
        <f>SUMIF(G13:G87,"es",H13:H87)</f>
        <v>88073</v>
      </c>
      <c r="I101" s="828">
        <f>SUMIF(G13:G87,"es",I13:I87)</f>
        <v>88073</v>
      </c>
      <c r="J101" s="886">
        <f>I101-H101</f>
        <v>0</v>
      </c>
      <c r="K101" s="139"/>
      <c r="L101" s="868"/>
    </row>
    <row r="102" spans="1:12" x14ac:dyDescent="0.2">
      <c r="A102" s="1103" t="s">
        <v>24</v>
      </c>
      <c r="B102" s="1104"/>
      <c r="C102" s="1104"/>
      <c r="D102" s="1104"/>
      <c r="E102" s="1104"/>
      <c r="F102" s="1104"/>
      <c r="G102" s="1105"/>
      <c r="H102" s="832">
        <f>SUMIF(G13:G87,"lrvb",H13:H87)</f>
        <v>47237</v>
      </c>
      <c r="I102" s="828">
        <f>SUMIF(G13:G87,"lrvb",I13:I87)</f>
        <v>0</v>
      </c>
      <c r="J102" s="886">
        <f>I102-H102</f>
        <v>-47237</v>
      </c>
      <c r="K102" s="139"/>
      <c r="L102" s="868"/>
    </row>
    <row r="103" spans="1:12" ht="13.5" thickBot="1" x14ac:dyDescent="0.25">
      <c r="A103" s="1216" t="s">
        <v>16</v>
      </c>
      <c r="B103" s="1217"/>
      <c r="C103" s="1217"/>
      <c r="D103" s="1217"/>
      <c r="E103" s="1217"/>
      <c r="F103" s="1217"/>
      <c r="G103" s="1218"/>
      <c r="H103" s="708">
        <f>H100+H95</f>
        <v>4031485</v>
      </c>
      <c r="I103" s="810">
        <f>I100+I95</f>
        <v>3998422</v>
      </c>
      <c r="J103" s="887">
        <f>J100+J95</f>
        <v>-33063</v>
      </c>
      <c r="K103" s="70"/>
      <c r="L103" s="867"/>
    </row>
    <row r="104" spans="1:12" x14ac:dyDescent="0.2">
      <c r="A104" s="47"/>
      <c r="B104" s="47"/>
      <c r="C104" s="47"/>
      <c r="D104" s="47"/>
      <c r="K104" s="71"/>
      <c r="L104" s="868"/>
    </row>
    <row r="105" spans="1:12" x14ac:dyDescent="0.2">
      <c r="L105" s="865"/>
    </row>
    <row r="106" spans="1:12" x14ac:dyDescent="0.2">
      <c r="K106" s="10"/>
      <c r="L106" s="610"/>
    </row>
    <row r="107" spans="1:12" x14ac:dyDescent="0.2">
      <c r="A107" s="1"/>
      <c r="B107" s="1"/>
      <c r="C107" s="1"/>
      <c r="D107" s="1"/>
      <c r="E107" s="1"/>
      <c r="F107" s="1"/>
      <c r="G107" s="1"/>
      <c r="H107" s="759"/>
      <c r="I107" s="759"/>
      <c r="J107" s="759"/>
      <c r="K107" s="51"/>
      <c r="L107" s="611"/>
    </row>
    <row r="108" spans="1:12" x14ac:dyDescent="0.2">
      <c r="A108" s="1"/>
      <c r="B108" s="1"/>
      <c r="C108" s="1"/>
      <c r="D108" s="1"/>
      <c r="E108" s="1"/>
      <c r="F108" s="1"/>
      <c r="G108" s="1"/>
      <c r="H108" s="759"/>
      <c r="I108" s="759"/>
      <c r="J108" s="759"/>
      <c r="K108" s="49"/>
      <c r="L108" s="611"/>
    </row>
    <row r="109" spans="1:12" x14ac:dyDescent="0.2">
      <c r="A109" s="1"/>
      <c r="B109" s="1"/>
      <c r="C109" s="1"/>
      <c r="D109" s="1"/>
      <c r="E109" s="1"/>
      <c r="F109" s="1"/>
      <c r="G109" s="1"/>
      <c r="H109" s="759"/>
      <c r="I109" s="759"/>
      <c r="J109" s="759"/>
      <c r="K109" s="49"/>
      <c r="L109" s="611"/>
    </row>
    <row r="110" spans="1:12" x14ac:dyDescent="0.2">
      <c r="A110" s="1"/>
      <c r="B110" s="1"/>
      <c r="C110" s="1"/>
      <c r="D110" s="1"/>
      <c r="E110" s="1"/>
      <c r="F110" s="1"/>
      <c r="G110" s="1"/>
      <c r="H110" s="759"/>
      <c r="I110" s="759"/>
      <c r="J110" s="759"/>
      <c r="K110" s="49"/>
      <c r="L110" s="611"/>
    </row>
    <row r="119" spans="1:12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668"/>
      <c r="L119" s="1"/>
    </row>
  </sheetData>
  <mergeCells count="100">
    <mergeCell ref="B91:G91"/>
    <mergeCell ref="K91:L91"/>
    <mergeCell ref="A93:J93"/>
    <mergeCell ref="A94:G94"/>
    <mergeCell ref="A95:G95"/>
    <mergeCell ref="A103:G103"/>
    <mergeCell ref="A100:G100"/>
    <mergeCell ref="A101:G101"/>
    <mergeCell ref="A102:G102"/>
    <mergeCell ref="A96:G96"/>
    <mergeCell ref="A97:G97"/>
    <mergeCell ref="A98:G98"/>
    <mergeCell ref="A99:G99"/>
    <mergeCell ref="C89:G89"/>
    <mergeCell ref="K89:L89"/>
    <mergeCell ref="B90:G90"/>
    <mergeCell ref="K90:L90"/>
    <mergeCell ref="C78:G78"/>
    <mergeCell ref="K78:L78"/>
    <mergeCell ref="C79:L79"/>
    <mergeCell ref="E80:E83"/>
    <mergeCell ref="D82:D83"/>
    <mergeCell ref="D85:D86"/>
    <mergeCell ref="D75:D76"/>
    <mergeCell ref="E75:E76"/>
    <mergeCell ref="F75:F76"/>
    <mergeCell ref="K75:K76"/>
    <mergeCell ref="D87:D88"/>
    <mergeCell ref="E87:E88"/>
    <mergeCell ref="F87:F88"/>
    <mergeCell ref="E63:E64"/>
    <mergeCell ref="F63:F64"/>
    <mergeCell ref="D70:D71"/>
    <mergeCell ref="K70:K71"/>
    <mergeCell ref="D73:D74"/>
    <mergeCell ref="E73:E74"/>
    <mergeCell ref="F73:F74"/>
    <mergeCell ref="E65:E68"/>
    <mergeCell ref="F65:F68"/>
    <mergeCell ref="K65:K66"/>
    <mergeCell ref="K67:K68"/>
    <mergeCell ref="E69:G69"/>
    <mergeCell ref="D39:D40"/>
    <mergeCell ref="D41:D43"/>
    <mergeCell ref="D44:D46"/>
    <mergeCell ref="D47:D48"/>
    <mergeCell ref="D65:D69"/>
    <mergeCell ref="D61:D62"/>
    <mergeCell ref="D63:D64"/>
    <mergeCell ref="L54:L55"/>
    <mergeCell ref="D59:D60"/>
    <mergeCell ref="E59:E60"/>
    <mergeCell ref="D49:D50"/>
    <mergeCell ref="D51:D53"/>
    <mergeCell ref="K54:K55"/>
    <mergeCell ref="E51:E53"/>
    <mergeCell ref="D54:D56"/>
    <mergeCell ref="D28:D29"/>
    <mergeCell ref="C30:G30"/>
    <mergeCell ref="K30:L30"/>
    <mergeCell ref="C31:L31"/>
    <mergeCell ref="D32:D33"/>
    <mergeCell ref="E32:E37"/>
    <mergeCell ref="D34:D36"/>
    <mergeCell ref="K34:K37"/>
    <mergeCell ref="L34:L37"/>
    <mergeCell ref="D37:D38"/>
    <mergeCell ref="K22:K23"/>
    <mergeCell ref="L22:L23"/>
    <mergeCell ref="D26:D27"/>
    <mergeCell ref="K26:K27"/>
    <mergeCell ref="D20:D21"/>
    <mergeCell ref="E20:E21"/>
    <mergeCell ref="F20:F21"/>
    <mergeCell ref="D22:D23"/>
    <mergeCell ref="E22:E23"/>
    <mergeCell ref="F22:F23"/>
    <mergeCell ref="D18:D19"/>
    <mergeCell ref="K18:K19"/>
    <mergeCell ref="G6:G8"/>
    <mergeCell ref="H6:H8"/>
    <mergeCell ref="K6:L6"/>
    <mergeCell ref="K7:K8"/>
    <mergeCell ref="A9:L9"/>
    <mergeCell ref="A10:L10"/>
    <mergeCell ref="B11:L11"/>
    <mergeCell ref="C12:L12"/>
    <mergeCell ref="E13:E14"/>
    <mergeCell ref="K1:L1"/>
    <mergeCell ref="A2:L2"/>
    <mergeCell ref="A3:L3"/>
    <mergeCell ref="A4:L4"/>
    <mergeCell ref="A6:A8"/>
    <mergeCell ref="B6:B8"/>
    <mergeCell ref="C6:C8"/>
    <mergeCell ref="D6:D8"/>
    <mergeCell ref="E6:E8"/>
    <mergeCell ref="F6:F8"/>
    <mergeCell ref="I6:I8"/>
    <mergeCell ref="J6:J8"/>
  </mergeCells>
  <printOptions horizontalCentered="1"/>
  <pageMargins left="0.78740157480314965" right="0.19685039370078741" top="0.39370078740157483" bottom="0.39370078740157483" header="0.31496062992125984" footer="0.31496062992125984"/>
  <pageSetup paperSize="9" scale="85" orientation="portrait" r:id="rId1"/>
  <rowBreaks count="2" manualBreakCount="2">
    <brk id="46" max="11" man="1"/>
    <brk id="78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2014-2016 SVP</vt:lpstr>
      <vt:lpstr>8 programa</vt:lpstr>
      <vt:lpstr>Asignavimų valdytojų kodai</vt:lpstr>
      <vt:lpstr>Lyginamasis variantas</vt:lpstr>
      <vt:lpstr>'2014-2016 SVP'!Print_Area</vt:lpstr>
      <vt:lpstr>'8 programa'!Print_Area</vt:lpstr>
      <vt:lpstr>'Lyginamasis variantas'!Print_Area</vt:lpstr>
      <vt:lpstr>'2014-2016 SVP'!Print_Titles</vt:lpstr>
      <vt:lpstr>'8 programa'!Print_Titles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Virginija Palaimiene</cp:lastModifiedBy>
  <cp:lastPrinted>2015-06-10T13:01:17Z</cp:lastPrinted>
  <dcterms:created xsi:type="dcterms:W3CDTF">2004-04-19T12:01:47Z</dcterms:created>
  <dcterms:modified xsi:type="dcterms:W3CDTF">2015-06-11T13:55:56Z</dcterms:modified>
</cp:coreProperties>
</file>