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80" windowWidth="19320" windowHeight="11100" firstSheet="1" activeTab="1"/>
  </bookViews>
  <sheets>
    <sheet name="Asignavimu valdytoju kodai" sheetId="2" state="hidden" r:id="rId1"/>
    <sheet name="11 programa" sheetId="7" r:id="rId2"/>
    <sheet name="Lyginamasis variantas" sheetId="9" state="hidden" r:id="rId3"/>
  </sheets>
  <definedNames>
    <definedName name="_xlnm.Print_Area" localSheetId="1">'11 programa'!$A$1:$R$97</definedName>
    <definedName name="_xlnm.Print_Area" localSheetId="2">'Lyginamasis variantas'!$A$1:$O$98</definedName>
    <definedName name="_xlnm.Print_Titles" localSheetId="1">'11 programa'!$5:$7</definedName>
    <definedName name="_xlnm.Print_Titles" localSheetId="2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M97" i="9" l="1"/>
  <c r="M96" i="9"/>
  <c r="M90" i="9"/>
  <c r="M91" i="9"/>
  <c r="M92" i="9"/>
  <c r="M93" i="9"/>
  <c r="M94" i="9"/>
  <c r="M89" i="9"/>
  <c r="L91" i="9"/>
  <c r="L90" i="9"/>
  <c r="L55" i="9"/>
  <c r="L97" i="9"/>
  <c r="L96" i="9"/>
  <c r="L93" i="9"/>
  <c r="L92" i="9"/>
  <c r="L89" i="9"/>
  <c r="L94" i="9"/>
  <c r="L76" i="9"/>
  <c r="M76" i="9"/>
  <c r="K76" i="9"/>
  <c r="K97" i="9"/>
  <c r="K96" i="9"/>
  <c r="K94" i="9"/>
  <c r="K93" i="9"/>
  <c r="K92" i="9"/>
  <c r="K91" i="9"/>
  <c r="K90" i="9"/>
  <c r="K89" i="9"/>
  <c r="M55" i="9"/>
  <c r="K55" i="9"/>
  <c r="I55" i="9"/>
  <c r="H55" i="9"/>
  <c r="L95" i="9" l="1"/>
  <c r="L88" i="9"/>
  <c r="L98" i="9" s="1"/>
  <c r="M54" i="7" l="1"/>
  <c r="H54" i="7"/>
  <c r="J53" i="9" l="1"/>
  <c r="K53" i="9" l="1"/>
  <c r="M53" i="9" s="1"/>
  <c r="M52" i="9" l="1"/>
  <c r="L80" i="9"/>
  <c r="L81" i="9" s="1"/>
  <c r="L78" i="9"/>
  <c r="L79" i="9" s="1"/>
  <c r="K80" i="9"/>
  <c r="K81" i="9" s="1"/>
  <c r="K78" i="9"/>
  <c r="K79" i="9" s="1"/>
  <c r="L75" i="9"/>
  <c r="L73" i="9"/>
  <c r="L66" i="9"/>
  <c r="L67" i="9" s="1"/>
  <c r="L61" i="9"/>
  <c r="L65" i="9" s="1"/>
  <c r="L56" i="9"/>
  <c r="L60" i="9" s="1"/>
  <c r="K75" i="9"/>
  <c r="K73" i="9"/>
  <c r="K66" i="9"/>
  <c r="K67" i="9" s="1"/>
  <c r="K61" i="9"/>
  <c r="K65" i="9" s="1"/>
  <c r="K56" i="9"/>
  <c r="K60" i="9" s="1"/>
  <c r="L49" i="9"/>
  <c r="L45" i="9"/>
  <c r="L46" i="9" s="1"/>
  <c r="L41" i="9"/>
  <c r="L44" i="9" s="1"/>
  <c r="K49" i="9"/>
  <c r="K45" i="9"/>
  <c r="K46" i="9" s="1"/>
  <c r="K41" i="9"/>
  <c r="K44" i="9" s="1"/>
  <c r="L36" i="9"/>
  <c r="L37" i="9" s="1"/>
  <c r="L30" i="9"/>
  <c r="L35" i="9" s="1"/>
  <c r="L23" i="9"/>
  <c r="L22" i="9"/>
  <c r="K36" i="9"/>
  <c r="K37" i="9" s="1"/>
  <c r="K30" i="9"/>
  <c r="K35" i="9" s="1"/>
  <c r="K23" i="9"/>
  <c r="K22" i="9"/>
  <c r="K17" i="9"/>
  <c r="K18" i="9" s="1"/>
  <c r="K15" i="9"/>
  <c r="K16" i="9" s="1"/>
  <c r="K13" i="9"/>
  <c r="K14" i="9" s="1"/>
  <c r="L17" i="9"/>
  <c r="L18" i="9" s="1"/>
  <c r="L15" i="9"/>
  <c r="L16" i="9" s="1"/>
  <c r="L13" i="9"/>
  <c r="L14" i="9" s="1"/>
  <c r="M81" i="9"/>
  <c r="M79" i="9"/>
  <c r="M75" i="9"/>
  <c r="M68" i="9"/>
  <c r="M73" i="9" s="1"/>
  <c r="M67" i="9"/>
  <c r="M65" i="9"/>
  <c r="M60" i="9"/>
  <c r="M54" i="9"/>
  <c r="M51" i="9"/>
  <c r="M48" i="9"/>
  <c r="M47" i="9"/>
  <c r="M44" i="9"/>
  <c r="M37" i="9"/>
  <c r="M35" i="9"/>
  <c r="M24" i="9"/>
  <c r="M23" i="9"/>
  <c r="M18" i="9"/>
  <c r="M16" i="9"/>
  <c r="M14" i="9"/>
  <c r="J51" i="9"/>
  <c r="J55" i="9" s="1"/>
  <c r="J54" i="9"/>
  <c r="K29" i="9" l="1"/>
  <c r="M22" i="9"/>
  <c r="M29" i="9" s="1"/>
  <c r="M38" i="9" s="1"/>
  <c r="M45" i="9"/>
  <c r="M46" i="9" s="1"/>
  <c r="K50" i="9"/>
  <c r="K19" i="9"/>
  <c r="M82" i="9"/>
  <c r="K82" i="9"/>
  <c r="M19" i="9"/>
  <c r="L29" i="9"/>
  <c r="L38" i="9" s="1"/>
  <c r="M49" i="9"/>
  <c r="L82" i="9"/>
  <c r="L50" i="9"/>
  <c r="K38" i="9"/>
  <c r="L19" i="9"/>
  <c r="H29" i="9"/>
  <c r="H52" i="9"/>
  <c r="J52" i="9" s="1"/>
  <c r="H49" i="9"/>
  <c r="H45" i="9"/>
  <c r="H46" i="9" s="1"/>
  <c r="M50" i="9" l="1"/>
  <c r="L83" i="9"/>
  <c r="L84" i="9" s="1"/>
  <c r="M83" i="9"/>
  <c r="M84" i="9" s="1"/>
  <c r="K83" i="9"/>
  <c r="K84" i="9" s="1"/>
  <c r="H44" i="7"/>
  <c r="I45" i="9"/>
  <c r="H90" i="7" l="1"/>
  <c r="H28" i="7"/>
  <c r="I92" i="9"/>
  <c r="H92" i="9"/>
  <c r="I29" i="9"/>
  <c r="J24" i="9"/>
  <c r="J92" i="9" s="1"/>
  <c r="I48" i="7" l="1"/>
  <c r="J48" i="7"/>
  <c r="K48" i="7"/>
  <c r="L48" i="7"/>
  <c r="M48" i="7"/>
  <c r="H48" i="7"/>
  <c r="I49" i="9"/>
  <c r="J48" i="9"/>
  <c r="J47" i="9"/>
  <c r="J49" i="9" l="1"/>
  <c r="J68" i="9" l="1"/>
  <c r="J73" i="9" s="1"/>
  <c r="I91" i="9" l="1"/>
  <c r="I90" i="9"/>
  <c r="J23" i="9"/>
  <c r="I80" i="9" l="1"/>
  <c r="I81" i="9" s="1"/>
  <c r="I78" i="9"/>
  <c r="I79" i="9" s="1"/>
  <c r="I74" i="9"/>
  <c r="I75" i="9" s="1"/>
  <c r="I73" i="9"/>
  <c r="I66" i="9"/>
  <c r="I67" i="9" s="1"/>
  <c r="I61" i="9"/>
  <c r="I65" i="9" s="1"/>
  <c r="I56" i="9"/>
  <c r="I60" i="9" s="1"/>
  <c r="I94" i="9"/>
  <c r="I46" i="9"/>
  <c r="I42" i="9"/>
  <c r="I97" i="9" s="1"/>
  <c r="I41" i="9"/>
  <c r="I36" i="9"/>
  <c r="I37" i="9" s="1"/>
  <c r="I30" i="9"/>
  <c r="I35" i="9" s="1"/>
  <c r="I17" i="9"/>
  <c r="I18" i="9" s="1"/>
  <c r="I15" i="9"/>
  <c r="I16" i="9" s="1"/>
  <c r="I13" i="9"/>
  <c r="J91" i="9"/>
  <c r="H91" i="9"/>
  <c r="J81" i="9"/>
  <c r="H80" i="9"/>
  <c r="H81" i="9" s="1"/>
  <c r="J79" i="9"/>
  <c r="H78" i="9"/>
  <c r="H79" i="9" s="1"/>
  <c r="J75" i="9"/>
  <c r="H74" i="9"/>
  <c r="H75" i="9" s="1"/>
  <c r="H73" i="9"/>
  <c r="J67" i="9"/>
  <c r="H66" i="9"/>
  <c r="H67" i="9" s="1"/>
  <c r="J65" i="9"/>
  <c r="H61" i="9"/>
  <c r="H65" i="9" s="1"/>
  <c r="J60" i="9"/>
  <c r="H56" i="9"/>
  <c r="H60" i="9" s="1"/>
  <c r="J97" i="9"/>
  <c r="J96" i="9"/>
  <c r="H96" i="9"/>
  <c r="H42" i="9"/>
  <c r="J44" i="9"/>
  <c r="H41" i="9"/>
  <c r="J37" i="9"/>
  <c r="H36" i="9"/>
  <c r="H37" i="9" s="1"/>
  <c r="J35" i="9"/>
  <c r="H30" i="9"/>
  <c r="H35" i="9" s="1"/>
  <c r="J18" i="9"/>
  <c r="H17" i="9"/>
  <c r="H18" i="9" s="1"/>
  <c r="J16" i="9"/>
  <c r="H15" i="9"/>
  <c r="H16" i="9" s="1"/>
  <c r="H13" i="9"/>
  <c r="H14" i="9" s="1"/>
  <c r="I96" i="9" l="1"/>
  <c r="I95" i="9" s="1"/>
  <c r="I76" i="9"/>
  <c r="H97" i="9"/>
  <c r="H95" i="9" s="1"/>
  <c r="I44" i="9"/>
  <c r="J45" i="9"/>
  <c r="J46" i="9" s="1"/>
  <c r="J50" i="9" s="1"/>
  <c r="H94" i="9"/>
  <c r="J94" i="9"/>
  <c r="J93" i="9"/>
  <c r="I50" i="9"/>
  <c r="I93" i="9"/>
  <c r="H90" i="9"/>
  <c r="J22" i="9"/>
  <c r="I14" i="9"/>
  <c r="I19" i="9" s="1"/>
  <c r="I89" i="9"/>
  <c r="J95" i="9"/>
  <c r="J82" i="9"/>
  <c r="H44" i="9"/>
  <c r="H50" i="9" s="1"/>
  <c r="J89" i="9"/>
  <c r="H38" i="9"/>
  <c r="I38" i="9"/>
  <c r="I82" i="9"/>
  <c r="H19" i="9"/>
  <c r="H82" i="9"/>
  <c r="J14" i="9"/>
  <c r="J19" i="9" s="1"/>
  <c r="H93" i="9"/>
  <c r="J76" i="9" l="1"/>
  <c r="I88" i="9"/>
  <c r="I98" i="9" s="1"/>
  <c r="J90" i="9"/>
  <c r="J88" i="9" s="1"/>
  <c r="J29" i="9"/>
  <c r="J38" i="9" s="1"/>
  <c r="H76" i="9"/>
  <c r="H83" i="9" s="1"/>
  <c r="H84" i="9" s="1"/>
  <c r="H89" i="9"/>
  <c r="H88" i="9" s="1"/>
  <c r="H98" i="9" s="1"/>
  <c r="I83" i="9"/>
  <c r="I84" i="9" s="1"/>
  <c r="K95" i="9" l="1"/>
  <c r="J83" i="9"/>
  <c r="J84" i="9" s="1"/>
  <c r="J98" i="9"/>
  <c r="K88" i="9" l="1"/>
  <c r="K98" i="9" s="1"/>
  <c r="M95" i="9"/>
  <c r="M88" i="9"/>
  <c r="N29" i="7"/>
  <c r="M29" i="7"/>
  <c r="I29" i="7"/>
  <c r="H29" i="7"/>
  <c r="M98" i="9" l="1"/>
  <c r="H77" i="7"/>
  <c r="H35" i="7" l="1"/>
  <c r="N35" i="7" l="1"/>
  <c r="M35" i="7"/>
  <c r="N63" i="7" l="1"/>
  <c r="M22" i="7"/>
  <c r="M65" i="7"/>
  <c r="N79" i="7"/>
  <c r="M79" i="7"/>
  <c r="H79" i="7"/>
  <c r="N73" i="7"/>
  <c r="H73" i="7"/>
  <c r="N77" i="7"/>
  <c r="M77" i="7"/>
  <c r="H65" i="7"/>
  <c r="N62" i="7"/>
  <c r="N61" i="7"/>
  <c r="M60" i="7"/>
  <c r="H60" i="7"/>
  <c r="N58" i="7"/>
  <c r="N57" i="7"/>
  <c r="N56" i="7"/>
  <c r="M55" i="7"/>
  <c r="H55" i="7"/>
  <c r="M44" i="7"/>
  <c r="H41" i="7"/>
  <c r="N40" i="7"/>
  <c r="M40" i="7"/>
  <c r="H40" i="7"/>
  <c r="N22" i="7"/>
  <c r="N21" i="7"/>
  <c r="M21" i="7"/>
  <c r="N16" i="7" l="1"/>
  <c r="N17" i="7" s="1"/>
  <c r="M16" i="7"/>
  <c r="H16" i="7"/>
  <c r="N14" i="7"/>
  <c r="M14" i="7"/>
  <c r="H14" i="7"/>
  <c r="N12" i="7"/>
  <c r="M12" i="7"/>
  <c r="H12" i="7"/>
  <c r="H96" i="7"/>
  <c r="H95" i="7"/>
  <c r="H94" i="7"/>
  <c r="H92" i="7"/>
  <c r="H91" i="7"/>
  <c r="H89" i="7"/>
  <c r="H80" i="7"/>
  <c r="H74" i="7"/>
  <c r="H78" i="7"/>
  <c r="H72" i="7"/>
  <c r="H66" i="7"/>
  <c r="H64" i="7"/>
  <c r="H59" i="7"/>
  <c r="H45" i="7"/>
  <c r="H43" i="7"/>
  <c r="H36" i="7"/>
  <c r="H34" i="7"/>
  <c r="H17" i="7"/>
  <c r="H15" i="7"/>
  <c r="H13" i="7"/>
  <c r="H49" i="7" l="1"/>
  <c r="H75" i="7" s="1"/>
  <c r="H37" i="7"/>
  <c r="H81" i="7"/>
  <c r="H18" i="7"/>
  <c r="H93" i="7"/>
  <c r="N96" i="7"/>
  <c r="M96" i="7"/>
  <c r="N95" i="7"/>
  <c r="N94" i="7"/>
  <c r="M94" i="7"/>
  <c r="N92" i="7"/>
  <c r="M92" i="7"/>
  <c r="N91" i="7"/>
  <c r="M91" i="7"/>
  <c r="I91" i="7"/>
  <c r="N89" i="7"/>
  <c r="M89" i="7"/>
  <c r="K81" i="7"/>
  <c r="N80" i="7"/>
  <c r="M80" i="7"/>
  <c r="J80" i="7"/>
  <c r="I79" i="7"/>
  <c r="I80" i="7" s="1"/>
  <c r="N74" i="7"/>
  <c r="M74" i="7"/>
  <c r="L74" i="7"/>
  <c r="L81" i="7" s="1"/>
  <c r="I73" i="7"/>
  <c r="I74" i="7" s="1"/>
  <c r="N78" i="7"/>
  <c r="M78" i="7"/>
  <c r="J77" i="7"/>
  <c r="I77" i="7" s="1"/>
  <c r="I78" i="7" s="1"/>
  <c r="N72" i="7"/>
  <c r="M72" i="7"/>
  <c r="J72" i="7"/>
  <c r="I72" i="7" s="1"/>
  <c r="I67" i="7"/>
  <c r="M66" i="7"/>
  <c r="J66" i="7"/>
  <c r="I65" i="7"/>
  <c r="I66" i="7" s="1"/>
  <c r="N64" i="7"/>
  <c r="M64" i="7"/>
  <c r="L64" i="7"/>
  <c r="K64" i="7"/>
  <c r="J64" i="7"/>
  <c r="I60" i="7"/>
  <c r="I64" i="7" s="1"/>
  <c r="N59" i="7"/>
  <c r="M59" i="7"/>
  <c r="L59" i="7"/>
  <c r="K59" i="7"/>
  <c r="J59" i="7"/>
  <c r="I55" i="7"/>
  <c r="I59" i="7" s="1"/>
  <c r="L54" i="7"/>
  <c r="K54" i="7"/>
  <c r="J54" i="7"/>
  <c r="I52" i="7"/>
  <c r="I94" i="7" s="1"/>
  <c r="I51" i="7"/>
  <c r="I92" i="7" s="1"/>
  <c r="M45" i="7"/>
  <c r="L45" i="7"/>
  <c r="K45" i="7"/>
  <c r="J45" i="7"/>
  <c r="J49" i="7" s="1"/>
  <c r="I44" i="7"/>
  <c r="I45" i="7" s="1"/>
  <c r="N43" i="7"/>
  <c r="N49" i="7" s="1"/>
  <c r="M43" i="7"/>
  <c r="L43" i="7"/>
  <c r="K43" i="7"/>
  <c r="J43" i="7"/>
  <c r="I41" i="7"/>
  <c r="I40" i="7"/>
  <c r="N36" i="7"/>
  <c r="M36" i="7"/>
  <c r="J36" i="7"/>
  <c r="I35" i="7"/>
  <c r="N34" i="7"/>
  <c r="M34" i="7"/>
  <c r="J34" i="7"/>
  <c r="I34" i="7" s="1"/>
  <c r="N88" i="7"/>
  <c r="N28" i="7"/>
  <c r="L28" i="7"/>
  <c r="L37" i="7" s="1"/>
  <c r="K28" i="7"/>
  <c r="K37" i="7" s="1"/>
  <c r="J28" i="7"/>
  <c r="M88" i="7"/>
  <c r="I22" i="7"/>
  <c r="I21" i="7"/>
  <c r="L18" i="7"/>
  <c r="K18" i="7"/>
  <c r="M17" i="7"/>
  <c r="J17" i="7"/>
  <c r="I17" i="7" s="1"/>
  <c r="I16" i="7"/>
  <c r="N15" i="7"/>
  <c r="M15" i="7"/>
  <c r="J15" i="7"/>
  <c r="I14" i="7"/>
  <c r="I15" i="7" s="1"/>
  <c r="N13" i="7"/>
  <c r="M13" i="7"/>
  <c r="J13" i="7"/>
  <c r="I12" i="7"/>
  <c r="M49" i="7" l="1"/>
  <c r="I88" i="7"/>
  <c r="I96" i="7"/>
  <c r="I93" i="7" s="1"/>
  <c r="K49" i="7"/>
  <c r="L49" i="7"/>
  <c r="L75" i="7" s="1"/>
  <c r="L82" i="7" s="1"/>
  <c r="L83" i="7" s="1"/>
  <c r="I81" i="7"/>
  <c r="N37" i="7"/>
  <c r="J37" i="7"/>
  <c r="M81" i="7"/>
  <c r="N81" i="7"/>
  <c r="N75" i="7"/>
  <c r="H88" i="7"/>
  <c r="H87" i="7" s="1"/>
  <c r="J75" i="7"/>
  <c r="M18" i="7"/>
  <c r="J18" i="7"/>
  <c r="I28" i="7"/>
  <c r="I43" i="7"/>
  <c r="I49" i="7" s="1"/>
  <c r="M75" i="7"/>
  <c r="I13" i="7"/>
  <c r="K82" i="7"/>
  <c r="K83" i="7" s="1"/>
  <c r="H82" i="7"/>
  <c r="H83" i="7" s="1"/>
  <c r="M93" i="7"/>
  <c r="M87" i="7"/>
  <c r="N18" i="7"/>
  <c r="N87" i="7"/>
  <c r="N93" i="7"/>
  <c r="I18" i="7"/>
  <c r="K75" i="7"/>
  <c r="J78" i="7"/>
  <c r="J81" i="7" s="1"/>
  <c r="I36" i="7"/>
  <c r="I89" i="7"/>
  <c r="I87" i="7" s="1"/>
  <c r="M28" i="7"/>
  <c r="M37" i="7" s="1"/>
  <c r="I54" i="7"/>
  <c r="H97" i="7" l="1"/>
  <c r="I37" i="7"/>
  <c r="I97" i="7"/>
  <c r="J82" i="7"/>
  <c r="I82" i="7" s="1"/>
  <c r="I83" i="7" s="1"/>
  <c r="I75" i="7"/>
  <c r="M82" i="7"/>
  <c r="M83" i="7" s="1"/>
  <c r="N97" i="7"/>
  <c r="M97" i="7"/>
  <c r="N82" i="7"/>
  <c r="N83" i="7" s="1"/>
  <c r="J83" i="7" l="1"/>
</calcChain>
</file>

<file path=xl/comments1.xml><?xml version="1.0" encoding="utf-8"?>
<comments xmlns="http://schemas.openxmlformats.org/spreadsheetml/2006/main">
  <authors>
    <author>Sniega</author>
    <author>Snieguole Kacerauskaite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D65" authorId="1">
      <text>
        <r>
          <rPr>
            <sz val="9"/>
            <color indexed="81"/>
            <rFont val="Tahoma"/>
            <family val="2"/>
            <charset val="186"/>
          </rPr>
          <t>priemonė įtraukta pagal  2014 m. spalio 31 d. SPG protokolą Nr. STR3-25</t>
        </r>
      </text>
    </comment>
  </commentList>
</comments>
</file>

<file path=xl/comments2.xml><?xml version="1.0" encoding="utf-8"?>
<comments xmlns="http://schemas.openxmlformats.org/spreadsheetml/2006/main">
  <authors>
    <author>Sniega</author>
    <author>Snieguole Kacerauskaite</author>
  </authors>
  <commentList>
    <comment ref="E13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I53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LEZ parama
</t>
        </r>
      </text>
    </comment>
    <comment ref="D66" authorId="1">
      <text>
        <r>
          <rPr>
            <sz val="9"/>
            <color indexed="81"/>
            <rFont val="Tahoma"/>
            <family val="2"/>
            <charset val="186"/>
          </rPr>
          <t>priemonė įtraukta pagal  2014 m. spalio 31 d. SPG protokolą Nr. STR3-25</t>
        </r>
      </text>
    </comment>
  </commentList>
</comments>
</file>

<file path=xl/sharedStrings.xml><?xml version="1.0" encoding="utf-8"?>
<sst xmlns="http://schemas.openxmlformats.org/spreadsheetml/2006/main" count="510" uniqueCount="151">
  <si>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</si>
  <si>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</si>
  <si>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</si>
  <si>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</si>
  <si>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</si>
  <si>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</si>
  <si>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</si>
  <si>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vertinimo kriterijus</t>
  </si>
  <si>
    <t>2015-ieji metai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</si>
  <si>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</si>
  <si>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</si>
  <si>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</si>
  <si>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2</t>
  </si>
  <si>
    <t>SB</t>
  </si>
  <si>
    <t>Iš viso:</t>
  </si>
  <si>
    <t>02</t>
  </si>
  <si>
    <t>6</t>
  </si>
  <si>
    <t>Kt</t>
  </si>
  <si>
    <t>03</t>
  </si>
  <si>
    <t>Iš viso uždaviniui:</t>
  </si>
  <si>
    <t>Asmenų, lankančių sporto mokyklas, skaičius</t>
  </si>
  <si>
    <t>SB(SP)</t>
  </si>
  <si>
    <t>BĮ Klaipėdos kūno kultūros ir rekreacijos centro išlaikymas ir  veiklos organizavimas</t>
  </si>
  <si>
    <t>Sportinės veiklos programų dalinis finansavimas:</t>
  </si>
  <si>
    <t>04</t>
  </si>
  <si>
    <t>ES</t>
  </si>
  <si>
    <t>Įrengti naujas ir modernizuoti esamas sporto bazes</t>
  </si>
  <si>
    <t>5</t>
  </si>
  <si>
    <t>SB(VB)</t>
  </si>
  <si>
    <t xml:space="preserve">Sporto infrastruktūros objektų einamasis remontas ir techninis aptarnavimas:                                    </t>
  </si>
  <si>
    <t>SB(P)</t>
  </si>
  <si>
    <t>Individualių sporto šakų sportininkų pasirengimas dalyvauti atrankos varžybose dėl patekimo į nacionalines rinktines</t>
  </si>
  <si>
    <t>Iš viso tikslui:</t>
  </si>
  <si>
    <t>11</t>
  </si>
  <si>
    <t>Iš viso programai:</t>
  </si>
  <si>
    <t>Finansavimo šaltinių suvestinė</t>
  </si>
  <si>
    <t>Finansavimo šaltiniai</t>
  </si>
  <si>
    <t>SAVIVALDYBĖS LĖŠOS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</si>
  <si>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</si>
  <si>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</si>
  <si>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Paskolos lėšos </t>
    </r>
    <r>
      <rPr>
        <b/>
        <sz val="10"/>
        <rFont val="Times New Roman"/>
        <family val="1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</si>
  <si>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</si>
  <si>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KITOS LĖŠOS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</si>
  <si>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</si>
  <si>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</si>
  <si>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 TIKSLŲ, UŽDAVINIŲ, PRIEMONIŲ, PRIEMONIŲ IŠLAIDŲ IR PRODUKTO KRITERIJŲ SUVESTINĖ</t>
  </si>
  <si>
    <t>05</t>
  </si>
  <si>
    <t>Sąlygų ugdytis biudžetinėse sporto įstaigose sudarymas:</t>
  </si>
  <si>
    <t>Pasirenkamojo vaikų ugdymo programų finansavimas iš sportininko krepšelio lėšų</t>
  </si>
  <si>
    <t>Prioritetinių sporto šakų didelio sportinio meistriškumo klubų veiklos dalinis finansavimas</t>
  </si>
  <si>
    <t>Sudaryti sąlygas sportuoti visų amžiaus grupių miestiečiams, įgyvendinant sveikos gyvensenos ir fizinio aktyvumo programas</t>
  </si>
  <si>
    <t>Sudaryti sąlygas ugdyti sveiką ir fiziškai aktyvią miesto bendruomenę, profesionaliai atrinkti ir ugdyti talentingus olimpinės pamainos sportininkus</t>
  </si>
  <si>
    <t xml:space="preserve"> Tinkamai reprezentuoti miestą šalies ir tarptautiniuose sporto renginiuose</t>
  </si>
  <si>
    <t xml:space="preserve">Prestižinių tarptautinių sporto renginių pritraukimas ir organizavimas </t>
  </si>
  <si>
    <t>KŪNO KULTŪROS IR SPORTO PLĖTROS PROGRAMOS NR. 11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</si>
  <si>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</si>
  <si>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</si>
  <si>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</si>
  <si>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</si>
  <si>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>2016-ųjų metų lėšų projektas</t>
  </si>
  <si>
    <t>Pritraukti didesnį dalyvių skaičių, užtikrinant sporto renginių organizavimo kokybę</t>
  </si>
  <si>
    <t>Vidutinis sportininkų, dalyvavusių programose, skaičius</t>
  </si>
  <si>
    <t>2016-ieji metai</t>
  </si>
  <si>
    <t>Miestą reprezentuojančių komandų, garsinančių miestą individualių sporto šakų sportininkų ir trenerių pagerbimas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</si>
  <si>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</si>
  <si>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</si>
  <si>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</si>
  <si>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</si>
  <si>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</si>
  <si>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</si>
  <si>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</si>
  <si>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</si>
  <si>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</si>
  <si>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Finansuota programų, vnt.</t>
  </si>
  <si>
    <t>P1.6.3.2</t>
  </si>
  <si>
    <t>P1.6.1.5</t>
  </si>
  <si>
    <t>miesto jachtų su jaunųjų buriuotojų įgulomis dalyvavimo tarptautinėse regatose</t>
  </si>
  <si>
    <t>2017-ųjų metų lėšų projektas</t>
  </si>
  <si>
    <t>2017-ieji metai</t>
  </si>
  <si>
    <t>Melnragės sporto salės (Burių g. 19) nuotekų vamzdyno remontas</t>
  </si>
  <si>
    <t xml:space="preserve">Kamuolių gaudyklių įrengimas, tribūnos aptvėrimas bei kiaurymių užtaisymas stadiono (Sportininkų g. 46) dirbtinėje aikštėje       </t>
  </si>
  <si>
    <t xml:space="preserve">Irklavimo bazės (Gluosnių g. 8) modernizavimas </t>
  </si>
  <si>
    <t>I</t>
  </si>
  <si>
    <t>LRVB</t>
  </si>
  <si>
    <t>P1.6.3.6</t>
  </si>
  <si>
    <t>1.6.3.3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</si>
  <si>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</si>
  <si>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Parengtas techninis projektas, vnt.
</t>
  </si>
  <si>
    <t>Atlikta statybos darbų, proc.</t>
  </si>
  <si>
    <t>Atlikta modernizavimo darbų, proc.</t>
  </si>
  <si>
    <t>Atlikta darbų, proc.</t>
  </si>
  <si>
    <r>
      <rPr>
        <b/>
        <sz val="10"/>
        <rFont val="Times New Roman"/>
        <family val="1"/>
        <charset val="186"/>
      </rPr>
      <t>Klaipėdos miesto baseinas (50 metrų) su sveikatingumo centru:</t>
    </r>
    <r>
      <rPr>
        <sz val="10"/>
        <rFont val="Times New Roman"/>
        <family val="1"/>
        <charset val="186"/>
      </rPr>
      <t xml:space="preserve"> techninio projekto parengimas ir įgyvendinimas</t>
    </r>
  </si>
  <si>
    <t>BĮ Klaipėdos miesto lengvosios atletikos mokykloje</t>
  </si>
  <si>
    <t>Atlikti centrinio stadiono vakarinės pusės dengtų tribūnų įrengimo darbai, proc.</t>
  </si>
  <si>
    <t xml:space="preserve">Atlikti stadiono naujų bėgimo takų įrengimo darbai, proc. </t>
  </si>
  <si>
    <t>Atlikti įėjimo vartų į centrinį stadioną įrengimo darbai, proc.</t>
  </si>
  <si>
    <t xml:space="preserve">Klaipėdos centrinio stadiono Sportininkų g. 46 rekonstrukcija (II–IV etapai) </t>
  </si>
  <si>
    <t>06</t>
  </si>
  <si>
    <t>1.6.3.4</t>
  </si>
  <si>
    <t>Klaipėdos sporto sveikatingumo bazės komplekso (Smiltynės g. 13) panaudojimo galimybių studijos parengimas</t>
  </si>
  <si>
    <t>Parengta galimybių studija, vnt.</t>
  </si>
  <si>
    <t>Atlikti centrinio stadiono rytinės pusės dengtų tribūnų įrengimo darbai, proc.</t>
  </si>
  <si>
    <t>Įsigytas autobusas, vnt.</t>
  </si>
  <si>
    <t>Futbolo aikštė paruošta dirbtinės dangos paklojimui, proc.</t>
  </si>
  <si>
    <t>07</t>
  </si>
  <si>
    <t>Miesto stadionų atnaujinimas: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</si>
  <si>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</si>
  <si>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t>Klaipėdos miesto savivaldybės jachtos „Lietuva“ remontas</t>
  </si>
  <si>
    <t>Atlikti kasmetiniai laivo priežiūros darbai, įsigyta gelbėjimosi įranga, parengtumas dalyvauti regatoje, %</t>
  </si>
  <si>
    <t>Atlikta dirbtinės aikštės tvarkymo darbų, proc.</t>
  </si>
  <si>
    <t>Atlikta sporto salės nuotekų vamzdyno remonto darbų, proc.</t>
  </si>
  <si>
    <t>Atlikta  sporto salės stogo remonto darbų, proc.</t>
  </si>
  <si>
    <t>Atlikti Centrinio stadiono sportavimo sąlygų gerinimo darbai, proc.</t>
  </si>
  <si>
    <t>Iš viso priemonei:</t>
  </si>
  <si>
    <t>2015-ųjų m. asignavimų planas</t>
  </si>
  <si>
    <t>2015 m. asignavimų planas</t>
  </si>
  <si>
    <t>2016 m. lėšų projektas</t>
  </si>
  <si>
    <t>2017 m. lėšų projektas</t>
  </si>
  <si>
    <t>Suorganizuota pagerbimo ir viešinimo renginių, skaičius</t>
  </si>
  <si>
    <t>Suorganizuota renginių, skaičius</t>
  </si>
  <si>
    <t>Iš dalies finansuota programų, skaičius</t>
  </si>
  <si>
    <t>Skirta stipendijų sportininkams, skaičius</t>
  </si>
  <si>
    <t>Planas</t>
  </si>
  <si>
    <t>Suorganizuota renginių, skaičius (2015 m. –  Europos jaunimo sunkiosios atletikos čempionatas)</t>
  </si>
  <si>
    <t>Eur</t>
  </si>
  <si>
    <t xml:space="preserve">Dalyvavusiųjų sporto ir sveikatingumo renginiuose skaičius, tūkst. žmonių </t>
  </si>
  <si>
    <t>Renginių „Sportas visiems“ (festivalių, akcijų, miesto sporto švenčių) programų sukūrimas ir įgyvendinimas</t>
  </si>
  <si>
    <t>sporto klubų, dalyvaujančių judėjime „Sportas visiems“</t>
  </si>
  <si>
    <t>tradicinių, tarptautinių sporto renginių</t>
  </si>
  <si>
    <r>
      <t xml:space="preserve">Futbolo mokyklos ir baseino pastatų konversija </t>
    </r>
    <r>
      <rPr>
        <sz val="10"/>
        <rFont val="Times New Roman"/>
        <family val="1"/>
      </rPr>
      <t>(taikant modernias technologijas ir atsinaujinančius energijos šaltinius), įkuriant sporto paslaugų kompleksą, skirtą įvairių amžiaus grupių kvartalo gyventojams ir sporto bendruomenei (Paryžiaus Komunos g. 16A)</t>
    </r>
  </si>
  <si>
    <t>Sporto salės stogo dangos remontas (Taikos pr. 61A)</t>
  </si>
  <si>
    <t xml:space="preserve">2015–2017 M. KLAIPĖDOS MIESTO SAVIVALDYBĖS 
</t>
  </si>
  <si>
    <t xml:space="preserve">buriavimo, irklavimo, baidarių ir kanojų irklavimo sporto šakų </t>
  </si>
  <si>
    <t>Skirtumas</t>
  </si>
  <si>
    <t>Lengvosios atletikos mokyklos pastato vamzdyno remontas</t>
  </si>
  <si>
    <t>Atliktas pastato vamzdyno remontas, proc.</t>
  </si>
  <si>
    <t>Atnaujintas aikštynas, proc.</t>
  </si>
  <si>
    <t>Siūlomas keisti 2015 m. asignavimų planas</t>
  </si>
  <si>
    <t>Siūlomas keisti 2015-ųjų metų asignavimų planas</t>
  </si>
  <si>
    <t>Lyginamasis variantas</t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</si>
  <si>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</si>
  <si>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</si>
  <si>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Klaipėdos „Vėtrungės“ gimnazijos (Gedminų g. 5) sporto aikštyno atnaujinimas</t>
  </si>
  <si>
    <t xml:space="preserve">Futbolo aikštės dangos įrengimas prie Klaipėdos „Pajūrio“ pagrindinės mokyklos </t>
  </si>
  <si>
    <t>Parengtas investicijų projektas, vnt.</t>
  </si>
  <si>
    <t>Atliktas energetinis auditas, vnt.</t>
  </si>
  <si>
    <t>2016-ųjų m. asignavimų planas</t>
  </si>
  <si>
    <t>Siūlomas keisti 2016-ųjų metų asignavimų planas</t>
  </si>
  <si>
    <r>
      <rPr>
        <b/>
        <sz val="10"/>
        <color rgb="FFFF0000"/>
        <rFont val="Times New Roman"/>
        <family val="1"/>
        <charset val="186"/>
      </rPr>
      <t>Klaipėdos miesto baseinas (50 metrų) su sveikatingumo centru:</t>
    </r>
    <r>
      <rPr>
        <sz val="10"/>
        <color rgb="FFFF0000"/>
        <rFont val="Times New Roman"/>
        <family val="1"/>
        <charset val="186"/>
      </rPr>
      <t xml:space="preserve"> techninio projekto parengimas ir įgyvendinimas</t>
    </r>
  </si>
  <si>
    <t>2016 m. asignavimų planas</t>
  </si>
  <si>
    <t>Siūlomas keisti 2016 m. asignavimų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</si>
</sst>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0"/>
      <name val="Arial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93">
    <xf numFmtId="0" fontId="0" fillId="0" borderId="0" xfId="0"/>
    <xf numFmtId="0" fontId="2" fillId="0" borderId="0" xfId="0" applyFont="1"/>
    <xf numFmtId="0" fontId="5" fillId="0" borderId="1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center" textRotation="90"/>
    </xf>
    <xf numFmtId="0" fontId="2" fillId="0" borderId="0" xfId="0" applyFont="1" applyBorder="1"/>
    <xf numFmtId="0" fontId="1" fillId="0" borderId="9" xfId="0" applyNumberFormat="1" applyFont="1" applyBorder="1" applyAlignment="1">
      <alignment horizontal="center" vertical="top" wrapText="1"/>
    </xf>
    <xf numFmtId="164" fontId="1" fillId="0" borderId="18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164" fontId="1" fillId="0" borderId="26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1" fillId="0" borderId="26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165" fontId="4" fillId="4" borderId="0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1" fillId="0" borderId="18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56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0" fontId="1" fillId="0" borderId="72" xfId="0" applyFont="1" applyBorder="1" applyAlignment="1">
      <alignment horizontal="center" vertical="top"/>
    </xf>
    <xf numFmtId="0" fontId="4" fillId="0" borderId="11" xfId="0" applyFont="1" applyFill="1" applyBorder="1" applyAlignment="1">
      <alignment vertical="top" textRotation="180" wrapText="1"/>
    </xf>
    <xf numFmtId="0" fontId="4" fillId="0" borderId="14" xfId="0" applyFont="1" applyFill="1" applyBorder="1" applyAlignment="1">
      <alignment vertical="top" textRotation="180" wrapText="1"/>
    </xf>
    <xf numFmtId="0" fontId="4" fillId="0" borderId="10" xfId="0" applyNumberFormat="1" applyFont="1" applyBorder="1" applyAlignment="1">
      <alignment vertical="top"/>
    </xf>
    <xf numFmtId="0" fontId="4" fillId="0" borderId="23" xfId="0" applyFont="1" applyFill="1" applyBorder="1" applyAlignment="1">
      <alignment vertical="top" textRotation="180" wrapText="1"/>
    </xf>
    <xf numFmtId="0" fontId="4" fillId="0" borderId="17" xfId="0" applyNumberFormat="1" applyFont="1" applyBorder="1" applyAlignment="1">
      <alignment vertical="top"/>
    </xf>
    <xf numFmtId="49" fontId="3" fillId="0" borderId="4" xfId="0" applyNumberFormat="1" applyFont="1" applyFill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/>
    </xf>
    <xf numFmtId="0" fontId="1" fillId="0" borderId="24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3" fillId="8" borderId="41" xfId="0" applyFont="1" applyFill="1" applyBorder="1" applyAlignment="1">
      <alignment horizontal="right" vertical="top"/>
    </xf>
    <xf numFmtId="0" fontId="4" fillId="8" borderId="67" xfId="0" applyFont="1" applyFill="1" applyBorder="1" applyAlignment="1">
      <alignment horizontal="center" vertical="top" wrapText="1"/>
    </xf>
    <xf numFmtId="49" fontId="3" fillId="8" borderId="67" xfId="0" applyNumberFormat="1" applyFont="1" applyFill="1" applyBorder="1" applyAlignment="1">
      <alignment horizontal="right" vertical="top"/>
    </xf>
    <xf numFmtId="1" fontId="5" fillId="0" borderId="15" xfId="0" applyNumberFormat="1" applyFont="1" applyFill="1" applyBorder="1" applyAlignment="1">
      <alignment horizontal="center" vertical="top"/>
    </xf>
    <xf numFmtId="0" fontId="12" fillId="0" borderId="0" xfId="0" applyFont="1"/>
    <xf numFmtId="0" fontId="12" fillId="0" borderId="45" xfId="0" applyFont="1" applyBorder="1" applyAlignment="1">
      <alignment horizontal="center" vertical="top" wrapText="1"/>
    </xf>
    <xf numFmtId="0" fontId="12" fillId="0" borderId="45" xfId="0" applyFont="1" applyBorder="1" applyAlignment="1">
      <alignment vertical="top" wrapText="1"/>
    </xf>
    <xf numFmtId="0" fontId="4" fillId="8" borderId="58" xfId="0" applyFont="1" applyFill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0" fontId="1" fillId="4" borderId="5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top"/>
    </xf>
    <xf numFmtId="0" fontId="1" fillId="4" borderId="27" xfId="0" applyNumberFormat="1" applyFont="1" applyFill="1" applyBorder="1" applyAlignment="1">
      <alignment horizontal="center" vertical="top"/>
    </xf>
    <xf numFmtId="1" fontId="1" fillId="0" borderId="5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vertical="top" wrapText="1"/>
    </xf>
    <xf numFmtId="164" fontId="1" fillId="0" borderId="23" xfId="0" applyNumberFormat="1" applyFont="1" applyFill="1" applyBorder="1" applyAlignment="1">
      <alignment vertical="top" wrapText="1"/>
    </xf>
    <xf numFmtId="49" fontId="5" fillId="0" borderId="11" xfId="0" applyNumberFormat="1" applyFont="1" applyFill="1" applyBorder="1" applyAlignment="1">
      <alignment vertical="center" textRotation="90" wrapText="1"/>
    </xf>
    <xf numFmtId="49" fontId="5" fillId="0" borderId="14" xfId="0" applyNumberFormat="1" applyFont="1" applyFill="1" applyBorder="1" applyAlignment="1">
      <alignment vertical="center" textRotation="90" wrapText="1"/>
    </xf>
    <xf numFmtId="49" fontId="5" fillId="0" borderId="23" xfId="0" applyNumberFormat="1" applyFont="1" applyFill="1" applyBorder="1" applyAlignment="1">
      <alignment vertical="center" textRotation="90" wrapText="1"/>
    </xf>
    <xf numFmtId="0" fontId="3" fillId="8" borderId="4" xfId="0" applyFont="1" applyFill="1" applyBorder="1" applyAlignment="1">
      <alignment horizontal="right" vertical="top"/>
    </xf>
    <xf numFmtId="0" fontId="5" fillId="4" borderId="72" xfId="0" applyFont="1" applyFill="1" applyBorder="1" applyAlignment="1">
      <alignment horizontal="center" vertical="top" wrapText="1"/>
    </xf>
    <xf numFmtId="49" fontId="1" fillId="0" borderId="72" xfId="0" applyNumberFormat="1" applyFont="1" applyFill="1" applyBorder="1" applyAlignment="1">
      <alignment horizontal="center" vertical="top"/>
    </xf>
    <xf numFmtId="49" fontId="1" fillId="7" borderId="43" xfId="0" applyNumberFormat="1" applyFont="1" applyFill="1" applyBorder="1" applyAlignment="1">
      <alignment horizontal="center" vertical="top"/>
    </xf>
    <xf numFmtId="0" fontId="1" fillId="0" borderId="35" xfId="0" applyFont="1" applyFill="1" applyBorder="1" applyAlignment="1">
      <alignment horizontal="center" vertical="top"/>
    </xf>
    <xf numFmtId="0" fontId="4" fillId="8" borderId="67" xfId="0" applyFont="1" applyFill="1" applyBorder="1" applyAlignment="1">
      <alignment horizontal="center" vertical="top"/>
    </xf>
    <xf numFmtId="0" fontId="5" fillId="4" borderId="4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23" xfId="0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 wrapText="1"/>
    </xf>
    <xf numFmtId="164" fontId="5" fillId="0" borderId="26" xfId="0" applyNumberFormat="1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left" vertical="top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5" fillId="0" borderId="45" xfId="0" applyNumberFormat="1" applyFont="1" applyBorder="1" applyAlignment="1">
      <alignment horizontal="center" vertical="top"/>
    </xf>
    <xf numFmtId="49" fontId="4" fillId="0" borderId="23" xfId="0" applyNumberFormat="1" applyFont="1" applyFill="1" applyBorder="1" applyAlignment="1">
      <alignment vertical="center" textRotation="90" wrapText="1"/>
    </xf>
    <xf numFmtId="49" fontId="1" fillId="7" borderId="4" xfId="0" applyNumberFormat="1" applyFont="1" applyFill="1" applyBorder="1" applyAlignment="1">
      <alignment horizontal="center" vertical="top"/>
    </xf>
    <xf numFmtId="0" fontId="1" fillId="0" borderId="46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left"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top" wrapText="1"/>
    </xf>
    <xf numFmtId="0" fontId="5" fillId="0" borderId="34" xfId="0" applyNumberFormat="1" applyFont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left" vertical="top" wrapText="1"/>
    </xf>
    <xf numFmtId="1" fontId="1" fillId="0" borderId="15" xfId="0" applyNumberFormat="1" applyFont="1" applyFill="1" applyBorder="1" applyAlignment="1">
      <alignment horizontal="center" vertical="top"/>
    </xf>
    <xf numFmtId="1" fontId="1" fillId="0" borderId="16" xfId="0" applyNumberFormat="1" applyFont="1" applyFill="1" applyBorder="1" applyAlignment="1">
      <alignment horizontal="center" vertical="top"/>
    </xf>
    <xf numFmtId="0" fontId="1" fillId="0" borderId="29" xfId="0" applyNumberFormat="1" applyFont="1" applyFill="1" applyBorder="1" applyAlignment="1">
      <alignment horizontal="center" vertical="top"/>
    </xf>
    <xf numFmtId="0" fontId="1" fillId="0" borderId="56" xfId="0" applyNumberFormat="1" applyFont="1" applyFill="1" applyBorder="1" applyAlignment="1">
      <alignment horizontal="center" vertical="top"/>
    </xf>
    <xf numFmtId="0" fontId="5" fillId="0" borderId="45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164" fontId="5" fillId="0" borderId="44" xfId="0" applyNumberFormat="1" applyFont="1" applyBorder="1" applyAlignment="1">
      <alignment horizontal="left" vertical="top" wrapText="1"/>
    </xf>
    <xf numFmtId="164" fontId="5" fillId="0" borderId="44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4" fontId="4" fillId="4" borderId="0" xfId="0" applyNumberFormat="1" applyFont="1" applyFill="1" applyBorder="1" applyAlignment="1">
      <alignment horizontal="left" vertical="top" wrapText="1"/>
    </xf>
    <xf numFmtId="164" fontId="4" fillId="4" borderId="0" xfId="0" applyNumberFormat="1" applyFont="1" applyFill="1" applyBorder="1" applyAlignment="1">
      <alignment horizontal="left" vertical="top"/>
    </xf>
    <xf numFmtId="164" fontId="5" fillId="4" borderId="0" xfId="0" applyNumberFormat="1" applyFont="1" applyFill="1" applyBorder="1" applyAlignment="1">
      <alignment horizontal="left" vertical="top" wrapText="1"/>
    </xf>
    <xf numFmtId="49" fontId="1" fillId="0" borderId="18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 wrapText="1"/>
    </xf>
    <xf numFmtId="0" fontId="5" fillId="0" borderId="27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left" vertical="top"/>
    </xf>
    <xf numFmtId="0" fontId="4" fillId="0" borderId="38" xfId="0" applyNumberFormat="1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left" vertical="top" wrapText="1"/>
    </xf>
    <xf numFmtId="0" fontId="1" fillId="0" borderId="55" xfId="0" applyNumberFormat="1" applyFont="1" applyFill="1" applyBorder="1" applyAlignment="1">
      <alignment horizontal="center" vertical="top" wrapText="1"/>
    </xf>
    <xf numFmtId="0" fontId="1" fillId="0" borderId="46" xfId="0" applyNumberFormat="1" applyFont="1" applyBorder="1" applyAlignment="1">
      <alignment horizontal="center" vertical="top" wrapText="1"/>
    </xf>
    <xf numFmtId="0" fontId="1" fillId="0" borderId="53" xfId="0" applyNumberFormat="1" applyFont="1" applyBorder="1" applyAlignment="1">
      <alignment horizontal="center" vertical="top" wrapText="1"/>
    </xf>
    <xf numFmtId="164" fontId="4" fillId="3" borderId="19" xfId="0" applyNumberFormat="1" applyFont="1" applyFill="1" applyBorder="1" applyAlignment="1">
      <alignment horizontal="left" vertical="top"/>
    </xf>
    <xf numFmtId="0" fontId="4" fillId="3" borderId="39" xfId="0" applyNumberFormat="1" applyFont="1" applyFill="1" applyBorder="1" applyAlignment="1">
      <alignment horizontal="center" vertical="top"/>
    </xf>
    <xf numFmtId="0" fontId="4" fillId="3" borderId="40" xfId="0" applyNumberFormat="1" applyFont="1" applyFill="1" applyBorder="1" applyAlignment="1">
      <alignment horizontal="center" vertical="top"/>
    </xf>
    <xf numFmtId="164" fontId="4" fillId="2" borderId="39" xfId="0" applyNumberFormat="1" applyFont="1" applyFill="1" applyBorder="1" applyAlignment="1">
      <alignment horizontal="left" vertical="top"/>
    </xf>
    <xf numFmtId="0" fontId="4" fillId="2" borderId="39" xfId="0" applyNumberFormat="1" applyFont="1" applyFill="1" applyBorder="1" applyAlignment="1">
      <alignment horizontal="center" vertical="top"/>
    </xf>
    <xf numFmtId="0" fontId="4" fillId="2" borderId="40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left" vertical="top"/>
    </xf>
    <xf numFmtId="0" fontId="4" fillId="5" borderId="32" xfId="0" applyNumberFormat="1" applyFont="1" applyFill="1" applyBorder="1" applyAlignment="1">
      <alignment horizontal="center" vertical="top"/>
    </xf>
    <xf numFmtId="0" fontId="4" fillId="5" borderId="24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vertical="top"/>
    </xf>
    <xf numFmtId="49" fontId="3" fillId="0" borderId="17" xfId="0" applyNumberFormat="1" applyFont="1" applyBorder="1" applyAlignment="1">
      <alignment vertical="top"/>
    </xf>
    <xf numFmtId="164" fontId="5" fillId="0" borderId="76" xfId="0" applyNumberFormat="1" applyFont="1" applyFill="1" applyBorder="1" applyAlignment="1">
      <alignment horizontal="left" vertical="top" wrapText="1"/>
    </xf>
    <xf numFmtId="0" fontId="5" fillId="0" borderId="37" xfId="0" applyNumberFormat="1" applyFont="1" applyBorder="1" applyAlignment="1">
      <alignment horizontal="center" vertical="top"/>
    </xf>
    <xf numFmtId="0" fontId="1" fillId="0" borderId="59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top"/>
    </xf>
    <xf numFmtId="49" fontId="4" fillId="3" borderId="36" xfId="0" applyNumberFormat="1" applyFont="1" applyFill="1" applyBorder="1" applyAlignment="1">
      <alignment vertical="top"/>
    </xf>
    <xf numFmtId="49" fontId="4" fillId="2" borderId="19" xfId="0" applyNumberFormat="1" applyFont="1" applyFill="1" applyBorder="1" applyAlignment="1">
      <alignment horizontal="center" vertical="top"/>
    </xf>
    <xf numFmtId="49" fontId="4" fillId="3" borderId="20" xfId="0" applyNumberFormat="1" applyFont="1" applyFill="1" applyBorder="1" applyAlignment="1">
      <alignment horizontal="center" vertical="top"/>
    </xf>
    <xf numFmtId="49" fontId="4" fillId="3" borderId="21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14" xfId="0" applyNumberFormat="1" applyFont="1" applyFill="1" applyBorder="1" applyAlignment="1">
      <alignment horizontal="center" vertical="top"/>
    </xf>
    <xf numFmtId="49" fontId="4" fillId="3" borderId="15" xfId="0" applyNumberFormat="1" applyFont="1" applyFill="1" applyBorder="1" applyAlignment="1">
      <alignment horizontal="center" vertical="top"/>
    </xf>
    <xf numFmtId="49" fontId="4" fillId="2" borderId="23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vertical="top"/>
    </xf>
    <xf numFmtId="49" fontId="4" fillId="3" borderId="5" xfId="0" applyNumberFormat="1" applyFont="1" applyFill="1" applyBorder="1" applyAlignment="1">
      <alignment vertical="top"/>
    </xf>
    <xf numFmtId="49" fontId="4" fillId="4" borderId="36" xfId="0" applyNumberFormat="1" applyFont="1" applyFill="1" applyBorder="1" applyAlignment="1">
      <alignment vertical="top"/>
    </xf>
    <xf numFmtId="49" fontId="4" fillId="2" borderId="14" xfId="0" applyNumberFormat="1" applyFont="1" applyFill="1" applyBorder="1" applyAlignment="1">
      <alignment vertical="top"/>
    </xf>
    <xf numFmtId="49" fontId="4" fillId="3" borderId="15" xfId="0" applyNumberFormat="1" applyFont="1" applyFill="1" applyBorder="1" applyAlignment="1">
      <alignment vertical="top"/>
    </xf>
    <xf numFmtId="49" fontId="4" fillId="4" borderId="34" xfId="0" applyNumberFormat="1" applyFont="1" applyFill="1" applyBorder="1" applyAlignment="1">
      <alignment vertical="top"/>
    </xf>
    <xf numFmtId="49" fontId="4" fillId="2" borderId="23" xfId="0" applyNumberFormat="1" applyFont="1" applyFill="1" applyBorder="1" applyAlignment="1">
      <alignment vertical="top"/>
    </xf>
    <xf numFmtId="49" fontId="4" fillId="3" borderId="9" xfId="0" applyNumberFormat="1" applyFont="1" applyFill="1" applyBorder="1" applyAlignment="1">
      <alignment vertical="top"/>
    </xf>
    <xf numFmtId="49" fontId="4" fillId="4" borderId="38" xfId="0" applyNumberFormat="1" applyFont="1" applyFill="1" applyBorder="1" applyAlignment="1">
      <alignment vertical="top"/>
    </xf>
    <xf numFmtId="49" fontId="4" fillId="2" borderId="4" xfId="0" applyNumberFormat="1" applyFont="1" applyFill="1" applyBorder="1" applyAlignment="1">
      <alignment vertical="top"/>
    </xf>
    <xf numFmtId="49" fontId="4" fillId="4" borderId="0" xfId="0" applyNumberFormat="1" applyFont="1" applyFill="1" applyBorder="1" applyAlignment="1">
      <alignment vertical="top"/>
    </xf>
    <xf numFmtId="49" fontId="10" fillId="2" borderId="18" xfId="0" applyNumberFormat="1" applyFont="1" applyFill="1" applyBorder="1" applyAlignment="1">
      <alignment vertical="top"/>
    </xf>
    <xf numFmtId="49" fontId="10" fillId="3" borderId="5" xfId="0" applyNumberFormat="1" applyFont="1" applyFill="1" applyBorder="1" applyAlignment="1">
      <alignment vertical="top"/>
    </xf>
    <xf numFmtId="49" fontId="10" fillId="2" borderId="4" xfId="0" applyNumberFormat="1" applyFont="1" applyFill="1" applyBorder="1" applyAlignment="1">
      <alignment vertical="top"/>
    </xf>
    <xf numFmtId="49" fontId="10" fillId="3" borderId="15" xfId="0" applyNumberFormat="1" applyFont="1" applyFill="1" applyBorder="1" applyAlignment="1">
      <alignment vertical="top"/>
    </xf>
    <xf numFmtId="49" fontId="10" fillId="2" borderId="8" xfId="0" applyNumberFormat="1" applyFont="1" applyFill="1" applyBorder="1" applyAlignment="1">
      <alignment vertical="top"/>
    </xf>
    <xf numFmtId="49" fontId="10" fillId="3" borderId="9" xfId="0" applyNumberFormat="1" applyFont="1" applyFill="1" applyBorder="1" applyAlignment="1">
      <alignment vertical="top"/>
    </xf>
    <xf numFmtId="49" fontId="4" fillId="3" borderId="31" xfId="0" applyNumberFormat="1" applyFont="1" applyFill="1" applyBorder="1" applyAlignment="1">
      <alignment horizontal="center" vertical="top"/>
    </xf>
    <xf numFmtId="49" fontId="10" fillId="2" borderId="19" xfId="0" applyNumberFormat="1" applyFont="1" applyFill="1" applyBorder="1" applyAlignment="1">
      <alignment horizontal="center" vertical="top" wrapText="1"/>
    </xf>
    <xf numFmtId="49" fontId="10" fillId="3" borderId="31" xfId="0" applyNumberFormat="1" applyFont="1" applyFill="1" applyBorder="1" applyAlignment="1">
      <alignment horizontal="center" vertical="top" wrapText="1"/>
    </xf>
    <xf numFmtId="49" fontId="10" fillId="2" borderId="18" xfId="0" applyNumberFormat="1" applyFont="1" applyFill="1" applyBorder="1" applyAlignment="1">
      <alignment vertical="top" wrapText="1"/>
    </xf>
    <xf numFmtId="49" fontId="10" fillId="3" borderId="5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4" borderId="34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6" fillId="4" borderId="38" xfId="0" applyFont="1" applyFill="1" applyBorder="1" applyAlignment="1">
      <alignment vertical="top" wrapText="1"/>
    </xf>
    <xf numFmtId="49" fontId="10" fillId="2" borderId="4" xfId="0" applyNumberFormat="1" applyFont="1" applyFill="1" applyBorder="1" applyAlignment="1">
      <alignment vertical="top" wrapText="1"/>
    </xf>
    <xf numFmtId="49" fontId="10" fillId="3" borderId="15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horizontal="center" vertical="top"/>
    </xf>
    <xf numFmtId="49" fontId="4" fillId="3" borderId="31" xfId="0" applyNumberFormat="1" applyFont="1" applyFill="1" applyBorder="1" applyAlignment="1">
      <alignment vertical="top"/>
    </xf>
    <xf numFmtId="49" fontId="4" fillId="5" borderId="19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3" xfId="0" applyNumberFormat="1" applyFont="1" applyFill="1" applyBorder="1" applyAlignment="1">
      <alignment vertical="top" wrapText="1"/>
    </xf>
    <xf numFmtId="0" fontId="5" fillId="0" borderId="9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" fontId="1" fillId="0" borderId="29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vertical="top"/>
    </xf>
    <xf numFmtId="0" fontId="5" fillId="0" borderId="37" xfId="0" applyNumberFormat="1" applyFont="1" applyBorder="1" applyAlignment="1">
      <alignment horizontal="center" vertical="top" wrapText="1"/>
    </xf>
    <xf numFmtId="164" fontId="5" fillId="0" borderId="52" xfId="0" applyNumberFormat="1" applyFont="1" applyBorder="1" applyAlignment="1">
      <alignment horizontal="left" vertical="top" wrapText="1"/>
    </xf>
    <xf numFmtId="0" fontId="5" fillId="0" borderId="37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164" fontId="5" fillId="0" borderId="14" xfId="0" applyNumberFormat="1" applyFont="1" applyBorder="1" applyAlignment="1">
      <alignment horizontal="left" vertical="top" wrapText="1"/>
    </xf>
    <xf numFmtId="0" fontId="5" fillId="0" borderId="58" xfId="0" applyNumberFormat="1" applyFont="1" applyFill="1" applyBorder="1" applyAlignment="1">
      <alignment horizontal="center" vertical="top"/>
    </xf>
    <xf numFmtId="0" fontId="1" fillId="0" borderId="56" xfId="0" applyNumberFormat="1" applyFont="1" applyFill="1" applyBorder="1" applyAlignment="1">
      <alignment horizontal="center" vertical="top" wrapText="1"/>
    </xf>
    <xf numFmtId="0" fontId="2" fillId="0" borderId="26" xfId="0" applyFont="1" applyBorder="1"/>
    <xf numFmtId="0" fontId="6" fillId="7" borderId="38" xfId="0" applyFont="1" applyFill="1" applyBorder="1" applyAlignment="1">
      <alignment vertical="top" wrapText="1"/>
    </xf>
    <xf numFmtId="49" fontId="4" fillId="4" borderId="34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" fontId="6" fillId="7" borderId="5" xfId="0" applyNumberFormat="1" applyFont="1" applyFill="1" applyBorder="1" applyAlignment="1">
      <alignment horizontal="center" vertical="center"/>
    </xf>
    <xf numFmtId="1" fontId="6" fillId="7" borderId="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3" fontId="5" fillId="7" borderId="9" xfId="0" applyNumberFormat="1" applyFont="1" applyFill="1" applyBorder="1" applyAlignment="1">
      <alignment horizontal="center" vertical="top"/>
    </xf>
    <xf numFmtId="3" fontId="5" fillId="7" borderId="33" xfId="0" applyNumberFormat="1" applyFont="1" applyFill="1" applyBorder="1" applyAlignment="1">
      <alignment horizontal="center" vertical="top"/>
    </xf>
    <xf numFmtId="1" fontId="6" fillId="7" borderId="5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vertical="top" wrapText="1"/>
    </xf>
    <xf numFmtId="49" fontId="4" fillId="7" borderId="6" xfId="0" applyNumberFormat="1" applyFont="1" applyFill="1" applyBorder="1" applyAlignment="1">
      <alignment vertical="top" wrapText="1"/>
    </xf>
    <xf numFmtId="49" fontId="1" fillId="7" borderId="10" xfId="0" applyNumberFormat="1" applyFont="1" applyFill="1" applyBorder="1" applyAlignment="1">
      <alignment vertical="top" wrapText="1"/>
    </xf>
    <xf numFmtId="49" fontId="4" fillId="7" borderId="25" xfId="0" applyNumberFormat="1" applyFont="1" applyFill="1" applyBorder="1" applyAlignment="1">
      <alignment horizontal="left" vertical="top" wrapText="1"/>
    </xf>
    <xf numFmtId="49" fontId="5" fillId="7" borderId="13" xfId="0" applyNumberFormat="1" applyFont="1" applyFill="1" applyBorder="1" applyAlignment="1">
      <alignment horizontal="left" vertical="top" wrapText="1"/>
    </xf>
    <xf numFmtId="0" fontId="1" fillId="0" borderId="41" xfId="0" applyFont="1" applyBorder="1" applyAlignment="1">
      <alignment horizontal="center" vertical="top"/>
    </xf>
    <xf numFmtId="1" fontId="5" fillId="0" borderId="37" xfId="0" applyNumberFormat="1" applyFont="1" applyFill="1" applyBorder="1" applyAlignment="1">
      <alignment horizontal="center" vertical="top"/>
    </xf>
    <xf numFmtId="1" fontId="1" fillId="0" borderId="56" xfId="0" applyNumberFormat="1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left" vertical="top" wrapText="1"/>
    </xf>
    <xf numFmtId="0" fontId="2" fillId="0" borderId="4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4" xfId="0" applyFont="1" applyBorder="1" applyAlignment="1">
      <alignment horizontal="center" vertical="top"/>
    </xf>
    <xf numFmtId="49" fontId="4" fillId="0" borderId="4" xfId="0" applyNumberFormat="1" applyFont="1" applyFill="1" applyBorder="1" applyAlignment="1">
      <alignment vertical="center" textRotation="90" wrapText="1"/>
    </xf>
    <xf numFmtId="0" fontId="3" fillId="7" borderId="18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right" vertical="top"/>
    </xf>
    <xf numFmtId="0" fontId="4" fillId="8" borderId="12" xfId="0" applyFont="1" applyFill="1" applyBorder="1" applyAlignment="1">
      <alignment horizontal="center" vertical="top"/>
    </xf>
    <xf numFmtId="164" fontId="1" fillId="7" borderId="9" xfId="0" applyNumberFormat="1" applyFont="1" applyFill="1" applyBorder="1" applyAlignment="1">
      <alignment vertical="top" wrapText="1"/>
    </xf>
    <xf numFmtId="164" fontId="1" fillId="7" borderId="54" xfId="0" applyNumberFormat="1" applyFont="1" applyFill="1" applyBorder="1" applyAlignment="1">
      <alignment vertical="top" wrapText="1"/>
    </xf>
    <xf numFmtId="164" fontId="1" fillId="7" borderId="24" xfId="0" applyNumberFormat="1" applyFont="1" applyFill="1" applyBorder="1" applyAlignment="1">
      <alignment vertical="top" wrapText="1"/>
    </xf>
    <xf numFmtId="164" fontId="1" fillId="7" borderId="8" xfId="0" applyNumberFormat="1" applyFont="1" applyFill="1" applyBorder="1" applyAlignment="1">
      <alignment vertical="top" wrapText="1"/>
    </xf>
    <xf numFmtId="0" fontId="5" fillId="7" borderId="41" xfId="0" applyFont="1" applyFill="1" applyBorder="1" applyAlignment="1">
      <alignment horizontal="left" vertical="top" wrapText="1"/>
    </xf>
    <xf numFmtId="49" fontId="4" fillId="7" borderId="0" xfId="0" applyNumberFormat="1" applyFont="1" applyFill="1" applyBorder="1" applyAlignment="1">
      <alignment vertical="top"/>
    </xf>
    <xf numFmtId="49" fontId="3" fillId="7" borderId="0" xfId="0" applyNumberFormat="1" applyFont="1" applyFill="1" applyBorder="1" applyAlignment="1">
      <alignment horizontal="right" vertical="top"/>
    </xf>
    <xf numFmtId="164" fontId="4" fillId="7" borderId="0" xfId="0" applyNumberFormat="1" applyFont="1" applyFill="1" applyBorder="1" applyAlignment="1">
      <alignment horizontal="left" vertical="top"/>
    </xf>
    <xf numFmtId="0" fontId="4" fillId="7" borderId="0" xfId="0" applyNumberFormat="1" applyFont="1" applyFill="1" applyBorder="1" applyAlignment="1">
      <alignment horizontal="center" vertical="top"/>
    </xf>
    <xf numFmtId="0" fontId="2" fillId="7" borderId="0" xfId="0" applyFont="1" applyFill="1"/>
    <xf numFmtId="1" fontId="1" fillId="0" borderId="45" xfId="0" applyNumberFormat="1" applyFont="1" applyFill="1" applyBorder="1" applyAlignment="1">
      <alignment horizontal="center" vertical="top"/>
    </xf>
    <xf numFmtId="49" fontId="5" fillId="0" borderId="18" xfId="0" applyNumberFormat="1" applyFont="1" applyFill="1" applyBorder="1" applyAlignment="1">
      <alignment horizontal="center" vertical="top"/>
    </xf>
    <xf numFmtId="0" fontId="5" fillId="0" borderId="72" xfId="0" applyFont="1" applyFill="1" applyBorder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1" fontId="3" fillId="8" borderId="4" xfId="0" applyNumberFormat="1" applyFont="1" applyFill="1" applyBorder="1" applyAlignment="1">
      <alignment horizontal="center" vertical="top"/>
    </xf>
    <xf numFmtId="1" fontId="3" fillId="8" borderId="67" xfId="0" applyNumberFormat="1" applyFont="1" applyFill="1" applyBorder="1" applyAlignment="1">
      <alignment horizontal="center" vertical="top"/>
    </xf>
    <xf numFmtId="1" fontId="3" fillId="3" borderId="39" xfId="0" applyNumberFormat="1" applyFont="1" applyFill="1" applyBorder="1" applyAlignment="1">
      <alignment horizontal="center" vertical="top"/>
    </xf>
    <xf numFmtId="1" fontId="4" fillId="8" borderId="32" xfId="0" applyNumberFormat="1" applyFont="1" applyFill="1" applyBorder="1" applyAlignment="1">
      <alignment horizontal="center" vertical="top"/>
    </xf>
    <xf numFmtId="1" fontId="3" fillId="8" borderId="69" xfId="0" applyNumberFormat="1" applyFont="1" applyFill="1" applyBorder="1" applyAlignment="1">
      <alignment horizontal="center" vertical="top"/>
    </xf>
    <xf numFmtId="1" fontId="5" fillId="8" borderId="48" xfId="0" applyNumberFormat="1" applyFont="1" applyFill="1" applyBorder="1" applyAlignment="1">
      <alignment horizontal="center" vertical="top"/>
    </xf>
    <xf numFmtId="1" fontId="5" fillId="0" borderId="49" xfId="0" applyNumberFormat="1" applyFont="1" applyFill="1" applyBorder="1" applyAlignment="1">
      <alignment horizontal="center" vertical="top"/>
    </xf>
    <xf numFmtId="1" fontId="4" fillId="0" borderId="49" xfId="0" applyNumberFormat="1" applyFont="1" applyFill="1" applyBorder="1" applyAlignment="1">
      <alignment horizontal="center" vertical="top"/>
    </xf>
    <xf numFmtId="1" fontId="3" fillId="0" borderId="50" xfId="0" applyNumberFormat="1" applyFont="1" applyFill="1" applyBorder="1" applyAlignment="1">
      <alignment horizontal="center" vertical="top"/>
    </xf>
    <xf numFmtId="1" fontId="4" fillId="8" borderId="70" xfId="0" applyNumberFormat="1" applyFont="1" applyFill="1" applyBorder="1" applyAlignment="1">
      <alignment horizontal="center" vertical="top"/>
    </xf>
    <xf numFmtId="1" fontId="4" fillId="8" borderId="1" xfId="0" applyNumberFormat="1" applyFont="1" applyFill="1" applyBorder="1" applyAlignment="1">
      <alignment horizontal="center" vertical="top"/>
    </xf>
    <xf numFmtId="1" fontId="3" fillId="8" borderId="2" xfId="0" applyNumberFormat="1" applyFont="1" applyFill="1" applyBorder="1" applyAlignment="1">
      <alignment horizontal="center" vertical="top"/>
    </xf>
    <xf numFmtId="1" fontId="4" fillId="8" borderId="28" xfId="0" applyNumberFormat="1" applyFont="1" applyFill="1" applyBorder="1" applyAlignment="1">
      <alignment horizontal="center" vertical="top"/>
    </xf>
    <xf numFmtId="1" fontId="4" fillId="8" borderId="29" xfId="0" applyNumberFormat="1" applyFont="1" applyFill="1" applyBorder="1" applyAlignment="1">
      <alignment horizontal="center" vertical="top"/>
    </xf>
    <xf numFmtId="1" fontId="3" fillId="8" borderId="56" xfId="0" applyNumberFormat="1" applyFont="1" applyFill="1" applyBorder="1" applyAlignment="1">
      <alignment horizontal="center" vertical="top"/>
    </xf>
    <xf numFmtId="1" fontId="4" fillId="8" borderId="71" xfId="0" applyNumberFormat="1" applyFont="1" applyFill="1" applyBorder="1" applyAlignment="1">
      <alignment horizontal="center" vertical="top"/>
    </xf>
    <xf numFmtId="1" fontId="3" fillId="3" borderId="3" xfId="0" applyNumberFormat="1" applyFont="1" applyFill="1" applyBorder="1" applyAlignment="1">
      <alignment horizontal="center" vertical="top"/>
    </xf>
    <xf numFmtId="1" fontId="3" fillId="3" borderId="31" xfId="0" applyNumberFormat="1" applyFont="1" applyFill="1" applyBorder="1" applyAlignment="1">
      <alignment horizontal="center" vertical="top"/>
    </xf>
    <xf numFmtId="1" fontId="3" fillId="3" borderId="74" xfId="0" applyNumberFormat="1" applyFont="1" applyFill="1" applyBorder="1" applyAlignment="1">
      <alignment horizontal="center" vertical="top"/>
    </xf>
    <xf numFmtId="1" fontId="5" fillId="0" borderId="51" xfId="0" applyNumberFormat="1" applyFont="1" applyFill="1" applyBorder="1" applyAlignment="1">
      <alignment horizontal="center" vertical="top"/>
    </xf>
    <xf numFmtId="1" fontId="5" fillId="8" borderId="44" xfId="0" applyNumberFormat="1" applyFont="1" applyFill="1" applyBorder="1" applyAlignment="1">
      <alignment horizontal="center" vertical="top"/>
    </xf>
    <xf numFmtId="1" fontId="5" fillId="7" borderId="45" xfId="0" applyNumberFormat="1" applyFont="1" applyFill="1" applyBorder="1" applyAlignment="1">
      <alignment horizontal="center" vertical="top"/>
    </xf>
    <xf numFmtId="1" fontId="5" fillId="7" borderId="47" xfId="0" applyNumberFormat="1" applyFont="1" applyFill="1" applyBorder="1" applyAlignment="1">
      <alignment horizontal="center" vertical="top"/>
    </xf>
    <xf numFmtId="1" fontId="5" fillId="8" borderId="28" xfId="0" applyNumberFormat="1" applyFont="1" applyFill="1" applyBorder="1" applyAlignment="1">
      <alignment horizontal="center" vertical="top"/>
    </xf>
    <xf numFmtId="1" fontId="5" fillId="7" borderId="29" xfId="0" applyNumberFormat="1" applyFont="1" applyFill="1" applyBorder="1" applyAlignment="1">
      <alignment horizontal="center" vertical="top"/>
    </xf>
    <xf numFmtId="1" fontId="5" fillId="7" borderId="65" xfId="0" applyNumberFormat="1" applyFont="1" applyFill="1" applyBorder="1" applyAlignment="1">
      <alignment horizontal="center" vertical="top"/>
    </xf>
    <xf numFmtId="1" fontId="5" fillId="8" borderId="14" xfId="0" applyNumberFormat="1" applyFont="1" applyFill="1" applyBorder="1" applyAlignment="1">
      <alignment horizontal="center" vertical="top"/>
    </xf>
    <xf numFmtId="1" fontId="5" fillId="7" borderId="15" xfId="0" applyNumberFormat="1" applyFont="1" applyFill="1" applyBorder="1" applyAlignment="1">
      <alignment horizontal="center" vertical="top"/>
    </xf>
    <xf numFmtId="1" fontId="4" fillId="7" borderId="34" xfId="0" applyNumberFormat="1" applyFont="1" applyFill="1" applyBorder="1" applyAlignment="1">
      <alignment horizontal="center" vertical="top"/>
    </xf>
    <xf numFmtId="1" fontId="5" fillId="7" borderId="34" xfId="0" applyNumberFormat="1" applyFont="1" applyFill="1" applyBorder="1" applyAlignment="1">
      <alignment horizontal="center" vertical="top"/>
    </xf>
    <xf numFmtId="1" fontId="5" fillId="7" borderId="34" xfId="0" applyNumberFormat="1" applyFont="1" applyFill="1" applyBorder="1" applyAlignment="1">
      <alignment horizontal="center" vertical="top" wrapText="1"/>
    </xf>
    <xf numFmtId="1" fontId="5" fillId="8" borderId="4" xfId="0" applyNumberFormat="1" applyFont="1" applyFill="1" applyBorder="1" applyAlignment="1">
      <alignment horizontal="center" vertical="top"/>
    </xf>
    <xf numFmtId="1" fontId="3" fillId="8" borderId="1" xfId="0" applyNumberFormat="1" applyFont="1" applyFill="1" applyBorder="1" applyAlignment="1">
      <alignment horizontal="center" vertical="top"/>
    </xf>
    <xf numFmtId="1" fontId="3" fillId="8" borderId="66" xfId="0" applyNumberFormat="1" applyFont="1" applyFill="1" applyBorder="1" applyAlignment="1">
      <alignment horizontal="center" vertical="top"/>
    </xf>
    <xf numFmtId="1" fontId="3" fillId="0" borderId="49" xfId="0" applyNumberFormat="1" applyFont="1" applyFill="1" applyBorder="1" applyAlignment="1">
      <alignment horizontal="center" vertical="top"/>
    </xf>
    <xf numFmtId="1" fontId="3" fillId="0" borderId="75" xfId="0" applyNumberFormat="1" applyFont="1" applyFill="1" applyBorder="1" applyAlignment="1">
      <alignment horizontal="center" vertical="top"/>
    </xf>
    <xf numFmtId="1" fontId="3" fillId="0" borderId="0" xfId="0" applyNumberFormat="1" applyFont="1" applyFill="1" applyBorder="1" applyAlignment="1">
      <alignment horizontal="center" vertical="top"/>
    </xf>
    <xf numFmtId="1" fontId="3" fillId="0" borderId="16" xfId="0" applyNumberFormat="1" applyFont="1" applyFill="1" applyBorder="1" applyAlignment="1">
      <alignment horizontal="center" vertical="top"/>
    </xf>
    <xf numFmtId="1" fontId="4" fillId="0" borderId="0" xfId="0" applyNumberFormat="1" applyFont="1" applyFill="1" applyBorder="1" applyAlignment="1">
      <alignment horizontal="center" vertical="top"/>
    </xf>
    <xf numFmtId="1" fontId="3" fillId="8" borderId="15" xfId="0" applyNumberFormat="1" applyFont="1" applyFill="1" applyBorder="1" applyAlignment="1">
      <alignment horizontal="center" vertical="top"/>
    </xf>
    <xf numFmtId="1" fontId="3" fillId="8" borderId="0" xfId="0" applyNumberFormat="1" applyFont="1" applyFill="1" applyBorder="1" applyAlignment="1">
      <alignment horizontal="center" vertical="top"/>
    </xf>
    <xf numFmtId="1" fontId="3" fillId="8" borderId="16" xfId="0" applyNumberFormat="1" applyFont="1" applyFill="1" applyBorder="1" applyAlignment="1">
      <alignment horizontal="center" vertical="top"/>
    </xf>
    <xf numFmtId="1" fontId="1" fillId="0" borderId="36" xfId="0" applyNumberFormat="1" applyFont="1" applyFill="1" applyBorder="1" applyAlignment="1">
      <alignment horizontal="center" vertical="top" wrapText="1"/>
    </xf>
    <xf numFmtId="1" fontId="1" fillId="0" borderId="45" xfId="0" applyNumberFormat="1" applyFont="1" applyFill="1" applyBorder="1" applyAlignment="1">
      <alignment horizontal="center" vertical="top" wrapText="1"/>
    </xf>
    <xf numFmtId="1" fontId="1" fillId="0" borderId="47" xfId="0" applyNumberFormat="1" applyFont="1" applyFill="1" applyBorder="1" applyAlignment="1">
      <alignment horizontal="center" vertical="top" wrapText="1"/>
    </xf>
    <xf numFmtId="1" fontId="1" fillId="7" borderId="45" xfId="0" applyNumberFormat="1" applyFont="1" applyFill="1" applyBorder="1" applyAlignment="1">
      <alignment horizontal="center" vertical="top" wrapText="1"/>
    </xf>
    <xf numFmtId="1" fontId="1" fillId="7" borderId="47" xfId="0" applyNumberFormat="1" applyFont="1" applyFill="1" applyBorder="1" applyAlignment="1">
      <alignment horizontal="center" vertical="top" wrapText="1"/>
    </xf>
    <xf numFmtId="1" fontId="4" fillId="8" borderId="58" xfId="0" applyNumberFormat="1" applyFont="1" applyFill="1" applyBorder="1" applyAlignment="1">
      <alignment horizontal="center" vertical="top" wrapText="1"/>
    </xf>
    <xf numFmtId="1" fontId="4" fillId="8" borderId="29" xfId="0" applyNumberFormat="1" applyFont="1" applyFill="1" applyBorder="1" applyAlignment="1">
      <alignment horizontal="center" vertical="top" wrapText="1"/>
    </xf>
    <xf numFmtId="1" fontId="4" fillId="8" borderId="12" xfId="0" applyNumberFormat="1" applyFont="1" applyFill="1" applyBorder="1" applyAlignment="1">
      <alignment horizontal="center" vertical="top" wrapText="1"/>
    </xf>
    <xf numFmtId="1" fontId="4" fillId="8" borderId="63" xfId="0" applyNumberFormat="1" applyFont="1" applyFill="1" applyBorder="1" applyAlignment="1">
      <alignment horizontal="center" vertical="top" wrapText="1"/>
    </xf>
    <xf numFmtId="1" fontId="4" fillId="8" borderId="69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top" wrapText="1"/>
    </xf>
    <xf numFmtId="1" fontId="1" fillId="0" borderId="53" xfId="0" applyNumberFormat="1" applyFont="1" applyFill="1" applyBorder="1" applyAlignment="1">
      <alignment horizontal="center" vertical="top" wrapText="1"/>
    </xf>
    <xf numFmtId="1" fontId="1" fillId="0" borderId="46" xfId="0" applyNumberFormat="1" applyFont="1" applyFill="1" applyBorder="1" applyAlignment="1">
      <alignment horizontal="center" vertical="top"/>
    </xf>
    <xf numFmtId="1" fontId="1" fillId="0" borderId="45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1" fontId="4" fillId="8" borderId="2" xfId="0" applyNumberFormat="1" applyFont="1" applyFill="1" applyBorder="1" applyAlignment="1">
      <alignment horizontal="center" vertical="top" wrapText="1"/>
    </xf>
    <xf numFmtId="1" fontId="4" fillId="8" borderId="66" xfId="0" applyNumberFormat="1" applyFont="1" applyFill="1" applyBorder="1" applyAlignment="1">
      <alignment horizontal="center" vertical="top" wrapText="1"/>
    </xf>
    <xf numFmtId="1" fontId="1" fillId="0" borderId="49" xfId="0" applyNumberFormat="1" applyFont="1" applyFill="1" applyBorder="1" applyAlignment="1">
      <alignment horizontal="center" vertical="top" wrapText="1"/>
    </xf>
    <xf numFmtId="1" fontId="1" fillId="0" borderId="51" xfId="0" applyNumberFormat="1" applyFont="1" applyFill="1" applyBorder="1" applyAlignment="1">
      <alignment horizontal="center" vertical="top" wrapText="1"/>
    </xf>
    <xf numFmtId="1" fontId="1" fillId="7" borderId="29" xfId="0" applyNumberFormat="1" applyFont="1" applyFill="1" applyBorder="1" applyAlignment="1">
      <alignment horizontal="center" vertical="top" wrapText="1"/>
    </xf>
    <xf numFmtId="1" fontId="1" fillId="7" borderId="65" xfId="0" applyNumberFormat="1" applyFont="1" applyFill="1" applyBorder="1" applyAlignment="1">
      <alignment horizontal="center" vertical="top" wrapText="1"/>
    </xf>
    <xf numFmtId="1" fontId="3" fillId="8" borderId="71" xfId="0" applyNumberFormat="1" applyFont="1" applyFill="1" applyBorder="1" applyAlignment="1">
      <alignment horizontal="center" vertical="top"/>
    </xf>
    <xf numFmtId="1" fontId="5" fillId="7" borderId="29" xfId="0" applyNumberFormat="1" applyFont="1" applyFill="1" applyBorder="1" applyAlignment="1">
      <alignment horizontal="center" vertical="top" wrapText="1"/>
    </xf>
    <xf numFmtId="1" fontId="5" fillId="7" borderId="56" xfId="0" applyNumberFormat="1" applyFont="1" applyFill="1" applyBorder="1" applyAlignment="1">
      <alignment horizontal="center" vertical="top" wrapText="1"/>
    </xf>
    <xf numFmtId="1" fontId="4" fillId="8" borderId="56" xfId="0" applyNumberFormat="1" applyFont="1" applyFill="1" applyBorder="1" applyAlignment="1">
      <alignment horizontal="center" vertical="top" wrapText="1"/>
    </xf>
    <xf numFmtId="1" fontId="8" fillId="3" borderId="19" xfId="0" applyNumberFormat="1" applyFont="1" applyFill="1" applyBorder="1" applyAlignment="1">
      <alignment horizontal="center" vertical="center"/>
    </xf>
    <xf numFmtId="1" fontId="5" fillId="7" borderId="49" xfId="0" applyNumberFormat="1" applyFont="1" applyFill="1" applyBorder="1" applyAlignment="1">
      <alignment horizontal="center" vertical="top"/>
    </xf>
    <xf numFmtId="1" fontId="4" fillId="8" borderId="2" xfId="0" applyNumberFormat="1" applyFont="1" applyFill="1" applyBorder="1" applyAlignment="1">
      <alignment horizontal="center" vertical="top"/>
    </xf>
    <xf numFmtId="1" fontId="1" fillId="0" borderId="49" xfId="0" applyNumberFormat="1" applyFont="1" applyFill="1" applyBorder="1" applyAlignment="1">
      <alignment horizontal="center" vertical="top"/>
    </xf>
    <xf numFmtId="1" fontId="1" fillId="0" borderId="50" xfId="0" applyNumberFormat="1" applyFont="1" applyFill="1" applyBorder="1" applyAlignment="1">
      <alignment horizontal="center" vertical="top"/>
    </xf>
    <xf numFmtId="1" fontId="3" fillId="3" borderId="19" xfId="0" applyNumberFormat="1" applyFont="1" applyFill="1" applyBorder="1" applyAlignment="1">
      <alignment horizontal="center" vertical="top"/>
    </xf>
    <xf numFmtId="1" fontId="8" fillId="2" borderId="31" xfId="0" applyNumberFormat="1" applyFont="1" applyFill="1" applyBorder="1" applyAlignment="1">
      <alignment horizontal="center" vertical="top"/>
    </xf>
    <xf numFmtId="1" fontId="8" fillId="2" borderId="39" xfId="0" applyNumberFormat="1" applyFont="1" applyFill="1" applyBorder="1" applyAlignment="1">
      <alignment horizontal="center" vertical="top"/>
    </xf>
    <xf numFmtId="1" fontId="8" fillId="2" borderId="20" xfId="0" applyNumberFormat="1" applyFont="1" applyFill="1" applyBorder="1" applyAlignment="1">
      <alignment horizontal="center" vertical="top"/>
    </xf>
    <xf numFmtId="1" fontId="8" fillId="5" borderId="9" xfId="0" applyNumberFormat="1" applyFont="1" applyFill="1" applyBorder="1" applyAlignment="1">
      <alignment horizontal="center" vertical="top"/>
    </xf>
    <xf numFmtId="1" fontId="8" fillId="5" borderId="32" xfId="0" applyNumberFormat="1" applyFont="1" applyFill="1" applyBorder="1" applyAlignment="1">
      <alignment horizontal="center" vertical="top"/>
    </xf>
    <xf numFmtId="1" fontId="8" fillId="5" borderId="33" xfId="0" applyNumberFormat="1" applyFont="1" applyFill="1" applyBorder="1" applyAlignment="1">
      <alignment horizontal="center" vertical="top"/>
    </xf>
    <xf numFmtId="1" fontId="8" fillId="7" borderId="0" xfId="0" applyNumberFormat="1" applyFont="1" applyFill="1" applyBorder="1" applyAlignment="1">
      <alignment horizontal="center" vertical="top"/>
    </xf>
    <xf numFmtId="1" fontId="1" fillId="0" borderId="78" xfId="0" applyNumberFormat="1" applyFont="1" applyFill="1" applyBorder="1" applyAlignment="1">
      <alignment horizontal="center" vertical="top" wrapText="1"/>
    </xf>
    <xf numFmtId="1" fontId="1" fillId="0" borderId="55" xfId="0" applyNumberFormat="1" applyFont="1" applyFill="1" applyBorder="1" applyAlignment="1">
      <alignment horizontal="center" vertical="top" wrapText="1"/>
    </xf>
    <xf numFmtId="1" fontId="1" fillId="7" borderId="55" xfId="0" applyNumberFormat="1" applyFont="1" applyFill="1" applyBorder="1" applyAlignment="1">
      <alignment horizontal="center" vertical="top" wrapText="1"/>
    </xf>
    <xf numFmtId="1" fontId="3" fillId="7" borderId="59" xfId="0" applyNumberFormat="1" applyFont="1" applyFill="1" applyBorder="1" applyAlignment="1">
      <alignment horizontal="center" vertical="top" wrapText="1"/>
    </xf>
    <xf numFmtId="1" fontId="1" fillId="0" borderId="55" xfId="0" applyNumberFormat="1" applyFont="1" applyFill="1" applyBorder="1" applyAlignment="1">
      <alignment horizontal="center" vertical="top"/>
    </xf>
    <xf numFmtId="1" fontId="1" fillId="0" borderId="55" xfId="0" applyNumberFormat="1" applyFont="1" applyBorder="1" applyAlignment="1">
      <alignment horizontal="center"/>
    </xf>
    <xf numFmtId="1" fontId="1" fillId="0" borderId="79" xfId="0" applyNumberFormat="1" applyFont="1" applyFill="1" applyBorder="1" applyAlignment="1">
      <alignment horizontal="center" vertical="top" wrapText="1"/>
    </xf>
    <xf numFmtId="1" fontId="1" fillId="7" borderId="64" xfId="0" applyNumberFormat="1" applyFont="1" applyFill="1" applyBorder="1" applyAlignment="1">
      <alignment horizontal="center" vertical="top" wrapText="1"/>
    </xf>
    <xf numFmtId="1" fontId="3" fillId="8" borderId="63" xfId="0" applyNumberFormat="1" applyFont="1" applyFill="1" applyBorder="1" applyAlignment="1">
      <alignment horizontal="center" vertical="top"/>
    </xf>
    <xf numFmtId="1" fontId="5" fillId="7" borderId="64" xfId="0" applyNumberFormat="1" applyFont="1" applyFill="1" applyBorder="1" applyAlignment="1">
      <alignment horizontal="center" vertical="top" wrapText="1"/>
    </xf>
    <xf numFmtId="1" fontId="4" fillId="8" borderId="64" xfId="0" applyNumberFormat="1" applyFont="1" applyFill="1" applyBorder="1" applyAlignment="1">
      <alignment horizontal="center" vertical="top" wrapText="1"/>
    </xf>
    <xf numFmtId="1" fontId="8" fillId="3" borderId="39" xfId="0" applyNumberFormat="1" applyFont="1" applyFill="1" applyBorder="1" applyAlignment="1">
      <alignment horizontal="center" vertical="center"/>
    </xf>
    <xf numFmtId="1" fontId="1" fillId="8" borderId="6" xfId="0" applyNumberFormat="1" applyFont="1" applyFill="1" applyBorder="1" applyAlignment="1">
      <alignment horizontal="center" vertical="top" wrapText="1"/>
    </xf>
    <xf numFmtId="1" fontId="1" fillId="8" borderId="13" xfId="0" applyNumberFormat="1" applyFont="1" applyFill="1" applyBorder="1" applyAlignment="1">
      <alignment horizontal="center" vertical="top" wrapText="1"/>
    </xf>
    <xf numFmtId="1" fontId="1" fillId="8" borderId="12" xfId="0" applyNumberFormat="1" applyFont="1" applyFill="1" applyBorder="1" applyAlignment="1">
      <alignment horizontal="center" vertical="top" wrapText="1"/>
    </xf>
    <xf numFmtId="1" fontId="1" fillId="8" borderId="73" xfId="0" applyNumberFormat="1" applyFont="1" applyFill="1" applyBorder="1" applyAlignment="1">
      <alignment horizontal="center" vertical="top" wrapText="1"/>
    </xf>
    <xf numFmtId="1" fontId="1" fillId="8" borderId="13" xfId="0" applyNumberFormat="1" applyFont="1" applyFill="1" applyBorder="1" applyAlignment="1">
      <alignment horizontal="center" vertical="top"/>
    </xf>
    <xf numFmtId="1" fontId="1" fillId="8" borderId="13" xfId="0" applyNumberFormat="1" applyFont="1" applyFill="1" applyBorder="1" applyAlignment="1">
      <alignment horizontal="center"/>
    </xf>
    <xf numFmtId="1" fontId="1" fillId="8" borderId="25" xfId="0" applyNumberFormat="1" applyFont="1" applyFill="1" applyBorder="1" applyAlignment="1">
      <alignment horizontal="center" vertical="top" wrapText="1"/>
    </xf>
    <xf numFmtId="1" fontId="5" fillId="8" borderId="12" xfId="0" applyNumberFormat="1" applyFont="1" applyFill="1" applyBorder="1" applyAlignment="1">
      <alignment horizontal="center" vertical="top" wrapText="1"/>
    </xf>
    <xf numFmtId="1" fontId="8" fillId="3" borderId="62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top"/>
    </xf>
    <xf numFmtId="1" fontId="5" fillId="8" borderId="79" xfId="0" applyNumberFormat="1" applyFont="1" applyFill="1" applyBorder="1" applyAlignment="1">
      <alignment horizontal="center" vertical="top"/>
    </xf>
    <xf numFmtId="1" fontId="4" fillId="8" borderId="63" xfId="0" applyNumberFormat="1" applyFont="1" applyFill="1" applyBorder="1" applyAlignment="1">
      <alignment horizontal="center" vertical="top"/>
    </xf>
    <xf numFmtId="1" fontId="1" fillId="8" borderId="79" xfId="0" applyNumberFormat="1" applyFont="1" applyFill="1" applyBorder="1" applyAlignment="1">
      <alignment horizontal="center" vertical="top"/>
    </xf>
    <xf numFmtId="0" fontId="4" fillId="0" borderId="0" xfId="0" applyFont="1"/>
    <xf numFmtId="1" fontId="1" fillId="8" borderId="72" xfId="0" applyNumberFormat="1" applyFont="1" applyFill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1" fillId="8" borderId="6" xfId="0" applyNumberFormat="1" applyFont="1" applyFill="1" applyBorder="1" applyAlignment="1">
      <alignment horizontal="center" vertical="top"/>
    </xf>
    <xf numFmtId="3" fontId="3" fillId="8" borderId="12" xfId="0" applyNumberFormat="1" applyFont="1" applyFill="1" applyBorder="1" applyAlignment="1">
      <alignment horizontal="center" vertical="top"/>
    </xf>
    <xf numFmtId="3" fontId="1" fillId="8" borderId="25" xfId="0" applyNumberFormat="1" applyFont="1" applyFill="1" applyBorder="1" applyAlignment="1">
      <alignment horizontal="center" vertical="top"/>
    </xf>
    <xf numFmtId="3" fontId="3" fillId="8" borderId="10" xfId="0" applyNumberFormat="1" applyFont="1" applyFill="1" applyBorder="1" applyAlignment="1">
      <alignment horizontal="center" vertical="top"/>
    </xf>
    <xf numFmtId="3" fontId="3" fillId="8" borderId="66" xfId="0" applyNumberFormat="1" applyFont="1" applyFill="1" applyBorder="1" applyAlignment="1">
      <alignment horizontal="center" vertical="top"/>
    </xf>
    <xf numFmtId="3" fontId="3" fillId="3" borderId="62" xfId="0" applyNumberFormat="1" applyFont="1" applyFill="1" applyBorder="1" applyAlignment="1">
      <alignment horizontal="center" vertical="top"/>
    </xf>
    <xf numFmtId="3" fontId="5" fillId="8" borderId="72" xfId="0" applyNumberFormat="1" applyFont="1" applyFill="1" applyBorder="1" applyAlignment="1">
      <alignment horizontal="center" vertical="top" wrapText="1"/>
    </xf>
    <xf numFmtId="3" fontId="1" fillId="8" borderId="4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/>
    </xf>
    <xf numFmtId="3" fontId="4" fillId="8" borderId="67" xfId="0" applyNumberFormat="1" applyFont="1" applyFill="1" applyBorder="1" applyAlignment="1">
      <alignment horizontal="center" vertical="top" wrapText="1"/>
    </xf>
    <xf numFmtId="3" fontId="1" fillId="8" borderId="18" xfId="0" applyNumberFormat="1" applyFont="1" applyFill="1" applyBorder="1" applyAlignment="1">
      <alignment horizontal="center" vertical="top"/>
    </xf>
    <xf numFmtId="3" fontId="1" fillId="8" borderId="43" xfId="0" applyNumberFormat="1" applyFont="1" applyFill="1" applyBorder="1" applyAlignment="1">
      <alignment horizontal="center" vertical="top"/>
    </xf>
    <xf numFmtId="3" fontId="1" fillId="8" borderId="26" xfId="0" applyNumberFormat="1" applyFont="1" applyFill="1" applyBorder="1" applyAlignment="1">
      <alignment horizontal="center" vertical="top"/>
    </xf>
    <xf numFmtId="3" fontId="1" fillId="8" borderId="42" xfId="0" applyNumberFormat="1" applyFont="1" applyFill="1" applyBorder="1" applyAlignment="1">
      <alignment horizontal="center" vertical="top"/>
    </xf>
    <xf numFmtId="3" fontId="1" fillId="8" borderId="58" xfId="0" applyNumberFormat="1" applyFont="1" applyFill="1" applyBorder="1" applyAlignment="1">
      <alignment horizontal="center" vertical="top"/>
    </xf>
    <xf numFmtId="3" fontId="3" fillId="8" borderId="58" xfId="0" applyNumberFormat="1" applyFont="1" applyFill="1" applyBorder="1" applyAlignment="1">
      <alignment horizontal="center" vertical="top"/>
    </xf>
    <xf numFmtId="3" fontId="4" fillId="8" borderId="58" xfId="0" applyNumberFormat="1" applyFont="1" applyFill="1" applyBorder="1" applyAlignment="1">
      <alignment horizontal="center" vertical="top"/>
    </xf>
    <xf numFmtId="3" fontId="10" fillId="8" borderId="69" xfId="0" applyNumberFormat="1" applyFont="1" applyFill="1" applyBorder="1" applyAlignment="1">
      <alignment horizontal="center" vertical="top" wrapText="1"/>
    </xf>
    <xf numFmtId="3" fontId="1" fillId="8" borderId="35" xfId="0" applyNumberFormat="1" applyFont="1" applyFill="1" applyBorder="1" applyAlignment="1">
      <alignment horizontal="center" vertical="top"/>
    </xf>
    <xf numFmtId="3" fontId="4" fillId="8" borderId="67" xfId="0" applyNumberFormat="1" applyFont="1" applyFill="1" applyBorder="1" applyAlignment="1">
      <alignment horizontal="center" vertical="top"/>
    </xf>
    <xf numFmtId="3" fontId="1" fillId="8" borderId="72" xfId="0" applyNumberFormat="1" applyFont="1" applyFill="1" applyBorder="1" applyAlignment="1">
      <alignment horizontal="center" vertical="top"/>
    </xf>
    <xf numFmtId="3" fontId="3" fillId="8" borderId="67" xfId="0" applyNumberFormat="1" applyFont="1" applyFill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/>
    </xf>
    <xf numFmtId="3" fontId="5" fillId="8" borderId="25" xfId="0" applyNumberFormat="1" applyFont="1" applyFill="1" applyBorder="1" applyAlignment="1">
      <alignment horizontal="center" vertical="top"/>
    </xf>
    <xf numFmtId="3" fontId="4" fillId="8" borderId="12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/>
    </xf>
    <xf numFmtId="3" fontId="4" fillId="8" borderId="17" xfId="0" applyNumberFormat="1" applyFont="1" applyFill="1" applyBorder="1" applyAlignment="1">
      <alignment horizontal="center" vertical="top"/>
    </xf>
    <xf numFmtId="3" fontId="3" fillId="2" borderId="62" xfId="0" applyNumberFormat="1" applyFont="1" applyFill="1" applyBorder="1" applyAlignment="1">
      <alignment horizontal="center" vertical="top"/>
    </xf>
    <xf numFmtId="3" fontId="3" fillId="5" borderId="17" xfId="0" applyNumberFormat="1" applyFont="1" applyFill="1" applyBorder="1" applyAlignment="1">
      <alignment horizontal="center" vertical="top"/>
    </xf>
    <xf numFmtId="3" fontId="3" fillId="7" borderId="0" xfId="0" applyNumberFormat="1" applyFont="1" applyFill="1" applyBorder="1" applyAlignment="1">
      <alignment horizontal="center" vertical="top"/>
    </xf>
    <xf numFmtId="3" fontId="6" fillId="0" borderId="39" xfId="0" applyNumberFormat="1" applyFont="1" applyBorder="1" applyAlignment="1">
      <alignment horizontal="center" vertical="center" wrapText="1"/>
    </xf>
    <xf numFmtId="3" fontId="3" fillId="5" borderId="76" xfId="0" applyNumberFormat="1" applyFont="1" applyFill="1" applyBorder="1" applyAlignment="1">
      <alignment horizontal="center" vertical="top"/>
    </xf>
    <xf numFmtId="3" fontId="1" fillId="0" borderId="42" xfId="0" applyNumberFormat="1" applyFont="1" applyBorder="1" applyAlignment="1">
      <alignment horizontal="center" vertical="top"/>
    </xf>
    <xf numFmtId="3" fontId="1" fillId="0" borderId="42" xfId="0" applyNumberFormat="1" applyFont="1" applyBorder="1" applyAlignment="1">
      <alignment horizontal="center" vertical="top" wrapText="1"/>
    </xf>
    <xf numFmtId="3" fontId="3" fillId="5" borderId="42" xfId="0" applyNumberFormat="1" applyFont="1" applyFill="1" applyBorder="1" applyAlignment="1">
      <alignment horizontal="center" vertical="top"/>
    </xf>
    <xf numFmtId="3" fontId="3" fillId="8" borderId="69" xfId="0" applyNumberFormat="1" applyFont="1" applyFill="1" applyBorder="1" applyAlignment="1">
      <alignment horizontal="center" vertical="top"/>
    </xf>
    <xf numFmtId="3" fontId="5" fillId="0" borderId="25" xfId="0" applyNumberFormat="1" applyFont="1" applyFill="1" applyBorder="1" applyAlignment="1">
      <alignment horizontal="center" vertical="top"/>
    </xf>
    <xf numFmtId="3" fontId="4" fillId="8" borderId="24" xfId="0" applyNumberFormat="1" applyFont="1" applyFill="1" applyBorder="1" applyAlignment="1">
      <alignment horizontal="center" vertical="top"/>
    </xf>
    <xf numFmtId="3" fontId="5" fillId="0" borderId="60" xfId="0" applyNumberFormat="1" applyFont="1" applyFill="1" applyBorder="1" applyAlignment="1">
      <alignment horizontal="center" vertical="top"/>
    </xf>
    <xf numFmtId="3" fontId="4" fillId="8" borderId="0" xfId="0" applyNumberFormat="1" applyFont="1" applyFill="1" applyBorder="1" applyAlignment="1">
      <alignment horizontal="center" vertical="top"/>
    </xf>
    <xf numFmtId="3" fontId="4" fillId="8" borderId="10" xfId="0" applyNumberFormat="1" applyFont="1" applyFill="1" applyBorder="1" applyAlignment="1">
      <alignment horizontal="center" vertical="top"/>
    </xf>
    <xf numFmtId="3" fontId="5" fillId="7" borderId="25" xfId="0" applyNumberFormat="1" applyFont="1" applyFill="1" applyBorder="1" applyAlignment="1">
      <alignment horizontal="center" vertical="top"/>
    </xf>
    <xf numFmtId="3" fontId="4" fillId="3" borderId="3" xfId="0" applyNumberFormat="1" applyFont="1" applyFill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5" fillId="0" borderId="13" xfId="0" applyNumberFormat="1" applyFont="1" applyFill="1" applyBorder="1" applyAlignment="1">
      <alignment horizontal="center" vertical="top"/>
    </xf>
    <xf numFmtId="3" fontId="5" fillId="0" borderId="12" xfId="0" applyNumberFormat="1" applyFont="1" applyFill="1" applyBorder="1" applyAlignment="1">
      <alignment horizontal="center" vertical="top"/>
    </xf>
    <xf numFmtId="3" fontId="5" fillId="0" borderId="10" xfId="0" applyNumberFormat="1" applyFont="1" applyFill="1" applyBorder="1" applyAlignment="1">
      <alignment horizontal="center" vertical="top"/>
    </xf>
    <xf numFmtId="3" fontId="5" fillId="4" borderId="6" xfId="0" applyNumberFormat="1" applyFont="1" applyFill="1" applyBorder="1" applyAlignment="1">
      <alignment horizontal="center" vertical="top"/>
    </xf>
    <xf numFmtId="3" fontId="5" fillId="4" borderId="27" xfId="0" applyNumberFormat="1" applyFont="1" applyFill="1" applyBorder="1" applyAlignment="1">
      <alignment horizontal="center" vertical="top"/>
    </xf>
    <xf numFmtId="3" fontId="1" fillId="4" borderId="10" xfId="0" applyNumberFormat="1" applyFont="1" applyFill="1" applyBorder="1" applyAlignment="1">
      <alignment horizontal="center" vertical="top"/>
    </xf>
    <xf numFmtId="3" fontId="1" fillId="4" borderId="22" xfId="0" applyNumberFormat="1" applyFont="1" applyFill="1" applyBorder="1" applyAlignment="1">
      <alignment horizontal="center" vertical="top"/>
    </xf>
    <xf numFmtId="3" fontId="3" fillId="8" borderId="68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 wrapText="1"/>
    </xf>
    <xf numFmtId="3" fontId="5" fillId="0" borderId="13" xfId="0" applyNumberFormat="1" applyFont="1" applyFill="1" applyBorder="1" applyAlignment="1">
      <alignment horizontal="center" vertical="top" wrapText="1"/>
    </xf>
    <xf numFmtId="3" fontId="1" fillId="4" borderId="13" xfId="0" applyNumberFormat="1" applyFont="1" applyFill="1" applyBorder="1" applyAlignment="1">
      <alignment horizontal="center" vertical="top" wrapText="1"/>
    </xf>
    <xf numFmtId="3" fontId="2" fillId="4" borderId="30" xfId="0" applyNumberFormat="1" applyFont="1" applyFill="1" applyBorder="1" applyAlignment="1">
      <alignment horizontal="center" vertical="top" wrapText="1"/>
    </xf>
    <xf numFmtId="3" fontId="4" fillId="8" borderId="12" xfId="0" applyNumberFormat="1" applyFont="1" applyFill="1" applyBorder="1" applyAlignment="1">
      <alignment horizontal="center" vertical="top" wrapText="1"/>
    </xf>
    <xf numFmtId="3" fontId="4" fillId="8" borderId="70" xfId="0" applyNumberFormat="1" applyFont="1" applyFill="1" applyBorder="1" applyAlignment="1">
      <alignment horizontal="center" vertical="top" wrapText="1"/>
    </xf>
    <xf numFmtId="3" fontId="1" fillId="4" borderId="73" xfId="0" applyNumberFormat="1" applyFont="1" applyFill="1" applyBorder="1" applyAlignment="1">
      <alignment horizontal="center" vertical="top" wrapText="1"/>
    </xf>
    <xf numFmtId="3" fontId="2" fillId="4" borderId="22" xfId="0" applyNumberFormat="1" applyFont="1" applyFill="1" applyBorder="1" applyAlignment="1">
      <alignment horizontal="center" vertical="top" wrapText="1"/>
    </xf>
    <xf numFmtId="3" fontId="1" fillId="7" borderId="13" xfId="0" applyNumberFormat="1" applyFont="1" applyFill="1" applyBorder="1" applyAlignment="1">
      <alignment horizontal="center" vertical="top"/>
    </xf>
    <xf numFmtId="3" fontId="4" fillId="8" borderId="66" xfId="0" applyNumberFormat="1" applyFont="1" applyFill="1" applyBorder="1" applyAlignment="1">
      <alignment horizontal="center" vertical="top" wrapText="1"/>
    </xf>
    <xf numFmtId="3" fontId="1" fillId="4" borderId="25" xfId="0" applyNumberFormat="1" applyFont="1" applyFill="1" applyBorder="1" applyAlignment="1">
      <alignment horizontal="center" vertical="top" wrapText="1"/>
    </xf>
    <xf numFmtId="3" fontId="1" fillId="4" borderId="6" xfId="0" applyNumberFormat="1" applyFont="1" applyFill="1" applyBorder="1" applyAlignment="1">
      <alignment horizontal="center" vertical="top" wrapText="1"/>
    </xf>
    <xf numFmtId="3" fontId="1" fillId="4" borderId="10" xfId="0" applyNumberFormat="1" applyFont="1" applyFill="1" applyBorder="1" applyAlignment="1">
      <alignment horizontal="center" vertical="top" wrapText="1"/>
    </xf>
    <xf numFmtId="3" fontId="1" fillId="4" borderId="41" xfId="0" applyNumberFormat="1" applyFont="1" applyFill="1" applyBorder="1" applyAlignment="1">
      <alignment horizontal="center" vertical="top" wrapText="1"/>
    </xf>
    <xf numFmtId="3" fontId="3" fillId="8" borderId="70" xfId="0" applyNumberFormat="1" applyFont="1" applyFill="1" applyBorder="1" applyAlignment="1">
      <alignment horizontal="center" vertical="top"/>
    </xf>
    <xf numFmtId="3" fontId="5" fillId="4" borderId="12" xfId="0" applyNumberFormat="1" applyFont="1" applyFill="1" applyBorder="1" applyAlignment="1">
      <alignment horizontal="center" vertical="top" wrapText="1"/>
    </xf>
    <xf numFmtId="3" fontId="8" fillId="3" borderId="19" xfId="0" applyNumberFormat="1" applyFont="1" applyFill="1" applyBorder="1" applyAlignment="1">
      <alignment horizontal="center" vertical="center"/>
    </xf>
    <xf numFmtId="3" fontId="4" fillId="8" borderId="66" xfId="0" applyNumberFormat="1" applyFont="1" applyFill="1" applyBorder="1" applyAlignment="1">
      <alignment horizontal="center" vertical="top"/>
    </xf>
    <xf numFmtId="3" fontId="4" fillId="8" borderId="68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center" vertical="top"/>
    </xf>
    <xf numFmtId="3" fontId="4" fillId="2" borderId="62" xfId="0" applyNumberFormat="1" applyFont="1" applyFill="1" applyBorder="1" applyAlignment="1">
      <alignment horizontal="center" vertical="top"/>
    </xf>
    <xf numFmtId="3" fontId="4" fillId="5" borderId="17" xfId="0" applyNumberFormat="1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4" fillId="5" borderId="18" xfId="0" applyNumberFormat="1" applyFont="1" applyFill="1" applyBorder="1" applyAlignment="1">
      <alignment horizontal="center" vertical="top" wrapText="1"/>
    </xf>
    <xf numFmtId="3" fontId="4" fillId="5" borderId="6" xfId="0" applyNumberFormat="1" applyFont="1" applyFill="1" applyBorder="1" applyAlignment="1">
      <alignment horizontal="center" vertical="top" wrapText="1"/>
    </xf>
    <xf numFmtId="3" fontId="5" fillId="0" borderId="35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35" xfId="0" applyNumberFormat="1" applyFont="1" applyFill="1" applyBorder="1" applyAlignment="1">
      <alignment horizontal="center" vertical="top"/>
    </xf>
    <xf numFmtId="3" fontId="5" fillId="0" borderId="35" xfId="0" applyNumberFormat="1" applyFont="1" applyFill="1" applyBorder="1" applyAlignment="1">
      <alignment horizontal="center" vertical="top" wrapText="1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13" xfId="0" applyNumberFormat="1" applyFont="1" applyFill="1" applyBorder="1" applyAlignment="1">
      <alignment horizontal="center" vertical="top"/>
    </xf>
    <xf numFmtId="3" fontId="1" fillId="7" borderId="18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49" fontId="3" fillId="0" borderId="23" xfId="0" applyNumberFormat="1" applyFont="1" applyFill="1" applyBorder="1" applyAlignment="1">
      <alignment horizontal="center" vertical="top"/>
    </xf>
    <xf numFmtId="49" fontId="4" fillId="8" borderId="67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center" vertical="top"/>
    </xf>
    <xf numFmtId="1" fontId="5" fillId="0" borderId="16" xfId="0" applyNumberFormat="1" applyFont="1" applyFill="1" applyBorder="1" applyAlignment="1">
      <alignment horizontal="center" vertical="top"/>
    </xf>
    <xf numFmtId="3" fontId="5" fillId="4" borderId="10" xfId="0" applyNumberFormat="1" applyFont="1" applyFill="1" applyBorder="1" applyAlignment="1">
      <alignment horizontal="center" vertical="top"/>
    </xf>
    <xf numFmtId="3" fontId="5" fillId="4" borderId="22" xfId="0" applyNumberFormat="1" applyFont="1" applyFill="1" applyBorder="1" applyAlignment="1">
      <alignment horizontal="center" vertical="top"/>
    </xf>
    <xf numFmtId="1" fontId="5" fillId="8" borderId="75" xfId="0" applyNumberFormat="1" applyFont="1" applyFill="1" applyBorder="1" applyAlignment="1">
      <alignment horizontal="center" vertical="top"/>
    </xf>
    <xf numFmtId="1" fontId="5" fillId="7" borderId="50" xfId="0" applyNumberFormat="1" applyFont="1" applyFill="1" applyBorder="1" applyAlignment="1">
      <alignment horizontal="center" vertical="top"/>
    </xf>
    <xf numFmtId="3" fontId="5" fillId="7" borderId="25" xfId="0" applyNumberFormat="1" applyFont="1" applyFill="1" applyBorder="1" applyAlignment="1">
      <alignment horizontal="center" vertical="top" wrapText="1"/>
    </xf>
    <xf numFmtId="3" fontId="5" fillId="4" borderId="25" xfId="0" applyNumberFormat="1" applyFont="1" applyFill="1" applyBorder="1" applyAlignment="1">
      <alignment horizontal="center" vertical="top" wrapText="1"/>
    </xf>
    <xf numFmtId="1" fontId="4" fillId="8" borderId="54" xfId="0" applyNumberFormat="1" applyFont="1" applyFill="1" applyBorder="1" applyAlignment="1">
      <alignment horizontal="center" vertical="top"/>
    </xf>
    <xf numFmtId="1" fontId="4" fillId="8" borderId="9" xfId="0" applyNumberFormat="1" applyFont="1" applyFill="1" applyBorder="1" applyAlignment="1">
      <alignment horizontal="center" vertical="top"/>
    </xf>
    <xf numFmtId="1" fontId="4" fillId="8" borderId="33" xfId="0" applyNumberFormat="1" applyFont="1" applyFill="1" applyBorder="1" applyAlignment="1">
      <alignment horizontal="center" vertical="top"/>
    </xf>
    <xf numFmtId="49" fontId="5" fillId="7" borderId="10" xfId="0" applyNumberFormat="1" applyFont="1" applyFill="1" applyBorder="1" applyAlignment="1">
      <alignment vertical="top" wrapText="1"/>
    </xf>
    <xf numFmtId="1" fontId="1" fillId="8" borderId="18" xfId="0" applyNumberFormat="1" applyFont="1" applyFill="1" applyBorder="1" applyAlignment="1">
      <alignment horizontal="center" vertical="top"/>
    </xf>
    <xf numFmtId="1" fontId="1" fillId="0" borderId="5" xfId="0" applyNumberFormat="1" applyFont="1" applyFill="1" applyBorder="1" applyAlignment="1">
      <alignment horizontal="center" vertical="top"/>
    </xf>
    <xf numFmtId="1" fontId="1" fillId="0" borderId="26" xfId="0" applyNumberFormat="1" applyFont="1" applyFill="1" applyBorder="1" applyAlignment="1">
      <alignment horizontal="center" vertical="top"/>
    </xf>
    <xf numFmtId="1" fontId="1" fillId="0" borderId="7" xfId="0" applyNumberFormat="1" applyFont="1" applyFill="1" applyBorder="1" applyAlignment="1">
      <alignment horizontal="center" vertical="top"/>
    </xf>
    <xf numFmtId="3" fontId="1" fillId="4" borderId="6" xfId="0" applyNumberFormat="1" applyFont="1" applyFill="1" applyBorder="1" applyAlignment="1">
      <alignment horizontal="center" vertical="top"/>
    </xf>
    <xf numFmtId="3" fontId="1" fillId="4" borderId="27" xfId="0" applyNumberFormat="1" applyFont="1" applyFill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1" fontId="2" fillId="0" borderId="0" xfId="0" applyNumberFormat="1" applyFont="1"/>
    <xf numFmtId="3" fontId="2" fillId="0" borderId="0" xfId="0" applyNumberFormat="1" applyFont="1"/>
    <xf numFmtId="3" fontId="5" fillId="8" borderId="25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5" fillId="0" borderId="33" xfId="0" applyNumberFormat="1" applyFont="1" applyFill="1" applyBorder="1" applyAlignment="1">
      <alignment vertical="top"/>
    </xf>
    <xf numFmtId="0" fontId="1" fillId="4" borderId="7" xfId="0" applyNumberFormat="1" applyFont="1" applyFill="1" applyBorder="1" applyAlignment="1">
      <alignment horizontal="center" vertical="top" wrapText="1"/>
    </xf>
    <xf numFmtId="0" fontId="2" fillId="0" borderId="27" xfId="0" applyFont="1" applyBorder="1"/>
    <xf numFmtId="0" fontId="5" fillId="0" borderId="46" xfId="0" applyNumberFormat="1" applyFont="1" applyBorder="1" applyAlignment="1">
      <alignment horizontal="center" vertical="top" wrapText="1"/>
    </xf>
    <xf numFmtId="0" fontId="5" fillId="0" borderId="53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top" wrapText="1"/>
    </xf>
    <xf numFmtId="164" fontId="1" fillId="7" borderId="33" xfId="0" applyNumberFormat="1" applyFont="1" applyFill="1" applyBorder="1" applyAlignment="1">
      <alignment vertical="top" wrapText="1"/>
    </xf>
    <xf numFmtId="0" fontId="1" fillId="0" borderId="53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  <xf numFmtId="0" fontId="5" fillId="0" borderId="53" xfId="0" applyNumberFormat="1" applyFont="1" applyBorder="1" applyAlignment="1">
      <alignment horizontal="center" vertical="top"/>
    </xf>
    <xf numFmtId="1" fontId="6" fillId="7" borderId="7" xfId="0" applyNumberFormat="1" applyFont="1" applyFill="1" applyBorder="1" applyAlignment="1">
      <alignment horizontal="center" vertical="top"/>
    </xf>
    <xf numFmtId="0" fontId="4" fillId="0" borderId="33" xfId="0" applyNumberFormat="1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center" vertical="top"/>
    </xf>
    <xf numFmtId="3" fontId="1" fillId="8" borderId="12" xfId="0" applyNumberFormat="1" applyFont="1" applyFill="1" applyBorder="1" applyAlignment="1">
      <alignment horizontal="center" vertical="top"/>
    </xf>
    <xf numFmtId="3" fontId="10" fillId="8" borderId="66" xfId="0" applyNumberFormat="1" applyFont="1" applyFill="1" applyBorder="1" applyAlignment="1">
      <alignment horizontal="center" vertical="top" wrapText="1"/>
    </xf>
    <xf numFmtId="3" fontId="1" fillId="8" borderId="10" xfId="0" applyNumberFormat="1" applyFont="1" applyFill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1" fontId="5" fillId="8" borderId="6" xfId="0" applyNumberFormat="1" applyFont="1" applyFill="1" applyBorder="1" applyAlignment="1">
      <alignment horizontal="center" vertical="top" wrapText="1"/>
    </xf>
    <xf numFmtId="1" fontId="5" fillId="0" borderId="78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3" fontId="5" fillId="8" borderId="10" xfId="0" applyNumberFormat="1" applyFont="1" applyFill="1" applyBorder="1" applyAlignment="1">
      <alignment horizontal="center" vertical="top"/>
    </xf>
    <xf numFmtId="1" fontId="5" fillId="8" borderId="10" xfId="0" applyNumberFormat="1" applyFont="1" applyFill="1" applyBorder="1" applyAlignment="1">
      <alignment horizontal="center" vertical="top" wrapText="1"/>
    </xf>
    <xf numFmtId="1" fontId="5" fillId="0" borderId="61" xfId="0" applyNumberFormat="1" applyFont="1" applyFill="1" applyBorder="1" applyAlignment="1">
      <alignment horizontal="center" vertical="top" wrapText="1"/>
    </xf>
    <xf numFmtId="1" fontId="5" fillId="0" borderId="15" xfId="0" applyNumberFormat="1" applyFont="1" applyFill="1" applyBorder="1" applyAlignment="1">
      <alignment horizontal="center" vertical="top" wrapText="1"/>
    </xf>
    <xf numFmtId="1" fontId="5" fillId="0" borderId="16" xfId="0" applyNumberFormat="1" applyFont="1" applyFill="1" applyBorder="1" applyAlignment="1">
      <alignment horizontal="center" vertical="top" wrapText="1"/>
    </xf>
    <xf numFmtId="3" fontId="5" fillId="4" borderId="10" xfId="0" applyNumberFormat="1" applyFont="1" applyFill="1" applyBorder="1" applyAlignment="1">
      <alignment horizontal="center" vertical="top" wrapText="1"/>
    </xf>
    <xf numFmtId="1" fontId="5" fillId="8" borderId="10" xfId="0" applyNumberFormat="1" applyFont="1" applyFill="1" applyBorder="1" applyAlignment="1">
      <alignment horizontal="center" vertical="top"/>
    </xf>
    <xf numFmtId="1" fontId="5" fillId="0" borderId="61" xfId="0" applyNumberFormat="1" applyFont="1" applyFill="1" applyBorder="1" applyAlignment="1">
      <alignment horizontal="center" vertical="top"/>
    </xf>
    <xf numFmtId="3" fontId="5" fillId="0" borderId="10" xfId="0" applyNumberFormat="1" applyFont="1" applyBorder="1" applyAlignment="1">
      <alignment horizontal="center" vertical="top"/>
    </xf>
    <xf numFmtId="49" fontId="1" fillId="7" borderId="73" xfId="0" applyNumberFormat="1" applyFont="1" applyFill="1" applyBorder="1" applyAlignment="1">
      <alignment horizontal="center" vertical="top"/>
    </xf>
    <xf numFmtId="49" fontId="10" fillId="2" borderId="43" xfId="0" applyNumberFormat="1" applyFont="1" applyFill="1" applyBorder="1" applyAlignment="1">
      <alignment vertical="top"/>
    </xf>
    <xf numFmtId="49" fontId="10" fillId="3" borderId="37" xfId="0" applyNumberFormat="1" applyFont="1" applyFill="1" applyBorder="1" applyAlignment="1">
      <alignment vertical="top"/>
    </xf>
    <xf numFmtId="0" fontId="3" fillId="7" borderId="43" xfId="0" applyFont="1" applyFill="1" applyBorder="1" applyAlignment="1">
      <alignment vertical="top" wrapText="1"/>
    </xf>
    <xf numFmtId="3" fontId="3" fillId="5" borderId="45" xfId="0" applyNumberFormat="1" applyFont="1" applyFill="1" applyBorder="1" applyAlignment="1">
      <alignment horizontal="center" vertical="top"/>
    </xf>
    <xf numFmtId="3" fontId="1" fillId="0" borderId="45" xfId="0" applyNumberFormat="1" applyFont="1" applyBorder="1" applyAlignment="1">
      <alignment horizontal="center" vertical="top"/>
    </xf>
    <xf numFmtId="3" fontId="1" fillId="0" borderId="45" xfId="0" applyNumberFormat="1" applyFont="1" applyBorder="1" applyAlignment="1">
      <alignment horizontal="center" vertical="top" wrapText="1"/>
    </xf>
    <xf numFmtId="3" fontId="6" fillId="0" borderId="49" xfId="0" applyNumberFormat="1" applyFont="1" applyBorder="1" applyAlignment="1">
      <alignment horizontal="center" vertical="center" wrapText="1"/>
    </xf>
    <xf numFmtId="3" fontId="6" fillId="0" borderId="50" xfId="0" applyNumberFormat="1" applyFont="1" applyFill="1" applyBorder="1" applyAlignment="1">
      <alignment horizontal="center" vertical="center" wrapText="1"/>
    </xf>
    <xf numFmtId="3" fontId="4" fillId="5" borderId="46" xfId="0" applyNumberFormat="1" applyFont="1" applyFill="1" applyBorder="1" applyAlignment="1">
      <alignment horizontal="center" vertical="top" wrapText="1"/>
    </xf>
    <xf numFmtId="3" fontId="5" fillId="0" borderId="46" xfId="0" applyNumberFormat="1" applyFont="1" applyFill="1" applyBorder="1" applyAlignment="1">
      <alignment horizontal="center"/>
    </xf>
    <xf numFmtId="3" fontId="5" fillId="0" borderId="46" xfId="0" applyNumberFormat="1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top" wrapText="1"/>
    </xf>
    <xf numFmtId="3" fontId="4" fillId="5" borderId="46" xfId="0" applyNumberFormat="1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horizontal="center" vertical="top"/>
    </xf>
    <xf numFmtId="3" fontId="4" fillId="8" borderId="2" xfId="0" applyNumberFormat="1" applyFont="1" applyFill="1" applyBorder="1" applyAlignment="1">
      <alignment horizontal="center" vertical="top"/>
    </xf>
    <xf numFmtId="3" fontId="1" fillId="7" borderId="26" xfId="0" applyNumberFormat="1" applyFont="1" applyFill="1" applyBorder="1" applyAlignment="1">
      <alignment horizontal="center" vertical="top"/>
    </xf>
    <xf numFmtId="3" fontId="4" fillId="3" borderId="74" xfId="0" applyNumberFormat="1" applyFont="1" applyFill="1" applyBorder="1" applyAlignment="1">
      <alignment horizontal="center" vertical="top"/>
    </xf>
    <xf numFmtId="3" fontId="1" fillId="7" borderId="5" xfId="0" applyNumberFormat="1" applyFont="1" applyFill="1" applyBorder="1" applyAlignment="1">
      <alignment horizontal="center" vertical="top"/>
    </xf>
    <xf numFmtId="3" fontId="3" fillId="8" borderId="29" xfId="0" applyNumberFormat="1" applyFont="1" applyFill="1" applyBorder="1" applyAlignment="1">
      <alignment horizontal="center" vertical="top"/>
    </xf>
    <xf numFmtId="3" fontId="1" fillId="7" borderId="49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center" vertical="top"/>
    </xf>
    <xf numFmtId="3" fontId="1" fillId="0" borderId="27" xfId="0" applyNumberFormat="1" applyFont="1" applyBorder="1" applyAlignment="1">
      <alignment horizontal="center" vertical="top"/>
    </xf>
    <xf numFmtId="3" fontId="5" fillId="0" borderId="22" xfId="0" applyNumberFormat="1" applyFont="1" applyFill="1" applyBorder="1" applyAlignment="1">
      <alignment horizontal="center" vertical="top"/>
    </xf>
    <xf numFmtId="3" fontId="3" fillId="3" borderId="40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horizontal="center" vertical="top"/>
    </xf>
    <xf numFmtId="3" fontId="5" fillId="7" borderId="49" xfId="0" applyNumberFormat="1" applyFont="1" applyFill="1" applyBorder="1" applyAlignment="1">
      <alignment horizontal="center" vertical="top" wrapText="1"/>
    </xf>
    <xf numFmtId="3" fontId="1" fillId="7" borderId="15" xfId="0" applyNumberFormat="1" applyFont="1" applyFill="1" applyBorder="1" applyAlignment="1">
      <alignment horizontal="center" vertical="top"/>
    </xf>
    <xf numFmtId="3" fontId="5" fillId="7" borderId="15" xfId="0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center" vertical="top" wrapText="1"/>
    </xf>
    <xf numFmtId="3" fontId="1" fillId="7" borderId="37" xfId="0" applyNumberFormat="1" applyFont="1" applyFill="1" applyBorder="1" applyAlignment="1">
      <alignment horizontal="center" vertical="top"/>
    </xf>
    <xf numFmtId="3" fontId="5" fillId="0" borderId="27" xfId="0" applyNumberFormat="1" applyFont="1" applyFill="1" applyBorder="1" applyAlignment="1">
      <alignment horizontal="center" vertical="top" wrapText="1"/>
    </xf>
    <xf numFmtId="3" fontId="5" fillId="0" borderId="57" xfId="0" applyNumberFormat="1" applyFont="1" applyFill="1" applyBorder="1" applyAlignment="1">
      <alignment horizontal="center" vertical="top" wrapText="1"/>
    </xf>
    <xf numFmtId="3" fontId="5" fillId="0" borderId="30" xfId="0" applyNumberFormat="1" applyFont="1" applyFill="1" applyBorder="1" applyAlignment="1">
      <alignment horizontal="center" vertical="top" wrapText="1"/>
    </xf>
    <xf numFmtId="3" fontId="3" fillId="8" borderId="30" xfId="0" applyNumberFormat="1" applyFont="1" applyFill="1" applyBorder="1" applyAlignment="1">
      <alignment horizontal="center" vertical="top"/>
    </xf>
    <xf numFmtId="3" fontId="4" fillId="8" borderId="30" xfId="0" applyNumberFormat="1" applyFont="1" applyFill="1" applyBorder="1" applyAlignment="1">
      <alignment horizontal="center" vertical="top" wrapText="1"/>
    </xf>
    <xf numFmtId="3" fontId="4" fillId="8" borderId="63" xfId="0" applyNumberFormat="1" applyFont="1" applyFill="1" applyBorder="1" applyAlignment="1">
      <alignment horizontal="center" vertical="top" wrapText="1"/>
    </xf>
    <xf numFmtId="3" fontId="1" fillId="4" borderId="77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 wrapText="1"/>
    </xf>
    <xf numFmtId="3" fontId="1" fillId="4" borderId="22" xfId="0" applyNumberFormat="1" applyFont="1" applyFill="1" applyBorder="1" applyAlignment="1">
      <alignment horizontal="center" vertical="top" wrapText="1"/>
    </xf>
    <xf numFmtId="3" fontId="5" fillId="4" borderId="30" xfId="0" applyNumberFormat="1" applyFont="1" applyFill="1" applyBorder="1" applyAlignment="1">
      <alignment horizontal="center" vertical="top" wrapText="1"/>
    </xf>
    <xf numFmtId="3" fontId="5" fillId="0" borderId="22" xfId="0" applyNumberFormat="1" applyFont="1" applyBorder="1" applyAlignment="1">
      <alignment horizontal="center" vertical="top"/>
    </xf>
    <xf numFmtId="3" fontId="5" fillId="7" borderId="60" xfId="0" applyNumberFormat="1" applyFont="1" applyFill="1" applyBorder="1" applyAlignment="1">
      <alignment horizontal="center" vertical="top" wrapText="1"/>
    </xf>
    <xf numFmtId="3" fontId="8" fillId="3" borderId="39" xfId="0" applyNumberFormat="1" applyFont="1" applyFill="1" applyBorder="1" applyAlignment="1">
      <alignment horizontal="center" vertical="center"/>
    </xf>
    <xf numFmtId="3" fontId="1" fillId="7" borderId="45" xfId="0" applyNumberFormat="1" applyFont="1" applyFill="1" applyBorder="1" applyAlignment="1">
      <alignment horizontal="center" vertical="top"/>
    </xf>
    <xf numFmtId="3" fontId="1" fillId="7" borderId="29" xfId="0" applyNumberFormat="1" applyFont="1" applyFill="1" applyBorder="1" applyAlignment="1">
      <alignment horizontal="center" vertical="top"/>
    </xf>
    <xf numFmtId="3" fontId="4" fillId="8" borderId="29" xfId="0" applyNumberFormat="1" applyFont="1" applyFill="1" applyBorder="1" applyAlignment="1">
      <alignment horizontal="center" vertical="top"/>
    </xf>
    <xf numFmtId="3" fontId="10" fillId="8" borderId="1" xfId="0" applyNumberFormat="1" applyFont="1" applyFill="1" applyBorder="1" applyAlignment="1">
      <alignment horizontal="center" vertical="top" wrapText="1"/>
    </xf>
    <xf numFmtId="3" fontId="4" fillId="8" borderId="1" xfId="0" applyNumberFormat="1" applyFont="1" applyFill="1" applyBorder="1" applyAlignment="1">
      <alignment horizontal="center" vertical="top"/>
    </xf>
    <xf numFmtId="3" fontId="5" fillId="7" borderId="29" xfId="0" applyNumberFormat="1" applyFont="1" applyFill="1" applyBorder="1" applyAlignment="1">
      <alignment horizontal="center" vertical="top"/>
    </xf>
    <xf numFmtId="3" fontId="5" fillId="7" borderId="5" xfId="0" applyNumberFormat="1" applyFont="1" applyFill="1" applyBorder="1" applyAlignment="1">
      <alignment horizontal="center" vertical="top"/>
    </xf>
    <xf numFmtId="3" fontId="5" fillId="7" borderId="49" xfId="0" applyNumberFormat="1" applyFont="1" applyFill="1" applyBorder="1" applyAlignment="1">
      <alignment horizontal="center" vertical="top"/>
    </xf>
    <xf numFmtId="3" fontId="4" fillId="8" borderId="9" xfId="0" applyNumberFormat="1" applyFont="1" applyFill="1" applyBorder="1" applyAlignment="1">
      <alignment horizontal="center" vertical="top"/>
    </xf>
    <xf numFmtId="3" fontId="3" fillId="3" borderId="39" xfId="0" applyNumberFormat="1" applyFont="1" applyFill="1" applyBorder="1" applyAlignment="1">
      <alignment horizontal="center" vertical="top"/>
    </xf>
    <xf numFmtId="3" fontId="4" fillId="2" borderId="40" xfId="0" applyNumberFormat="1" applyFont="1" applyFill="1" applyBorder="1" applyAlignment="1">
      <alignment horizontal="center" vertical="top"/>
    </xf>
    <xf numFmtId="3" fontId="4" fillId="5" borderId="24" xfId="0" applyNumberFormat="1" applyFont="1" applyFill="1" applyBorder="1" applyAlignment="1">
      <alignment horizontal="center" vertical="top"/>
    </xf>
    <xf numFmtId="3" fontId="3" fillId="2" borderId="31" xfId="0" applyNumberFormat="1" applyFont="1" applyFill="1" applyBorder="1" applyAlignment="1">
      <alignment horizontal="center" vertical="top"/>
    </xf>
    <xf numFmtId="3" fontId="3" fillId="5" borderId="9" xfId="0" applyNumberFormat="1" applyFont="1" applyFill="1" applyBorder="1" applyAlignment="1">
      <alignment horizontal="center" vertical="top"/>
    </xf>
    <xf numFmtId="3" fontId="5" fillId="8" borderId="11" xfId="0" applyNumberFormat="1" applyFont="1" applyFill="1" applyBorder="1" applyAlignment="1">
      <alignment horizontal="center" vertical="top"/>
    </xf>
    <xf numFmtId="3" fontId="5" fillId="8" borderId="14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vertical="top"/>
    </xf>
    <xf numFmtId="3" fontId="4" fillId="8" borderId="23" xfId="0" applyNumberFormat="1" applyFont="1" applyFill="1" applyBorder="1" applyAlignment="1">
      <alignment horizontal="center" vertical="top"/>
    </xf>
    <xf numFmtId="3" fontId="1" fillId="8" borderId="11" xfId="0" applyNumberFormat="1" applyFont="1" applyFill="1" applyBorder="1" applyAlignment="1">
      <alignment horizontal="center" vertical="top"/>
    </xf>
    <xf numFmtId="3" fontId="3" fillId="8" borderId="28" xfId="0" applyNumberFormat="1" applyFont="1" applyFill="1" applyBorder="1" applyAlignment="1">
      <alignment horizontal="center" vertical="top"/>
    </xf>
    <xf numFmtId="3" fontId="1" fillId="8" borderId="48" xfId="0" applyNumberFormat="1" applyFont="1" applyFill="1" applyBorder="1" applyAlignment="1">
      <alignment horizontal="center" vertical="top"/>
    </xf>
    <xf numFmtId="3" fontId="3" fillId="8" borderId="23" xfId="0" applyNumberFormat="1" applyFont="1" applyFill="1" applyBorder="1" applyAlignment="1">
      <alignment horizontal="center" vertical="top"/>
    </xf>
    <xf numFmtId="3" fontId="3" fillId="8" borderId="9" xfId="0" applyNumberFormat="1" applyFont="1" applyFill="1" applyBorder="1" applyAlignment="1">
      <alignment horizontal="center" vertical="top"/>
    </xf>
    <xf numFmtId="0" fontId="5" fillId="7" borderId="29" xfId="0" applyNumberFormat="1" applyFont="1" applyFill="1" applyBorder="1" applyAlignment="1">
      <alignment horizontal="center" vertical="top"/>
    </xf>
    <xf numFmtId="0" fontId="5" fillId="7" borderId="9" xfId="0" applyNumberFormat="1" applyFont="1" applyFill="1" applyBorder="1" applyAlignment="1">
      <alignment horizontal="center" vertical="top"/>
    </xf>
    <xf numFmtId="0" fontId="5" fillId="0" borderId="29" xfId="0" applyNumberFormat="1" applyFont="1" applyBorder="1" applyAlignment="1">
      <alignment horizontal="center" vertical="top"/>
    </xf>
    <xf numFmtId="1" fontId="5" fillId="7" borderId="61" xfId="0" applyNumberFormat="1" applyFont="1" applyFill="1" applyBorder="1" applyAlignment="1">
      <alignment horizontal="center" vertical="top" wrapText="1"/>
    </xf>
    <xf numFmtId="0" fontId="1" fillId="0" borderId="64" xfId="0" applyNumberFormat="1" applyFont="1" applyFill="1" applyBorder="1" applyAlignment="1">
      <alignment horizontal="center" vertical="top" wrapText="1"/>
    </xf>
    <xf numFmtId="3" fontId="2" fillId="4" borderId="57" xfId="0" applyNumberFormat="1" applyFont="1" applyFill="1" applyBorder="1" applyAlignment="1">
      <alignment horizontal="center" vertical="top" wrapText="1"/>
    </xf>
    <xf numFmtId="49" fontId="5" fillId="7" borderId="17" xfId="0" applyNumberFormat="1" applyFont="1" applyFill="1" applyBorder="1" applyAlignment="1">
      <alignment vertical="top" wrapText="1"/>
    </xf>
    <xf numFmtId="0" fontId="1" fillId="0" borderId="1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vertical="center" textRotation="90" wrapText="1"/>
    </xf>
    <xf numFmtId="164" fontId="5" fillId="0" borderId="10" xfId="0" applyNumberFormat="1" applyFont="1" applyFill="1" applyBorder="1" applyAlignment="1">
      <alignment vertical="center" textRotation="90" wrapText="1"/>
    </xf>
    <xf numFmtId="3" fontId="1" fillId="8" borderId="76" xfId="0" applyNumberFormat="1" applyFont="1" applyFill="1" applyBorder="1" applyAlignment="1">
      <alignment horizontal="center" vertical="top"/>
    </xf>
    <xf numFmtId="1" fontId="1" fillId="7" borderId="59" xfId="0" applyNumberFormat="1" applyFont="1" applyFill="1" applyBorder="1" applyAlignment="1">
      <alignment horizontal="center" vertical="top" wrapText="1"/>
    </xf>
    <xf numFmtId="1" fontId="1" fillId="7" borderId="37" xfId="0" applyNumberFormat="1" applyFont="1" applyFill="1" applyBorder="1" applyAlignment="1">
      <alignment horizontal="center" vertical="top" wrapText="1"/>
    </xf>
    <xf numFmtId="1" fontId="1" fillId="7" borderId="80" xfId="0" applyNumberFormat="1" applyFont="1" applyFill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/>
    </xf>
    <xf numFmtId="49" fontId="10" fillId="4" borderId="53" xfId="0" applyNumberFormat="1" applyFont="1" applyFill="1" applyBorder="1" applyAlignment="1">
      <alignment vertical="top" wrapText="1"/>
    </xf>
    <xf numFmtId="164" fontId="5" fillId="0" borderId="73" xfId="0" applyNumberFormat="1" applyFont="1" applyFill="1" applyBorder="1" applyAlignment="1">
      <alignment vertical="center" textRotation="90" wrapText="1"/>
    </xf>
    <xf numFmtId="49" fontId="3" fillId="7" borderId="73" xfId="0" applyNumberFormat="1" applyFont="1" applyFill="1" applyBorder="1" applyAlignment="1">
      <alignment horizontal="center" vertical="top" wrapText="1"/>
    </xf>
    <xf numFmtId="49" fontId="5" fillId="0" borderId="52" xfId="0" applyNumberFormat="1" applyFont="1" applyFill="1" applyBorder="1" applyAlignment="1">
      <alignment vertical="center" textRotation="90" wrapText="1"/>
    </xf>
    <xf numFmtId="49" fontId="4" fillId="0" borderId="73" xfId="0" applyNumberFormat="1" applyFont="1" applyFill="1" applyBorder="1" applyAlignment="1">
      <alignment horizontal="center" vertical="top" wrapText="1"/>
    </xf>
    <xf numFmtId="3" fontId="5" fillId="8" borderId="52" xfId="0" applyNumberFormat="1" applyFont="1" applyFill="1" applyBorder="1" applyAlignment="1">
      <alignment horizontal="center" vertical="top"/>
    </xf>
    <xf numFmtId="3" fontId="5" fillId="7" borderId="37" xfId="0" applyNumberFormat="1" applyFont="1" applyFill="1" applyBorder="1" applyAlignment="1">
      <alignment horizontal="center" vertical="top"/>
    </xf>
    <xf numFmtId="3" fontId="5" fillId="8" borderId="13" xfId="0" applyNumberFormat="1" applyFont="1" applyFill="1" applyBorder="1" applyAlignment="1">
      <alignment horizontal="center" vertical="top" wrapText="1"/>
    </xf>
    <xf numFmtId="3" fontId="1" fillId="8" borderId="45" xfId="0" applyNumberFormat="1" applyFont="1" applyFill="1" applyBorder="1" applyAlignment="1">
      <alignment horizontal="center" vertical="top"/>
    </xf>
    <xf numFmtId="3" fontId="1" fillId="7" borderId="47" xfId="0" applyNumberFormat="1" applyFont="1" applyFill="1" applyBorder="1" applyAlignment="1">
      <alignment horizontal="center" vertical="top"/>
    </xf>
    <xf numFmtId="3" fontId="1" fillId="8" borderId="37" xfId="0" applyNumberFormat="1" applyFont="1" applyFill="1" applyBorder="1" applyAlignment="1">
      <alignment horizontal="center" vertical="top"/>
    </xf>
    <xf numFmtId="3" fontId="1" fillId="7" borderId="80" xfId="0" applyNumberFormat="1" applyFont="1" applyFill="1" applyBorder="1" applyAlignment="1">
      <alignment horizontal="center" vertical="top"/>
    </xf>
    <xf numFmtId="3" fontId="1" fillId="7" borderId="7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vertical="top" wrapText="1"/>
    </xf>
    <xf numFmtId="49" fontId="10" fillId="4" borderId="16" xfId="0" applyNumberFormat="1" applyFont="1" applyFill="1" applyBorder="1" applyAlignment="1">
      <alignment vertical="top" wrapText="1"/>
    </xf>
    <xf numFmtId="3" fontId="1" fillId="0" borderId="46" xfId="0" applyNumberFormat="1" applyFont="1" applyBorder="1" applyAlignment="1">
      <alignment horizontal="center" vertical="top" wrapText="1"/>
    </xf>
    <xf numFmtId="3" fontId="1" fillId="4" borderId="27" xfId="0" applyNumberFormat="1" applyFont="1" applyFill="1" applyBorder="1" applyAlignment="1">
      <alignment horizontal="center" vertical="top" wrapText="1"/>
    </xf>
    <xf numFmtId="49" fontId="1" fillId="0" borderId="29" xfId="0" applyNumberFormat="1" applyFont="1" applyFill="1" applyBorder="1" applyAlignment="1">
      <alignment horizontal="center" vertical="top"/>
    </xf>
    <xf numFmtId="3" fontId="5" fillId="0" borderId="30" xfId="0" applyNumberFormat="1" applyFont="1" applyFill="1" applyBorder="1" applyAlignment="1">
      <alignment horizontal="center" vertical="top"/>
    </xf>
    <xf numFmtId="1" fontId="15" fillId="0" borderId="53" xfId="0" applyNumberFormat="1" applyFont="1" applyFill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1" fontId="4" fillId="7" borderId="65" xfId="0" applyNumberFormat="1" applyFont="1" applyFill="1" applyBorder="1" applyAlignment="1">
      <alignment horizontal="center" vertical="top"/>
    </xf>
    <xf numFmtId="1" fontId="1" fillId="0" borderId="64" xfId="0" applyNumberFormat="1" applyFont="1" applyFill="1" applyBorder="1" applyAlignment="1">
      <alignment horizontal="center" vertical="top" wrapText="1"/>
    </xf>
    <xf numFmtId="1" fontId="1" fillId="0" borderId="29" xfId="0" applyNumberFormat="1" applyFont="1" applyFill="1" applyBorder="1" applyAlignment="1">
      <alignment horizontal="center" vertical="top" wrapText="1"/>
    </xf>
    <xf numFmtId="1" fontId="1" fillId="0" borderId="65" xfId="0" applyNumberFormat="1" applyFont="1" applyFill="1" applyBorder="1" applyAlignment="1">
      <alignment horizontal="center" vertical="top" wrapText="1"/>
    </xf>
    <xf numFmtId="3" fontId="5" fillId="0" borderId="12" xfId="0" applyNumberFormat="1" applyFont="1" applyFill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/>
    </xf>
    <xf numFmtId="1" fontId="1" fillId="0" borderId="80" xfId="0" applyNumberFormat="1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right" vertical="top"/>
    </xf>
    <xf numFmtId="3" fontId="3" fillId="8" borderId="42" xfId="0" applyNumberFormat="1" applyFont="1" applyFill="1" applyBorder="1" applyAlignment="1">
      <alignment horizontal="center" vertical="top"/>
    </xf>
    <xf numFmtId="1" fontId="3" fillId="8" borderId="13" xfId="0" applyNumberFormat="1" applyFont="1" applyFill="1" applyBorder="1" applyAlignment="1">
      <alignment horizontal="center" vertical="top"/>
    </xf>
    <xf numFmtId="1" fontId="3" fillId="8" borderId="55" xfId="0" applyNumberFormat="1" applyFont="1" applyFill="1" applyBorder="1" applyAlignment="1">
      <alignment horizontal="center" vertical="top"/>
    </xf>
    <xf numFmtId="1" fontId="3" fillId="8" borderId="45" xfId="0" applyNumberFormat="1" applyFont="1" applyFill="1" applyBorder="1" applyAlignment="1">
      <alignment horizontal="center" vertical="top"/>
    </xf>
    <xf numFmtId="1" fontId="3" fillId="8" borderId="47" xfId="0" applyNumberFormat="1" applyFont="1" applyFill="1" applyBorder="1" applyAlignment="1">
      <alignment horizontal="center" vertical="top"/>
    </xf>
    <xf numFmtId="3" fontId="3" fillId="8" borderId="13" xfId="0" applyNumberFormat="1" applyFont="1" applyFill="1" applyBorder="1" applyAlignment="1">
      <alignment horizontal="center" vertical="top"/>
    </xf>
    <xf numFmtId="3" fontId="3" fillId="8" borderId="57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/>
    </xf>
    <xf numFmtId="0" fontId="3" fillId="8" borderId="67" xfId="0" applyFont="1" applyFill="1" applyBorder="1" applyAlignment="1">
      <alignment horizontal="right" vertical="top"/>
    </xf>
    <xf numFmtId="0" fontId="4" fillId="4" borderId="0" xfId="0" applyNumberFormat="1" applyFont="1" applyFill="1" applyBorder="1" applyAlignment="1">
      <alignment horizontal="center" vertical="top" wrapText="1"/>
    </xf>
    <xf numFmtId="0" fontId="5" fillId="4" borderId="0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1" fillId="0" borderId="56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164" fontId="1" fillId="0" borderId="23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1" fillId="0" borderId="14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32" xfId="0" applyFont="1" applyBorder="1" applyAlignment="1">
      <alignment horizontal="right" vertical="top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left" vertical="top" wrapText="1"/>
    </xf>
    <xf numFmtId="0" fontId="5" fillId="0" borderId="33" xfId="0" applyNumberFormat="1" applyFont="1" applyBorder="1" applyAlignment="1">
      <alignment horizontal="center" vertical="top"/>
    </xf>
    <xf numFmtId="0" fontId="1" fillId="0" borderId="28" xfId="0" applyFont="1" applyFill="1" applyBorder="1" applyAlignment="1">
      <alignment horizontal="left"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49" fontId="3" fillId="7" borderId="10" xfId="0" applyNumberFormat="1" applyFont="1" applyFill="1" applyBorder="1" applyAlignment="1">
      <alignment horizontal="center" vertical="top" wrapText="1"/>
    </xf>
    <xf numFmtId="49" fontId="4" fillId="4" borderId="36" xfId="0" applyNumberFormat="1" applyFont="1" applyFill="1" applyBorder="1" applyAlignment="1">
      <alignment horizontal="center" vertical="top"/>
    </xf>
    <xf numFmtId="49" fontId="4" fillId="4" borderId="38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vertical="top" wrapText="1"/>
    </xf>
    <xf numFmtId="0" fontId="1" fillId="0" borderId="33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33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3" fontId="4" fillId="8" borderId="70" xfId="0" applyNumberFormat="1" applyFont="1" applyFill="1" applyBorder="1" applyAlignment="1">
      <alignment horizontal="center" vertical="top"/>
    </xf>
    <xf numFmtId="3" fontId="5" fillId="8" borderId="44" xfId="0" applyNumberFormat="1" applyFont="1" applyFill="1" applyBorder="1" applyAlignment="1">
      <alignment horizontal="center" vertical="top" wrapText="1"/>
    </xf>
    <xf numFmtId="3" fontId="5" fillId="7" borderId="45" xfId="0" applyNumberFormat="1" applyFont="1" applyFill="1" applyBorder="1" applyAlignment="1">
      <alignment horizontal="center" vertical="top" wrapText="1"/>
    </xf>
    <xf numFmtId="3" fontId="5" fillId="0" borderId="57" xfId="0" applyNumberFormat="1" applyFont="1" applyFill="1" applyBorder="1" applyAlignment="1">
      <alignment horizontal="center" vertical="top"/>
    </xf>
    <xf numFmtId="3" fontId="1" fillId="8" borderId="28" xfId="0" applyNumberFormat="1" applyFont="1" applyFill="1" applyBorder="1" applyAlignment="1">
      <alignment horizontal="center" vertical="top"/>
    </xf>
    <xf numFmtId="3" fontId="1" fillId="4" borderId="57" xfId="0" applyNumberFormat="1" applyFont="1" applyFill="1" applyBorder="1" applyAlignment="1">
      <alignment horizontal="center" vertical="top" wrapText="1"/>
    </xf>
    <xf numFmtId="3" fontId="1" fillId="4" borderId="30" xfId="0" applyNumberFormat="1" applyFont="1" applyFill="1" applyBorder="1" applyAlignment="1">
      <alignment horizontal="center" vertical="top" wrapText="1"/>
    </xf>
    <xf numFmtId="3" fontId="5" fillId="4" borderId="27" xfId="0" applyNumberFormat="1" applyFont="1" applyFill="1" applyBorder="1" applyAlignment="1">
      <alignment horizontal="center" vertical="top" wrapText="1"/>
    </xf>
    <xf numFmtId="3" fontId="1" fillId="8" borderId="29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4" fillId="3" borderId="36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Border="1" applyAlignment="1">
      <alignment horizontal="center" vertical="top"/>
    </xf>
    <xf numFmtId="49" fontId="10" fillId="2" borderId="18" xfId="0" applyNumberFormat="1" applyFont="1" applyFill="1" applyBorder="1" applyAlignment="1">
      <alignment horizontal="center" vertical="top"/>
    </xf>
    <xf numFmtId="49" fontId="10" fillId="3" borderId="5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/>
    </xf>
    <xf numFmtId="49" fontId="10" fillId="3" borderId="15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 wrapText="1"/>
    </xf>
    <xf numFmtId="49" fontId="10" fillId="3" borderId="15" xfId="0" applyNumberFormat="1" applyFont="1" applyFill="1" applyBorder="1" applyAlignment="1">
      <alignment horizontal="center" vertical="top" wrapText="1"/>
    </xf>
    <xf numFmtId="49" fontId="10" fillId="4" borderId="34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4" borderId="34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7" borderId="38" xfId="0" applyFont="1" applyFill="1" applyBorder="1" applyAlignment="1">
      <alignment horizontal="center" vertical="top" wrapText="1"/>
    </xf>
    <xf numFmtId="0" fontId="6" fillId="4" borderId="38" xfId="0" applyFont="1" applyFill="1" applyBorder="1" applyAlignment="1">
      <alignment horizontal="center" vertical="top" wrapText="1"/>
    </xf>
    <xf numFmtId="49" fontId="10" fillId="2" borderId="8" xfId="0" applyNumberFormat="1" applyFont="1" applyFill="1" applyBorder="1" applyAlignment="1">
      <alignment horizontal="center" vertical="top"/>
    </xf>
    <xf numFmtId="49" fontId="10" fillId="3" borderId="9" xfId="0" applyNumberFormat="1" applyFont="1" applyFill="1" applyBorder="1" applyAlignment="1">
      <alignment horizontal="center" vertical="top"/>
    </xf>
    <xf numFmtId="49" fontId="10" fillId="2" borderId="18" xfId="0" applyNumberFormat="1" applyFont="1" applyFill="1" applyBorder="1" applyAlignment="1">
      <alignment horizontal="center" vertical="top" wrapText="1"/>
    </xf>
    <xf numFmtId="49" fontId="10" fillId="3" borderId="5" xfId="0" applyNumberFormat="1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0" fontId="6" fillId="3" borderId="37" xfId="0" applyFont="1" applyFill="1" applyBorder="1" applyAlignment="1">
      <alignment horizontal="center" vertical="top" wrapText="1"/>
    </xf>
    <xf numFmtId="0" fontId="6" fillId="4" borderId="80" xfId="0" applyFont="1" applyFill="1" applyBorder="1" applyAlignment="1">
      <alignment horizontal="center" vertical="top" wrapText="1"/>
    </xf>
    <xf numFmtId="49" fontId="4" fillId="5" borderId="19" xfId="0" applyNumberFormat="1" applyFont="1" applyFill="1" applyBorder="1" applyAlignment="1">
      <alignment horizontal="center" vertical="top"/>
    </xf>
    <xf numFmtId="49" fontId="4" fillId="7" borderId="0" xfId="0" applyNumberFormat="1" applyFont="1" applyFill="1" applyBorder="1" applyAlignment="1">
      <alignment horizontal="center" vertical="top"/>
    </xf>
    <xf numFmtId="49" fontId="3" fillId="7" borderId="0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vertical="top" wrapText="1"/>
    </xf>
    <xf numFmtId="0" fontId="1" fillId="0" borderId="33" xfId="0" applyNumberFormat="1" applyFont="1" applyFill="1" applyBorder="1" applyAlignment="1">
      <alignment vertical="top" wrapText="1"/>
    </xf>
    <xf numFmtId="0" fontId="1" fillId="0" borderId="35" xfId="0" applyFont="1" applyFill="1" applyBorder="1" applyAlignment="1">
      <alignment horizontal="left" vertical="top" wrapText="1"/>
    </xf>
    <xf numFmtId="0" fontId="14" fillId="0" borderId="18" xfId="0" applyFont="1" applyBorder="1" applyAlignment="1">
      <alignment vertical="top" wrapText="1"/>
    </xf>
    <xf numFmtId="0" fontId="14" fillId="0" borderId="7" xfId="0" applyFont="1" applyBorder="1" applyAlignment="1">
      <alignment horizontal="center" vertical="top"/>
    </xf>
    <xf numFmtId="0" fontId="1" fillId="0" borderId="46" xfId="0" applyNumberFormat="1" applyFont="1" applyFill="1" applyBorder="1" applyAlignment="1">
      <alignment horizontal="center" vertical="top" wrapText="1"/>
    </xf>
    <xf numFmtId="0" fontId="5" fillId="0" borderId="26" xfId="0" applyFont="1" applyBorder="1" applyAlignment="1">
      <alignment vertical="top"/>
    </xf>
    <xf numFmtId="0" fontId="14" fillId="0" borderId="0" xfId="0" applyFont="1" applyAlignment="1">
      <alignment vertical="top" wrapText="1"/>
    </xf>
    <xf numFmtId="0" fontId="5" fillId="0" borderId="45" xfId="0" applyFont="1" applyBorder="1" applyAlignment="1">
      <alignment vertical="top" wrapText="1"/>
    </xf>
    <xf numFmtId="0" fontId="5" fillId="0" borderId="49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164" fontId="1" fillId="0" borderId="28" xfId="0" applyNumberFormat="1" applyFont="1" applyBorder="1" applyAlignment="1">
      <alignment vertical="top" wrapText="1"/>
    </xf>
    <xf numFmtId="3" fontId="1" fillId="4" borderId="18" xfId="0" applyNumberFormat="1" applyFont="1" applyFill="1" applyBorder="1" applyAlignment="1">
      <alignment horizontal="center" vertical="top" wrapText="1"/>
    </xf>
    <xf numFmtId="3" fontId="1" fillId="4" borderId="35" xfId="0" applyNumberFormat="1" applyFont="1" applyFill="1" applyBorder="1" applyAlignment="1">
      <alignment horizontal="center" vertical="top" wrapText="1"/>
    </xf>
    <xf numFmtId="0" fontId="14" fillId="0" borderId="48" xfId="0" applyFont="1" applyFill="1" applyBorder="1" applyAlignment="1">
      <alignment horizontal="left" vertical="top" wrapText="1"/>
    </xf>
    <xf numFmtId="0" fontId="14" fillId="0" borderId="44" xfId="0" applyFont="1" applyFill="1" applyBorder="1" applyAlignment="1">
      <alignment horizontal="left" vertical="top" wrapText="1"/>
    </xf>
    <xf numFmtId="0" fontId="5" fillId="0" borderId="46" xfId="0" applyFont="1" applyBorder="1" applyAlignment="1">
      <alignment vertical="top" wrapText="1"/>
    </xf>
    <xf numFmtId="0" fontId="14" fillId="0" borderId="50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center" vertical="top" wrapText="1"/>
    </xf>
    <xf numFmtId="0" fontId="2" fillId="0" borderId="48" xfId="0" applyFont="1" applyBorder="1"/>
    <xf numFmtId="3" fontId="4" fillId="8" borderId="3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58" xfId="0" applyNumberFormat="1" applyFont="1" applyFill="1" applyBorder="1" applyAlignment="1">
      <alignment horizontal="center" vertical="top"/>
    </xf>
    <xf numFmtId="3" fontId="5" fillId="8" borderId="72" xfId="0" applyNumberFormat="1" applyFont="1" applyFill="1" applyBorder="1" applyAlignment="1">
      <alignment horizontal="center" vertical="top"/>
    </xf>
    <xf numFmtId="3" fontId="5" fillId="8" borderId="75" xfId="0" applyNumberFormat="1" applyFont="1" applyFill="1" applyBorder="1" applyAlignment="1">
      <alignment horizontal="center" vertical="top"/>
    </xf>
    <xf numFmtId="3" fontId="4" fillId="8" borderId="8" xfId="0" applyNumberFormat="1" applyFont="1" applyFill="1" applyBorder="1" applyAlignment="1">
      <alignment horizontal="center" vertical="top"/>
    </xf>
    <xf numFmtId="3" fontId="5" fillId="8" borderId="13" xfId="0" applyNumberFormat="1" applyFont="1" applyFill="1" applyBorder="1" applyAlignment="1">
      <alignment horizontal="center" vertical="top"/>
    </xf>
    <xf numFmtId="3" fontId="5" fillId="8" borderId="12" xfId="0" applyNumberFormat="1" applyFont="1" applyFill="1" applyBorder="1" applyAlignment="1">
      <alignment horizontal="center" vertical="top"/>
    </xf>
    <xf numFmtId="3" fontId="1" fillId="7" borderId="6" xfId="0" applyNumberFormat="1" applyFont="1" applyFill="1" applyBorder="1" applyAlignment="1">
      <alignment horizontal="center" vertical="top"/>
    </xf>
    <xf numFmtId="3" fontId="4" fillId="3" borderId="19" xfId="0" applyNumberFormat="1" applyFont="1" applyFill="1" applyBorder="1" applyAlignment="1">
      <alignment horizontal="center" vertical="top"/>
    </xf>
    <xf numFmtId="3" fontId="4" fillId="3" borderId="62" xfId="0" applyNumberFormat="1" applyFont="1" applyFill="1" applyBorder="1" applyAlignment="1">
      <alignment horizontal="center" vertical="top"/>
    </xf>
    <xf numFmtId="3" fontId="5" fillId="7" borderId="75" xfId="0" applyNumberFormat="1" applyFont="1" applyFill="1" applyBorder="1" applyAlignment="1">
      <alignment horizontal="center" vertical="top" wrapText="1"/>
    </xf>
    <xf numFmtId="3" fontId="5" fillId="0" borderId="42" xfId="0" applyNumberFormat="1" applyFont="1" applyFill="1" applyBorder="1" applyAlignment="1">
      <alignment horizontal="center" vertical="top"/>
    </xf>
    <xf numFmtId="3" fontId="5" fillId="8" borderId="12" xfId="0" applyNumberFormat="1" applyFont="1" applyFill="1" applyBorder="1" applyAlignment="1">
      <alignment horizontal="center" vertical="top" wrapText="1"/>
    </xf>
    <xf numFmtId="3" fontId="1" fillId="8" borderId="13" xfId="0" applyNumberFormat="1" applyFont="1" applyFill="1" applyBorder="1" applyAlignment="1">
      <alignment horizontal="center" vertical="top"/>
    </xf>
    <xf numFmtId="3" fontId="5" fillId="8" borderId="35" xfId="0" applyNumberFormat="1" applyFont="1" applyFill="1" applyBorder="1" applyAlignment="1">
      <alignment horizontal="center" vertical="top" wrapText="1"/>
    </xf>
    <xf numFmtId="3" fontId="5" fillId="8" borderId="41" xfId="0" applyNumberFormat="1" applyFont="1" applyFill="1" applyBorder="1" applyAlignment="1">
      <alignment horizontal="center" vertical="top" wrapText="1"/>
    </xf>
    <xf numFmtId="3" fontId="3" fillId="8" borderId="35" xfId="0" applyNumberFormat="1" applyFont="1" applyFill="1" applyBorder="1" applyAlignment="1">
      <alignment horizontal="center" vertical="top"/>
    </xf>
    <xf numFmtId="3" fontId="1" fillId="8" borderId="43" xfId="0" applyNumberFormat="1" applyFont="1" applyFill="1" applyBorder="1" applyAlignment="1">
      <alignment horizontal="center" vertical="top" wrapText="1"/>
    </xf>
    <xf numFmtId="3" fontId="4" fillId="8" borderId="41" xfId="0" applyNumberFormat="1" applyFont="1" applyFill="1" applyBorder="1" applyAlignment="1">
      <alignment horizontal="center" vertical="top"/>
    </xf>
    <xf numFmtId="3" fontId="10" fillId="8" borderId="67" xfId="0" applyNumberFormat="1" applyFont="1" applyFill="1" applyBorder="1" applyAlignment="1">
      <alignment horizontal="center" vertical="top" wrapText="1"/>
    </xf>
    <xf numFmtId="3" fontId="4" fillId="8" borderId="64" xfId="0" applyNumberFormat="1" applyFont="1" applyFill="1" applyBorder="1" applyAlignment="1">
      <alignment horizontal="center" vertical="top"/>
    </xf>
    <xf numFmtId="3" fontId="10" fillId="8" borderId="63" xfId="0" applyNumberFormat="1" applyFont="1" applyFill="1" applyBorder="1" applyAlignment="1">
      <alignment horizontal="center" vertical="top" wrapText="1"/>
    </xf>
    <xf numFmtId="3" fontId="1" fillId="8" borderId="10" xfId="0" applyNumberFormat="1" applyFont="1" applyFill="1" applyBorder="1" applyAlignment="1">
      <alignment horizontal="center" vertical="top" wrapText="1"/>
    </xf>
    <xf numFmtId="3" fontId="1" fillId="8" borderId="6" xfId="0" applyNumberFormat="1" applyFont="1" applyFill="1" applyBorder="1" applyAlignment="1">
      <alignment horizontal="center" vertical="top" wrapText="1"/>
    </xf>
    <xf numFmtId="3" fontId="2" fillId="0" borderId="34" xfId="0" applyNumberFormat="1" applyFont="1" applyBorder="1"/>
    <xf numFmtId="1" fontId="1" fillId="0" borderId="42" xfId="0" applyNumberFormat="1" applyFont="1" applyFill="1" applyBorder="1" applyAlignment="1">
      <alignment horizontal="center" vertical="top"/>
    </xf>
    <xf numFmtId="3" fontId="17" fillId="0" borderId="13" xfId="0" applyNumberFormat="1" applyFont="1" applyBorder="1" applyAlignment="1">
      <alignment horizontal="center" vertical="top"/>
    </xf>
    <xf numFmtId="3" fontId="17" fillId="0" borderId="10" xfId="0" applyNumberFormat="1" applyFont="1" applyBorder="1" applyAlignment="1">
      <alignment horizontal="center" vertical="top"/>
    </xf>
    <xf numFmtId="3" fontId="17" fillId="7" borderId="13" xfId="0" applyNumberFormat="1" applyFont="1" applyFill="1" applyBorder="1" applyAlignment="1">
      <alignment horizontal="center" vertical="top"/>
    </xf>
    <xf numFmtId="3" fontId="17" fillId="7" borderId="22" xfId="0" applyNumberFormat="1" applyFont="1" applyFill="1" applyBorder="1" applyAlignment="1">
      <alignment horizontal="center" vertical="top" wrapText="1"/>
    </xf>
    <xf numFmtId="3" fontId="17" fillId="7" borderId="45" xfId="0" applyNumberFormat="1" applyFont="1" applyFill="1" applyBorder="1" applyAlignment="1">
      <alignment horizontal="center" vertical="top"/>
    </xf>
    <xf numFmtId="3" fontId="17" fillId="0" borderId="57" xfId="0" applyNumberFormat="1" applyFont="1" applyBorder="1" applyAlignment="1">
      <alignment horizontal="center" vertical="top"/>
    </xf>
    <xf numFmtId="3" fontId="17" fillId="7" borderId="15" xfId="0" applyNumberFormat="1" applyFont="1" applyFill="1" applyBorder="1" applyAlignment="1">
      <alignment horizontal="center" vertical="top"/>
    </xf>
    <xf numFmtId="3" fontId="17" fillId="0" borderId="22" xfId="0" applyNumberFormat="1" applyFont="1" applyBorder="1" applyAlignment="1">
      <alignment horizontal="center" vertical="top"/>
    </xf>
    <xf numFmtId="3" fontId="17" fillId="7" borderId="57" xfId="0" applyNumberFormat="1" applyFont="1" applyFill="1" applyBorder="1" applyAlignment="1">
      <alignment horizontal="center" vertical="top"/>
    </xf>
    <xf numFmtId="3" fontId="1" fillId="0" borderId="57" xfId="0" applyNumberFormat="1" applyFont="1" applyBorder="1" applyAlignment="1">
      <alignment horizontal="center" vertical="top"/>
    </xf>
    <xf numFmtId="3" fontId="1" fillId="8" borderId="44" xfId="0" applyNumberFormat="1" applyFont="1" applyFill="1" applyBorder="1" applyAlignment="1">
      <alignment horizontal="center" vertical="top"/>
    </xf>
    <xf numFmtId="3" fontId="1" fillId="8" borderId="14" xfId="0" applyNumberFormat="1" applyFont="1" applyFill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3" fontId="3" fillId="3" borderId="21" xfId="0" applyNumberFormat="1" applyFont="1" applyFill="1" applyBorder="1" applyAlignment="1">
      <alignment horizontal="center" vertical="top"/>
    </xf>
    <xf numFmtId="3" fontId="3" fillId="2" borderId="21" xfId="0" applyNumberFormat="1" applyFont="1" applyFill="1" applyBorder="1" applyAlignment="1">
      <alignment horizontal="center" vertical="top"/>
    </xf>
    <xf numFmtId="3" fontId="3" fillId="5" borderId="38" xfId="0" applyNumberFormat="1" applyFont="1" applyFill="1" applyBorder="1" applyAlignment="1">
      <alignment horizontal="center" vertical="top"/>
    </xf>
    <xf numFmtId="3" fontId="5" fillId="4" borderId="41" xfId="0" applyNumberFormat="1" applyFont="1" applyFill="1" applyBorder="1" applyAlignment="1">
      <alignment horizontal="center" vertical="top" wrapText="1"/>
    </xf>
    <xf numFmtId="3" fontId="5" fillId="4" borderId="6" xfId="0" applyNumberFormat="1" applyFont="1" applyFill="1" applyBorder="1" applyAlignment="1">
      <alignment horizontal="center" vertical="top" wrapText="1"/>
    </xf>
    <xf numFmtId="49" fontId="3" fillId="7" borderId="10" xfId="0" applyNumberFormat="1" applyFont="1" applyFill="1" applyBorder="1" applyAlignment="1">
      <alignment horizontal="center" vertical="top" wrapText="1"/>
    </xf>
    <xf numFmtId="49" fontId="5" fillId="7" borderId="73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73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10" fillId="4" borderId="36" xfId="0" applyNumberFormat="1" applyFont="1" applyFill="1" applyBorder="1" applyAlignment="1">
      <alignment horizontal="center" vertical="top" wrapText="1"/>
    </xf>
    <xf numFmtId="3" fontId="1" fillId="8" borderId="73" xfId="0" applyNumberFormat="1" applyFont="1" applyFill="1" applyBorder="1" applyAlignment="1">
      <alignment horizontal="center" vertical="top"/>
    </xf>
    <xf numFmtId="0" fontId="5" fillId="0" borderId="49" xfId="0" applyFont="1" applyBorder="1" applyAlignment="1">
      <alignment horizontal="center" vertical="top"/>
    </xf>
    <xf numFmtId="3" fontId="1" fillId="0" borderId="10" xfId="0" applyNumberFormat="1" applyFont="1" applyBorder="1" applyAlignment="1">
      <alignment horizontal="center" vertical="top"/>
    </xf>
    <xf numFmtId="3" fontId="1" fillId="0" borderId="13" xfId="0" applyNumberFormat="1" applyFont="1" applyBorder="1" applyAlignment="1">
      <alignment horizontal="center" vertical="top"/>
    </xf>
    <xf numFmtId="0" fontId="5" fillId="0" borderId="18" xfId="0" applyFont="1" applyBorder="1" applyAlignment="1">
      <alignment vertical="top" wrapText="1"/>
    </xf>
    <xf numFmtId="0" fontId="5" fillId="0" borderId="49" xfId="0" applyFont="1" applyBorder="1" applyAlignment="1">
      <alignment horizontal="center" vertical="top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center" vertical="top" wrapText="1"/>
    </xf>
    <xf numFmtId="49" fontId="5" fillId="7" borderId="73" xfId="0" applyNumberFormat="1" applyFont="1" applyFill="1" applyBorder="1" applyAlignment="1">
      <alignment horizontal="left" vertical="top" wrapText="1"/>
    </xf>
    <xf numFmtId="49" fontId="3" fillId="0" borderId="73" xfId="0" applyNumberFormat="1" applyFont="1" applyFill="1" applyBorder="1" applyAlignment="1">
      <alignment horizontal="center" vertical="top" wrapText="1"/>
    </xf>
    <xf numFmtId="49" fontId="10" fillId="4" borderId="34" xfId="0" applyNumberFormat="1" applyFont="1" applyFill="1" applyBorder="1" applyAlignment="1">
      <alignment horizontal="center" vertical="top" wrapText="1"/>
    </xf>
    <xf numFmtId="49" fontId="4" fillId="0" borderId="43" xfId="0" applyNumberFormat="1" applyFont="1" applyFill="1" applyBorder="1" applyAlignment="1">
      <alignment vertical="center" textRotation="90" wrapText="1"/>
    </xf>
    <xf numFmtId="0" fontId="4" fillId="8" borderId="13" xfId="0" applyFont="1" applyFill="1" applyBorder="1" applyAlignment="1">
      <alignment horizontal="center" vertical="top"/>
    </xf>
    <xf numFmtId="3" fontId="4" fillId="8" borderId="45" xfId="0" applyNumberFormat="1" applyFont="1" applyFill="1" applyBorder="1" applyAlignment="1">
      <alignment horizontal="center" vertical="top"/>
    </xf>
    <xf numFmtId="3" fontId="4" fillId="8" borderId="57" xfId="0" applyNumberFormat="1" applyFont="1" applyFill="1" applyBorder="1" applyAlignment="1">
      <alignment horizontal="center" vertical="top" wrapText="1"/>
    </xf>
    <xf numFmtId="3" fontId="4" fillId="8" borderId="35" xfId="0" applyNumberFormat="1" applyFont="1" applyFill="1" applyBorder="1" applyAlignment="1">
      <alignment horizontal="center" vertical="top" wrapText="1"/>
    </xf>
    <xf numFmtId="3" fontId="4" fillId="8" borderId="13" xfId="0" applyNumberFormat="1" applyFont="1" applyFill="1" applyBorder="1" applyAlignment="1">
      <alignment horizontal="center" vertical="top" wrapText="1"/>
    </xf>
    <xf numFmtId="0" fontId="1" fillId="0" borderId="53" xfId="0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vertical="top" wrapText="1"/>
    </xf>
    <xf numFmtId="49" fontId="4" fillId="2" borderId="52" xfId="0" applyNumberFormat="1" applyFont="1" applyFill="1" applyBorder="1" applyAlignment="1">
      <alignment horizontal="center" vertical="top"/>
    </xf>
    <xf numFmtId="49" fontId="4" fillId="3" borderId="37" xfId="0" applyNumberFormat="1" applyFont="1" applyFill="1" applyBorder="1" applyAlignment="1">
      <alignment horizontal="center" vertical="top"/>
    </xf>
    <xf numFmtId="49" fontId="4" fillId="4" borderId="80" xfId="0" applyNumberFormat="1" applyFont="1" applyFill="1" applyBorder="1" applyAlignment="1">
      <alignment horizontal="center" vertical="top"/>
    </xf>
    <xf numFmtId="0" fontId="4" fillId="0" borderId="52" xfId="0" applyFont="1" applyFill="1" applyBorder="1" applyAlignment="1">
      <alignment vertical="top" wrapText="1"/>
    </xf>
    <xf numFmtId="0" fontId="4" fillId="0" borderId="73" xfId="0" applyNumberFormat="1" applyFont="1" applyBorder="1" applyAlignment="1">
      <alignment vertical="top"/>
    </xf>
    <xf numFmtId="3" fontId="5" fillId="0" borderId="77" xfId="0" applyNumberFormat="1" applyFont="1" applyFill="1" applyBorder="1" applyAlignment="1">
      <alignment horizontal="center" vertical="top"/>
    </xf>
    <xf numFmtId="3" fontId="5" fillId="8" borderId="73" xfId="0" applyNumberFormat="1" applyFont="1" applyFill="1" applyBorder="1" applyAlignment="1">
      <alignment horizontal="center" vertical="top"/>
    </xf>
    <xf numFmtId="3" fontId="5" fillId="0" borderId="76" xfId="0" applyNumberFormat="1" applyFont="1" applyFill="1" applyBorder="1" applyAlignment="1">
      <alignment horizontal="center" vertical="top"/>
    </xf>
    <xf numFmtId="3" fontId="5" fillId="0" borderId="73" xfId="0" applyNumberFormat="1" applyFont="1" applyFill="1" applyBorder="1" applyAlignment="1">
      <alignment horizontal="center" vertical="top"/>
    </xf>
    <xf numFmtId="0" fontId="15" fillId="0" borderId="52" xfId="0" applyFont="1" applyFill="1" applyBorder="1" applyAlignment="1">
      <alignment horizontal="left" vertical="top" wrapText="1"/>
    </xf>
    <xf numFmtId="164" fontId="5" fillId="0" borderId="52" xfId="0" applyNumberFormat="1" applyFont="1" applyFill="1" applyBorder="1" applyAlignment="1">
      <alignment horizontal="left" vertical="top" wrapText="1"/>
    </xf>
    <xf numFmtId="0" fontId="5" fillId="7" borderId="53" xfId="0" applyNumberFormat="1" applyFont="1" applyFill="1" applyBorder="1" applyAlignment="1">
      <alignment horizontal="center" vertical="top"/>
    </xf>
    <xf numFmtId="0" fontId="6" fillId="2" borderId="41" xfId="0" applyFont="1" applyFill="1" applyBorder="1" applyAlignment="1">
      <alignment horizontal="center" vertical="top" wrapText="1"/>
    </xf>
    <xf numFmtId="0" fontId="6" fillId="3" borderId="29" xfId="0" applyFont="1" applyFill="1" applyBorder="1" applyAlignment="1">
      <alignment horizontal="center" vertical="top" wrapText="1"/>
    </xf>
    <xf numFmtId="0" fontId="6" fillId="4" borderId="56" xfId="0" applyFont="1" applyFill="1" applyBorder="1" applyAlignment="1">
      <alignment horizontal="center" vertical="top" wrapText="1"/>
    </xf>
    <xf numFmtId="3" fontId="5" fillId="0" borderId="73" xfId="0" applyNumberFormat="1" applyFont="1" applyBorder="1" applyAlignment="1">
      <alignment horizontal="center" vertical="top"/>
    </xf>
    <xf numFmtId="49" fontId="5" fillId="0" borderId="28" xfId="0" applyNumberFormat="1" applyFont="1" applyFill="1" applyBorder="1" applyAlignment="1">
      <alignment vertical="center" textRotation="90" wrapText="1"/>
    </xf>
    <xf numFmtId="49" fontId="4" fillId="0" borderId="12" xfId="0" applyNumberFormat="1" applyFont="1" applyFill="1" applyBorder="1" applyAlignment="1">
      <alignment horizontal="center" vertical="top" wrapText="1"/>
    </xf>
    <xf numFmtId="3" fontId="5" fillId="8" borderId="28" xfId="0" applyNumberFormat="1" applyFont="1" applyFill="1" applyBorder="1" applyAlignment="1">
      <alignment horizontal="center" vertical="top"/>
    </xf>
    <xf numFmtId="1" fontId="5" fillId="0" borderId="35" xfId="0" applyNumberFormat="1" applyFont="1" applyBorder="1" applyAlignment="1">
      <alignment horizontal="center" vertical="top"/>
    </xf>
    <xf numFmtId="1" fontId="5" fillId="0" borderId="42" xfId="0" applyNumberFormat="1" applyFont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49" fontId="4" fillId="4" borderId="36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top"/>
    </xf>
    <xf numFmtId="49" fontId="10" fillId="4" borderId="36" xfId="0" applyNumberFormat="1" applyFont="1" applyFill="1" applyBorder="1" applyAlignment="1">
      <alignment vertical="top" wrapText="1"/>
    </xf>
    <xf numFmtId="49" fontId="10" fillId="4" borderId="34" xfId="0" applyNumberFormat="1" applyFont="1" applyFill="1" applyBorder="1" applyAlignment="1">
      <alignment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49" fontId="3" fillId="7" borderId="10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164" fontId="5" fillId="0" borderId="28" xfId="0" applyNumberFormat="1" applyFont="1" applyFill="1" applyBorder="1" applyAlignment="1">
      <alignment horizontal="left" vertical="top" wrapText="1"/>
    </xf>
    <xf numFmtId="49" fontId="5" fillId="7" borderId="10" xfId="0" applyNumberFormat="1" applyFont="1" applyFill="1" applyBorder="1" applyAlignment="1">
      <alignment horizontal="left" vertical="top" wrapText="1"/>
    </xf>
    <xf numFmtId="49" fontId="5" fillId="7" borderId="12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5" fillId="0" borderId="36" xfId="0" applyNumberFormat="1" applyFont="1" applyBorder="1" applyAlignment="1">
      <alignment horizontal="center"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3" xfId="0" applyNumberFormat="1" applyFont="1" applyBorder="1" applyAlignment="1">
      <alignment horizontal="center" vertical="top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3" fontId="5" fillId="0" borderId="77" xfId="0" applyNumberFormat="1" applyFont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 wrapText="1"/>
    </xf>
    <xf numFmtId="3" fontId="5" fillId="4" borderId="22" xfId="0" applyNumberFormat="1" applyFont="1" applyFill="1" applyBorder="1" applyAlignment="1">
      <alignment horizontal="center" vertical="top" wrapText="1"/>
    </xf>
    <xf numFmtId="3" fontId="5" fillId="8" borderId="10" xfId="0" applyNumberFormat="1" applyFont="1" applyFill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/>
    </xf>
    <xf numFmtId="0" fontId="12" fillId="0" borderId="4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49" fontId="5" fillId="7" borderId="12" xfId="0" applyNumberFormat="1" applyFont="1" applyFill="1" applyBorder="1" applyAlignment="1">
      <alignment horizontal="left" vertical="top" wrapText="1"/>
    </xf>
    <xf numFmtId="49" fontId="5" fillId="7" borderId="17" xfId="0" applyNumberFormat="1" applyFont="1" applyFill="1" applyBorder="1" applyAlignment="1">
      <alignment horizontal="left" vertical="top" wrapText="1"/>
    </xf>
    <xf numFmtId="164" fontId="5" fillId="0" borderId="28" xfId="0" applyNumberFormat="1" applyFont="1" applyFill="1" applyBorder="1" applyAlignment="1">
      <alignment horizontal="left" vertical="top" wrapText="1"/>
    </xf>
    <xf numFmtId="164" fontId="5" fillId="0" borderId="23" xfId="0" applyNumberFormat="1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1" fontId="6" fillId="0" borderId="18" xfId="0" applyNumberFormat="1" applyFont="1" applyBorder="1" applyAlignment="1">
      <alignment horizontal="center" vertical="center" textRotation="90" wrapText="1"/>
    </xf>
    <xf numFmtId="1" fontId="6" fillId="0" borderId="26" xfId="0" applyNumberFormat="1" applyFont="1" applyBorder="1" applyAlignment="1">
      <alignment horizontal="center" vertical="center" textRotation="90" wrapText="1"/>
    </xf>
    <xf numFmtId="1" fontId="6" fillId="0" borderId="27" xfId="0" applyNumberFormat="1" applyFont="1" applyBorder="1" applyAlignment="1">
      <alignment horizontal="center" vertical="center" textRotation="90" wrapText="1"/>
    </xf>
    <xf numFmtId="1" fontId="6" fillId="0" borderId="4" xfId="0" applyNumberFormat="1" applyFont="1" applyBorder="1" applyAlignment="1">
      <alignment horizontal="center" vertical="center" textRotation="90" wrapText="1"/>
    </xf>
    <xf numFmtId="1" fontId="6" fillId="0" borderId="0" xfId="0" applyNumberFormat="1" applyFont="1" applyBorder="1" applyAlignment="1">
      <alignment horizontal="center" vertical="center" textRotation="90" wrapText="1"/>
    </xf>
    <xf numFmtId="1" fontId="6" fillId="0" borderId="22" xfId="0" applyNumberFormat="1" applyFont="1" applyBorder="1" applyAlignment="1">
      <alignment horizontal="center" vertical="center" textRotation="90" wrapText="1"/>
    </xf>
    <xf numFmtId="1" fontId="6" fillId="0" borderId="8" xfId="0" applyNumberFormat="1" applyFont="1" applyBorder="1" applyAlignment="1">
      <alignment horizontal="center" vertical="center" textRotation="90" wrapText="1"/>
    </xf>
    <xf numFmtId="1" fontId="6" fillId="0" borderId="32" xfId="0" applyNumberFormat="1" applyFont="1" applyBorder="1" applyAlignment="1">
      <alignment horizontal="center" vertical="center" textRotation="90" wrapText="1"/>
    </xf>
    <xf numFmtId="1" fontId="6" fillId="0" borderId="24" xfId="0" applyNumberFormat="1" applyFont="1" applyBorder="1" applyAlignment="1">
      <alignment horizontal="center" vertical="center" textRotation="90" wrapText="1"/>
    </xf>
    <xf numFmtId="3" fontId="5" fillId="0" borderId="6" xfId="0" applyNumberFormat="1" applyFont="1" applyBorder="1" applyAlignment="1">
      <alignment horizontal="center" vertical="center" textRotation="90" wrapText="1"/>
    </xf>
    <xf numFmtId="3" fontId="5" fillId="0" borderId="10" xfId="0" applyNumberFormat="1" applyFont="1" applyBorder="1" applyAlignment="1">
      <alignment horizontal="center" vertical="center" textRotation="90" wrapText="1"/>
    </xf>
    <xf numFmtId="3" fontId="5" fillId="0" borderId="17" xfId="0" applyNumberFormat="1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5" fillId="0" borderId="57" xfId="0" applyNumberFormat="1" applyFont="1" applyBorder="1" applyAlignment="1">
      <alignment horizontal="center" vertical="center"/>
    </xf>
    <xf numFmtId="49" fontId="3" fillId="6" borderId="19" xfId="0" applyNumberFormat="1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left" vertical="top" wrapText="1"/>
    </xf>
    <xf numFmtId="49" fontId="3" fillId="6" borderId="40" xfId="0" applyNumberFormat="1" applyFont="1" applyFill="1" applyBorder="1" applyAlignment="1">
      <alignment horizontal="left" vertical="top" wrapText="1"/>
    </xf>
    <xf numFmtId="0" fontId="7" fillId="5" borderId="43" xfId="0" applyFont="1" applyFill="1" applyBorder="1" applyAlignment="1">
      <alignment horizontal="left" vertical="top" wrapText="1"/>
    </xf>
    <xf numFmtId="0" fontId="7" fillId="5" borderId="76" xfId="0" applyFont="1" applyFill="1" applyBorder="1" applyAlignment="1">
      <alignment horizontal="left" vertical="top" wrapText="1"/>
    </xf>
    <xf numFmtId="0" fontId="7" fillId="5" borderId="77" xfId="0" applyFont="1" applyFill="1" applyBorder="1" applyAlignment="1">
      <alignment horizontal="left" vertical="top" wrapText="1"/>
    </xf>
    <xf numFmtId="49" fontId="3" fillId="2" borderId="39" xfId="0" applyNumberFormat="1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49" fontId="4" fillId="2" borderId="18" xfId="0" applyNumberFormat="1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49" fontId="4" fillId="4" borderId="26" xfId="0" applyNumberFormat="1" applyFont="1" applyFill="1" applyBorder="1" applyAlignment="1">
      <alignment horizontal="center" vertical="top"/>
    </xf>
    <xf numFmtId="49" fontId="4" fillId="4" borderId="32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49" fontId="3" fillId="0" borderId="25" xfId="0" applyNumberFormat="1" applyFont="1" applyFill="1" applyBorder="1" applyAlignment="1">
      <alignment horizontal="center" vertical="top"/>
    </xf>
    <xf numFmtId="49" fontId="3" fillId="0" borderId="66" xfId="0" applyNumberFormat="1" applyFont="1" applyFill="1" applyBorder="1" applyAlignment="1">
      <alignment horizontal="center" vertical="top"/>
    </xf>
    <xf numFmtId="49" fontId="3" fillId="3" borderId="19" xfId="0" applyNumberFormat="1" applyFont="1" applyFill="1" applyBorder="1" applyAlignment="1">
      <alignment horizontal="right" vertical="top"/>
    </xf>
    <xf numFmtId="49" fontId="3" fillId="3" borderId="39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5" fillId="0" borderId="1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32" xfId="0" applyFont="1" applyBorder="1" applyAlignment="1">
      <alignment horizontal="right" vertical="top"/>
    </xf>
    <xf numFmtId="0" fontId="5" fillId="0" borderId="48" xfId="0" applyFont="1" applyBorder="1" applyAlignment="1">
      <alignment horizontal="center" vertical="center" textRotation="90" wrapText="1"/>
    </xf>
    <xf numFmtId="0" fontId="5" fillId="0" borderId="44" xfId="0" applyFont="1" applyBorder="1" applyAlignment="1">
      <alignment horizontal="center" vertical="center" textRotation="90" wrapText="1"/>
    </xf>
    <xf numFmtId="0" fontId="5" fillId="0" borderId="70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17" xfId="0" applyNumberFormat="1" applyFont="1" applyBorder="1" applyAlignment="1">
      <alignment horizontal="center" vertical="center" textRotation="90" wrapText="1"/>
    </xf>
    <xf numFmtId="3" fontId="1" fillId="0" borderId="6" xfId="0" applyNumberFormat="1" applyFont="1" applyBorder="1" applyAlignment="1">
      <alignment horizontal="center" vertical="center" textRotation="90" wrapText="1"/>
    </xf>
    <xf numFmtId="3" fontId="1" fillId="0" borderId="10" xfId="0" applyNumberFormat="1" applyFont="1" applyBorder="1" applyAlignment="1">
      <alignment horizontal="center" vertical="center" textRotation="90" wrapText="1"/>
    </xf>
    <xf numFmtId="3" fontId="1" fillId="0" borderId="17" xfId="0" applyNumberFormat="1" applyFont="1" applyBorder="1" applyAlignment="1">
      <alignment horizontal="center" vertical="center" textRotation="90" wrapText="1"/>
    </xf>
    <xf numFmtId="0" fontId="5" fillId="0" borderId="36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5" fillId="0" borderId="36" xfId="0" applyNumberFormat="1" applyFont="1" applyBorder="1" applyAlignment="1">
      <alignment horizontal="center"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3" xfId="0" applyNumberFormat="1" applyFont="1" applyBorder="1" applyAlignment="1">
      <alignment horizontal="center" vertical="top"/>
    </xf>
    <xf numFmtId="49" fontId="3" fillId="3" borderId="32" xfId="0" applyNumberFormat="1" applyFont="1" applyFill="1" applyBorder="1" applyAlignment="1">
      <alignment horizontal="right" vertical="top"/>
    </xf>
    <xf numFmtId="164" fontId="4" fillId="3" borderId="19" xfId="0" applyNumberFormat="1" applyFont="1" applyFill="1" applyBorder="1" applyAlignment="1">
      <alignment horizontal="center" vertical="top"/>
    </xf>
    <xf numFmtId="164" fontId="4" fillId="3" borderId="39" xfId="0" applyNumberFormat="1" applyFont="1" applyFill="1" applyBorder="1" applyAlignment="1">
      <alignment horizontal="center" vertical="top"/>
    </xf>
    <xf numFmtId="164" fontId="4" fillId="3" borderId="40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textRotation="90"/>
    </xf>
    <xf numFmtId="49" fontId="4" fillId="0" borderId="10" xfId="0" applyNumberFormat="1" applyFont="1" applyFill="1" applyBorder="1" applyAlignment="1">
      <alignment horizontal="center" vertical="top" textRotation="90"/>
    </xf>
    <xf numFmtId="49" fontId="1" fillId="7" borderId="6" xfId="0" applyNumberFormat="1" applyFont="1" applyFill="1" applyBorder="1" applyAlignment="1">
      <alignment horizontal="left" vertical="top" wrapText="1"/>
    </xf>
    <xf numFmtId="49" fontId="1" fillId="7" borderId="10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Fill="1" applyBorder="1" applyAlignment="1">
      <alignment horizontal="left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49" fontId="1" fillId="7" borderId="17" xfId="0" applyNumberFormat="1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73" xfId="0" applyFont="1" applyFill="1" applyBorder="1" applyAlignment="1">
      <alignment horizontal="left" vertical="top" wrapText="1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40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26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164" fontId="1" fillId="0" borderId="14" xfId="0" applyNumberFormat="1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164" fontId="5" fillId="0" borderId="14" xfId="0" applyNumberFormat="1" applyFont="1" applyFill="1" applyBorder="1" applyAlignment="1">
      <alignment horizontal="left" vertical="top" wrapText="1"/>
    </xf>
    <xf numFmtId="49" fontId="10" fillId="8" borderId="67" xfId="0" applyNumberFormat="1" applyFont="1" applyFill="1" applyBorder="1" applyAlignment="1">
      <alignment horizontal="left" vertical="top" wrapText="1"/>
    </xf>
    <xf numFmtId="49" fontId="10" fillId="8" borderId="69" xfId="0" applyNumberFormat="1" applyFont="1" applyFill="1" applyBorder="1" applyAlignment="1">
      <alignment horizontal="left" vertical="top" wrapText="1"/>
    </xf>
    <xf numFmtId="49" fontId="10" fillId="8" borderId="68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49" fontId="5" fillId="7" borderId="10" xfId="0" applyNumberFormat="1" applyFont="1" applyFill="1" applyBorder="1" applyAlignment="1">
      <alignment horizontal="left" vertical="top" wrapText="1"/>
    </xf>
    <xf numFmtId="49" fontId="5" fillId="7" borderId="73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73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left" vertical="top" wrapText="1"/>
    </xf>
    <xf numFmtId="49" fontId="1" fillId="0" borderId="17" xfId="0" applyNumberFormat="1" applyFont="1" applyFill="1" applyBorder="1" applyAlignment="1">
      <alignment horizontal="left" vertical="top" wrapText="1"/>
    </xf>
    <xf numFmtId="49" fontId="10" fillId="4" borderId="36" xfId="0" applyNumberFormat="1" applyFont="1" applyFill="1" applyBorder="1" applyAlignment="1">
      <alignment vertical="top" wrapText="1"/>
    </xf>
    <xf numFmtId="49" fontId="10" fillId="4" borderId="34" xfId="0" applyNumberFormat="1" applyFont="1" applyFill="1" applyBorder="1" applyAlignment="1">
      <alignment vertical="top" wrapText="1"/>
    </xf>
    <xf numFmtId="49" fontId="10" fillId="4" borderId="38" xfId="0" applyNumberFormat="1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 wrapText="1"/>
    </xf>
    <xf numFmtId="0" fontId="3" fillId="7" borderId="17" xfId="0" applyFont="1" applyFill="1" applyBorder="1" applyAlignment="1">
      <alignment horizontal="left"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49" fontId="3" fillId="7" borderId="10" xfId="0" applyNumberFormat="1" applyFont="1" applyFill="1" applyBorder="1" applyAlignment="1">
      <alignment horizontal="center" vertical="top" wrapText="1"/>
    </xf>
    <xf numFmtId="49" fontId="3" fillId="7" borderId="17" xfId="0" applyNumberFormat="1" applyFont="1" applyFill="1" applyBorder="1" applyAlignment="1">
      <alignment horizontal="center" vertical="top" wrapText="1"/>
    </xf>
    <xf numFmtId="164" fontId="4" fillId="0" borderId="41" xfId="0" applyNumberFormat="1" applyFont="1" applyFill="1" applyBorder="1" applyAlignment="1">
      <alignment horizontal="center" vertical="center" textRotation="90" wrapText="1"/>
    </xf>
    <xf numFmtId="164" fontId="4" fillId="0" borderId="4" xfId="0" applyNumberFormat="1" applyFont="1" applyFill="1" applyBorder="1" applyAlignment="1">
      <alignment horizontal="center" vertical="center" textRotation="90" wrapText="1"/>
    </xf>
    <xf numFmtId="164" fontId="4" fillId="0" borderId="8" xfId="0" applyNumberFormat="1" applyFont="1" applyFill="1" applyBorder="1" applyAlignment="1">
      <alignment horizontal="center" vertical="center" textRotation="90" wrapText="1"/>
    </xf>
    <xf numFmtId="49" fontId="1" fillId="7" borderId="12" xfId="0" applyNumberFormat="1" applyFont="1" applyFill="1" applyBorder="1" applyAlignment="1">
      <alignment horizontal="left" vertical="top" wrapText="1"/>
    </xf>
    <xf numFmtId="49" fontId="1" fillId="7" borderId="73" xfId="0" applyNumberFormat="1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center" textRotation="90" wrapText="1"/>
    </xf>
    <xf numFmtId="49" fontId="4" fillId="0" borderId="23" xfId="0" applyNumberFormat="1" applyFont="1" applyFill="1" applyBorder="1" applyAlignment="1">
      <alignment horizontal="center" vertical="center" textRotation="90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49" fontId="4" fillId="0" borderId="12" xfId="0" applyNumberFormat="1" applyFont="1" applyFill="1" applyBorder="1" applyAlignment="1">
      <alignment horizontal="center" vertical="center" textRotation="90" wrapText="1"/>
    </xf>
    <xf numFmtId="49" fontId="4" fillId="0" borderId="10" xfId="0" applyNumberFormat="1" applyFont="1" applyFill="1" applyBorder="1" applyAlignment="1">
      <alignment horizontal="center" vertical="center" textRotation="90" wrapText="1"/>
    </xf>
    <xf numFmtId="49" fontId="4" fillId="0" borderId="17" xfId="0" applyNumberFormat="1" applyFont="1" applyFill="1" applyBorder="1" applyAlignment="1">
      <alignment horizontal="center" vertical="center" textRotation="90" wrapText="1"/>
    </xf>
    <xf numFmtId="0" fontId="5" fillId="0" borderId="7" xfId="0" applyNumberFormat="1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0" fontId="5" fillId="7" borderId="6" xfId="0" applyFont="1" applyFill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49" fontId="4" fillId="0" borderId="6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0" fontId="5" fillId="7" borderId="11" xfId="0" applyFont="1" applyFill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39" xfId="0" applyFont="1" applyFill="1" applyBorder="1" applyAlignment="1">
      <alignment horizontal="center" vertical="top" wrapText="1"/>
    </xf>
    <xf numFmtId="0" fontId="2" fillId="9" borderId="40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49" fontId="4" fillId="4" borderId="36" xfId="0" applyNumberFormat="1" applyFont="1" applyFill="1" applyBorder="1" applyAlignment="1">
      <alignment horizontal="center" vertical="top"/>
    </xf>
    <xf numFmtId="49" fontId="4" fillId="4" borderId="38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left" vertical="top" wrapText="1"/>
    </xf>
    <xf numFmtId="49" fontId="3" fillId="0" borderId="18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top"/>
    </xf>
    <xf numFmtId="0" fontId="5" fillId="0" borderId="9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 wrapText="1"/>
    </xf>
    <xf numFmtId="1" fontId="5" fillId="0" borderId="35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1" fontId="5" fillId="0" borderId="57" xfId="0" applyNumberFormat="1" applyFont="1" applyBorder="1" applyAlignment="1">
      <alignment horizontal="center"/>
    </xf>
    <xf numFmtId="0" fontId="5" fillId="4" borderId="0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39" xfId="0" applyNumberFormat="1" applyFont="1" applyFill="1" applyBorder="1" applyAlignment="1">
      <alignment horizontal="right" vertical="top"/>
    </xf>
    <xf numFmtId="49" fontId="3" fillId="5" borderId="21" xfId="0" applyNumberFormat="1" applyFont="1" applyFill="1" applyBorder="1" applyAlignment="1">
      <alignment horizontal="right" vertical="top"/>
    </xf>
    <xf numFmtId="49" fontId="3" fillId="5" borderId="39" xfId="0" applyNumberFormat="1" applyFont="1" applyFill="1" applyBorder="1" applyAlignment="1">
      <alignment horizontal="right" vertical="top"/>
    </xf>
    <xf numFmtId="49" fontId="9" fillId="0" borderId="0" xfId="0" applyNumberFormat="1" applyFont="1" applyFill="1" applyBorder="1" applyAlignment="1">
      <alignment horizontal="center" vertical="top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39" xfId="0" applyNumberFormat="1" applyFont="1" applyBorder="1" applyAlignment="1">
      <alignment horizontal="center" vertical="center" wrapText="1"/>
    </xf>
    <xf numFmtId="1" fontId="6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6" xfId="0" applyFont="1" applyBorder="1" applyAlignment="1">
      <alignment horizontal="left" vertical="top"/>
    </xf>
    <xf numFmtId="0" fontId="3" fillId="5" borderId="43" xfId="0" applyFont="1" applyFill="1" applyBorder="1" applyAlignment="1">
      <alignment horizontal="right" vertical="top"/>
    </xf>
    <xf numFmtId="0" fontId="3" fillId="5" borderId="76" xfId="0" applyFont="1" applyFill="1" applyBorder="1" applyAlignment="1">
      <alignment horizontal="right" vertical="top"/>
    </xf>
    <xf numFmtId="0" fontId="3" fillId="5" borderId="77" xfId="0" applyFont="1" applyFill="1" applyBorder="1" applyAlignment="1">
      <alignment horizontal="right" vertical="top"/>
    </xf>
    <xf numFmtId="0" fontId="3" fillId="0" borderId="1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 wrapText="1"/>
    </xf>
    <xf numFmtId="1" fontId="3" fillId="5" borderId="72" xfId="0" applyNumberFormat="1" applyFont="1" applyFill="1" applyBorder="1" applyAlignment="1">
      <alignment horizontal="center" vertical="top" wrapText="1"/>
    </xf>
    <xf numFmtId="1" fontId="3" fillId="5" borderId="75" xfId="0" applyNumberFormat="1" applyFont="1" applyFill="1" applyBorder="1" applyAlignment="1">
      <alignment horizontal="center" vertical="top" wrapText="1"/>
    </xf>
    <xf numFmtId="1" fontId="3" fillId="5" borderId="60" xfId="0" applyNumberFormat="1" applyFont="1" applyFill="1" applyBorder="1" applyAlignment="1">
      <alignment horizontal="center" vertical="top" wrapText="1"/>
    </xf>
    <xf numFmtId="1" fontId="5" fillId="0" borderId="35" xfId="0" applyNumberFormat="1" applyFont="1" applyBorder="1" applyAlignment="1">
      <alignment horizontal="center" vertical="top"/>
    </xf>
    <xf numFmtId="1" fontId="5" fillId="0" borderId="42" xfId="0" applyNumberFormat="1" applyFont="1" applyBorder="1" applyAlignment="1">
      <alignment horizontal="center" vertical="top"/>
    </xf>
    <xf numFmtId="1" fontId="5" fillId="0" borderId="57" xfId="0" applyNumberFormat="1" applyFont="1" applyBorder="1" applyAlignment="1">
      <alignment horizontal="center" vertical="top"/>
    </xf>
    <xf numFmtId="1" fontId="4" fillId="8" borderId="67" xfId="0" applyNumberFormat="1" applyFont="1" applyFill="1" applyBorder="1" applyAlignment="1">
      <alignment horizontal="center" vertical="top"/>
    </xf>
    <xf numFmtId="1" fontId="4" fillId="8" borderId="69" xfId="0" applyNumberFormat="1" applyFont="1" applyFill="1" applyBorder="1" applyAlignment="1">
      <alignment horizontal="center" vertical="top"/>
    </xf>
    <xf numFmtId="1" fontId="4" fillId="8" borderId="68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/>
    </xf>
    <xf numFmtId="0" fontId="3" fillId="8" borderId="8" xfId="0" applyFont="1" applyFill="1" applyBorder="1" applyAlignment="1">
      <alignment horizontal="right" vertical="top"/>
    </xf>
    <xf numFmtId="0" fontId="3" fillId="8" borderId="32" xfId="0" applyFont="1" applyFill="1" applyBorder="1" applyAlignment="1">
      <alignment horizontal="right" vertical="top"/>
    </xf>
    <xf numFmtId="0" fontId="3" fillId="8" borderId="24" xfId="0" applyFont="1" applyFill="1" applyBorder="1" applyAlignment="1">
      <alignment horizontal="right" vertical="top"/>
    </xf>
    <xf numFmtId="1" fontId="5" fillId="0" borderId="35" xfId="0" applyNumberFormat="1" applyFont="1" applyBorder="1" applyAlignment="1">
      <alignment horizontal="center" vertical="top" wrapText="1"/>
    </xf>
    <xf numFmtId="1" fontId="5" fillId="0" borderId="42" xfId="0" applyNumberFormat="1" applyFont="1" applyBorder="1" applyAlignment="1">
      <alignment horizontal="center" vertical="top" wrapText="1"/>
    </xf>
    <xf numFmtId="1" fontId="5" fillId="0" borderId="57" xfId="0" applyNumberFormat="1" applyFont="1" applyBorder="1" applyAlignment="1">
      <alignment horizontal="center" vertical="top" wrapText="1"/>
    </xf>
    <xf numFmtId="1" fontId="4" fillId="5" borderId="35" xfId="0" applyNumberFormat="1" applyFont="1" applyFill="1" applyBorder="1" applyAlignment="1">
      <alignment horizontal="center" vertical="top"/>
    </xf>
    <xf numFmtId="1" fontId="4" fillId="5" borderId="42" xfId="0" applyNumberFormat="1" applyFont="1" applyFill="1" applyBorder="1" applyAlignment="1">
      <alignment horizontal="center" vertical="top"/>
    </xf>
    <xf numFmtId="1" fontId="4" fillId="5" borderId="57" xfId="0" applyNumberFormat="1" applyFont="1" applyFill="1" applyBorder="1" applyAlignment="1">
      <alignment horizontal="center" vertical="top"/>
    </xf>
    <xf numFmtId="1" fontId="1" fillId="0" borderId="35" xfId="0" applyNumberFormat="1" applyFont="1" applyBorder="1" applyAlignment="1">
      <alignment horizontal="center" vertical="top" wrapText="1"/>
    </xf>
    <xf numFmtId="1" fontId="1" fillId="0" borderId="42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3" fillId="5" borderId="41" xfId="0" applyFont="1" applyFill="1" applyBorder="1" applyAlignment="1">
      <alignment horizontal="right" vertical="top"/>
    </xf>
    <xf numFmtId="0" fontId="3" fillId="5" borderId="58" xfId="0" applyFont="1" applyFill="1" applyBorder="1" applyAlignment="1">
      <alignment horizontal="right" vertical="top"/>
    </xf>
    <xf numFmtId="0" fontId="3" fillId="5" borderId="30" xfId="0" applyFont="1" applyFill="1" applyBorder="1" applyAlignment="1">
      <alignment horizontal="right" vertical="top"/>
    </xf>
    <xf numFmtId="0" fontId="1" fillId="0" borderId="35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5" fillId="0" borderId="16" xfId="0" applyNumberFormat="1" applyFont="1" applyBorder="1" applyAlignment="1">
      <alignment horizontal="center" vertical="top"/>
    </xf>
    <xf numFmtId="0" fontId="1" fillId="0" borderId="47" xfId="0" applyFont="1" applyBorder="1" applyAlignment="1">
      <alignment horizontal="left" vertical="top"/>
    </xf>
    <xf numFmtId="0" fontId="1" fillId="0" borderId="47" xfId="0" applyFont="1" applyBorder="1" applyAlignment="1">
      <alignment horizontal="left" vertical="top" wrapText="1"/>
    </xf>
    <xf numFmtId="0" fontId="3" fillId="5" borderId="35" xfId="0" applyFont="1" applyFill="1" applyBorder="1" applyAlignment="1">
      <alignment horizontal="right" vertical="top"/>
    </xf>
    <xf numFmtId="0" fontId="3" fillId="5" borderId="42" xfId="0" applyFont="1" applyFill="1" applyBorder="1" applyAlignment="1">
      <alignment horizontal="right" vertical="top"/>
    </xf>
    <xf numFmtId="0" fontId="3" fillId="5" borderId="55" xfId="0" applyFont="1" applyFill="1" applyBorder="1" applyAlignment="1">
      <alignment horizontal="right" vertical="top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9" fontId="10" fillId="4" borderId="36" xfId="0" applyNumberFormat="1" applyFont="1" applyFill="1" applyBorder="1" applyAlignment="1">
      <alignment horizontal="center" vertical="top" wrapText="1"/>
    </xf>
    <xf numFmtId="49" fontId="10" fillId="4" borderId="34" xfId="0" applyNumberFormat="1" applyFont="1" applyFill="1" applyBorder="1" applyAlignment="1">
      <alignment horizontal="center" vertical="top" wrapText="1"/>
    </xf>
    <xf numFmtId="49" fontId="10" fillId="4" borderId="38" xfId="0" applyNumberFormat="1" applyFont="1" applyFill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33" xfId="0" applyNumberFormat="1" applyFont="1" applyFill="1" applyBorder="1" applyAlignment="1">
      <alignment horizontal="center" vertical="top" wrapText="1"/>
    </xf>
    <xf numFmtId="49" fontId="14" fillId="0" borderId="10" xfId="0" applyNumberFormat="1" applyFont="1" applyFill="1" applyBorder="1" applyAlignment="1">
      <alignment horizontal="left" vertical="top" wrapText="1"/>
    </xf>
    <xf numFmtId="49" fontId="14" fillId="0" borderId="17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164" fontId="5" fillId="0" borderId="52" xfId="0" applyNumberFormat="1" applyFont="1" applyFill="1" applyBorder="1" applyAlignment="1">
      <alignment horizontal="left" vertical="top" wrapText="1"/>
    </xf>
    <xf numFmtId="49" fontId="4" fillId="7" borderId="10" xfId="0" applyNumberFormat="1" applyFont="1" applyFill="1" applyBorder="1" applyAlignment="1">
      <alignment horizontal="left" vertical="top" wrapText="1"/>
    </xf>
    <xf numFmtId="49" fontId="9" fillId="0" borderId="32" xfId="0" applyNumberFormat="1" applyFont="1" applyFill="1" applyBorder="1" applyAlignment="1">
      <alignment horizontal="center" vertical="top" wrapText="1"/>
    </xf>
  </cellXfs>
  <cellStyles count="2">
    <cellStyle name="Įprastas" xfId="0" builtinId="0"/>
    <cellStyle name="Normal_sam_pried_SportasMAX-darbinisSBx" xfId="1"/>
  </cellStyles>
  <dxfs count="0"/>
  <tableStyles count="0" defaultTableStyle="TableStyleMedium2" defaultPivotStyle="PivotStyleLight16"/>
  <colors>
    <mruColors>
      <color rgb="FFFF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4" sqref="D24"/>
    </sheetView>
  </sheetViews>
  <sheetFormatPr defaultRowHeight="15.75" x14ac:dyDescent="0.25"/>
  <cols>
    <col min="1" max="1" width="22.7109375" style="43" customWidth="1"/>
    <col min="2" max="2" width="60.7109375" style="43" customWidth="1"/>
    <col min="3" max="16384" width="9.140625" style="43"/>
  </cols>
  <sheetData>
    <row r="1" spans="1:2" x14ac:dyDescent="0.25">
      <c r="A1" s="841" t="s">
        <v>64</v>
      </c>
      <c r="B1" s="841"/>
    </row>
    <row r="2" spans="1:2" ht="31.5" x14ac:dyDescent="0.25">
      <c r="A2" s="44" t="s">
        <v>5</v>
      </c>
      <c r="B2" s="45" t="s">
        <v>65</v>
      </c>
    </row>
    <row r="3" spans="1:2" x14ac:dyDescent="0.25">
      <c r="A3" s="44">
        <v>1</v>
      </c>
      <c r="B3" s="45" t="s">
        <v>66</v>
      </c>
    </row>
    <row r="4" spans="1:2" x14ac:dyDescent="0.25">
      <c r="A4" s="44">
        <v>2</v>
      </c>
      <c r="B4" s="45" t="s">
        <v>67</v>
      </c>
    </row>
    <row r="5" spans="1:2" x14ac:dyDescent="0.25">
      <c r="A5" s="44">
        <v>3</v>
      </c>
      <c r="B5" s="45" t="s">
        <v>68</v>
      </c>
    </row>
    <row r="6" spans="1:2" x14ac:dyDescent="0.25">
      <c r="A6" s="44">
        <v>4</v>
      </c>
      <c r="B6" s="45" t="s">
        <v>69</v>
      </c>
    </row>
    <row r="7" spans="1:2" x14ac:dyDescent="0.25">
      <c r="A7" s="44">
        <v>5</v>
      </c>
      <c r="B7" s="45" t="s">
        <v>70</v>
      </c>
    </row>
    <row r="8" spans="1:2" x14ac:dyDescent="0.25">
      <c r="A8" s="44">
        <v>6</v>
      </c>
      <c r="B8" s="45" t="s">
        <v>71</v>
      </c>
    </row>
    <row r="9" spans="1:2" ht="15.75" customHeight="1" x14ac:dyDescent="0.25"/>
    <row r="10" spans="1:2" ht="15.75" customHeight="1" x14ac:dyDescent="0.25">
      <c r="A10" s="842" t="s">
        <v>72</v>
      </c>
      <c r="B10" s="842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2"/>
  <sheetViews>
    <sheetView tabSelected="1" zoomScaleNormal="100" zoomScaleSheetLayoutView="90" workbookViewId="0">
      <selection activeCell="W7" sqref="W7"/>
    </sheetView>
  </sheetViews>
  <sheetFormatPr defaultRowHeight="12.75" x14ac:dyDescent="0.2"/>
  <cols>
    <col min="1" max="3" width="3" style="1" customWidth="1"/>
    <col min="4" max="4" width="29.140625" style="1" customWidth="1"/>
    <col min="5" max="6" width="3.140625" style="1" customWidth="1"/>
    <col min="7" max="7" width="7.7109375" style="1" customWidth="1"/>
    <col min="8" max="8" width="10.140625" style="460" customWidth="1"/>
    <col min="9" max="12" width="10.140625" style="461" hidden="1" customWidth="1"/>
    <col min="13" max="14" width="10.140625" style="462" customWidth="1"/>
    <col min="15" max="15" width="29.28515625" style="1" customWidth="1"/>
    <col min="16" max="18" width="5.140625" style="1" customWidth="1"/>
    <col min="19" max="16384" width="9.140625" style="1"/>
  </cols>
  <sheetData>
    <row r="1" spans="1:19" x14ac:dyDescent="0.2">
      <c r="A1" s="899" t="s">
        <v>131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</row>
    <row r="2" spans="1:19" x14ac:dyDescent="0.2">
      <c r="A2" s="900" t="s">
        <v>54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</row>
    <row r="3" spans="1:19" x14ac:dyDescent="0.2">
      <c r="A3" s="901" t="s">
        <v>45</v>
      </c>
      <c r="B3" s="901"/>
      <c r="C3" s="901"/>
      <c r="D3" s="901"/>
      <c r="E3" s="901"/>
      <c r="F3" s="901"/>
      <c r="G3" s="901"/>
      <c r="H3" s="901"/>
      <c r="I3" s="901"/>
      <c r="J3" s="901"/>
      <c r="K3" s="901"/>
      <c r="L3" s="901"/>
      <c r="M3" s="901"/>
      <c r="N3" s="901"/>
      <c r="O3" s="901"/>
      <c r="P3" s="901"/>
      <c r="Q3" s="901"/>
      <c r="R3" s="901"/>
      <c r="S3" s="901"/>
    </row>
    <row r="4" spans="1:19" ht="13.5" thickBot="1" x14ac:dyDescent="0.25">
      <c r="A4" s="826"/>
      <c r="B4" s="826"/>
      <c r="C4" s="826"/>
      <c r="D4" s="826"/>
      <c r="E4" s="826"/>
      <c r="F4" s="826"/>
      <c r="G4" s="826"/>
      <c r="H4" s="350"/>
      <c r="I4" s="242"/>
      <c r="J4" s="242"/>
      <c r="K4" s="242"/>
      <c r="L4" s="242"/>
      <c r="M4" s="350"/>
      <c r="N4" s="350"/>
      <c r="O4" s="102"/>
      <c r="P4" s="902" t="s">
        <v>124</v>
      </c>
      <c r="Q4" s="902"/>
      <c r="R4" s="902"/>
      <c r="S4" s="826"/>
    </row>
    <row r="5" spans="1:19" x14ac:dyDescent="0.2">
      <c r="A5" s="903" t="s">
        <v>0</v>
      </c>
      <c r="B5" s="906" t="s">
        <v>1</v>
      </c>
      <c r="C5" s="906" t="s">
        <v>2</v>
      </c>
      <c r="D5" s="909" t="s">
        <v>3</v>
      </c>
      <c r="E5" s="912" t="s">
        <v>4</v>
      </c>
      <c r="F5" s="915" t="s">
        <v>5</v>
      </c>
      <c r="G5" s="847" t="s">
        <v>6</v>
      </c>
      <c r="H5" s="918" t="s">
        <v>114</v>
      </c>
      <c r="I5" s="850" t="s">
        <v>114</v>
      </c>
      <c r="J5" s="851"/>
      <c r="K5" s="851"/>
      <c r="L5" s="852"/>
      <c r="M5" s="859" t="s">
        <v>59</v>
      </c>
      <c r="N5" s="859" t="s">
        <v>77</v>
      </c>
      <c r="O5" s="862" t="s">
        <v>7</v>
      </c>
      <c r="P5" s="863"/>
      <c r="Q5" s="863"/>
      <c r="R5" s="864"/>
    </row>
    <row r="6" spans="1:19" x14ac:dyDescent="0.2">
      <c r="A6" s="904"/>
      <c r="B6" s="907"/>
      <c r="C6" s="907"/>
      <c r="D6" s="910"/>
      <c r="E6" s="913"/>
      <c r="F6" s="916"/>
      <c r="G6" s="848"/>
      <c r="H6" s="919"/>
      <c r="I6" s="853"/>
      <c r="J6" s="854"/>
      <c r="K6" s="854"/>
      <c r="L6" s="855"/>
      <c r="M6" s="860"/>
      <c r="N6" s="860"/>
      <c r="O6" s="865" t="s">
        <v>3</v>
      </c>
      <c r="P6" s="867" t="s">
        <v>122</v>
      </c>
      <c r="Q6" s="868"/>
      <c r="R6" s="869"/>
    </row>
    <row r="7" spans="1:19" ht="116.25" customHeight="1" thickBot="1" x14ac:dyDescent="0.25">
      <c r="A7" s="905"/>
      <c r="B7" s="908"/>
      <c r="C7" s="908"/>
      <c r="D7" s="911"/>
      <c r="E7" s="914"/>
      <c r="F7" s="917"/>
      <c r="G7" s="849"/>
      <c r="H7" s="920"/>
      <c r="I7" s="856"/>
      <c r="J7" s="857"/>
      <c r="K7" s="857"/>
      <c r="L7" s="858"/>
      <c r="M7" s="861"/>
      <c r="N7" s="861"/>
      <c r="O7" s="866"/>
      <c r="P7" s="2" t="s">
        <v>8</v>
      </c>
      <c r="Q7" s="2" t="s">
        <v>62</v>
      </c>
      <c r="R7" s="3" t="s">
        <v>78</v>
      </c>
    </row>
    <row r="8" spans="1:19" ht="13.5" thickBot="1" x14ac:dyDescent="0.25">
      <c r="A8" s="870" t="s">
        <v>9</v>
      </c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2"/>
    </row>
    <row r="9" spans="1:19" ht="13.5" thickBot="1" x14ac:dyDescent="0.25">
      <c r="A9" s="873" t="s">
        <v>10</v>
      </c>
      <c r="B9" s="874"/>
      <c r="C9" s="874"/>
      <c r="D9" s="874"/>
      <c r="E9" s="874"/>
      <c r="F9" s="874"/>
      <c r="G9" s="874"/>
      <c r="H9" s="874"/>
      <c r="I9" s="874"/>
      <c r="J9" s="874"/>
      <c r="K9" s="874"/>
      <c r="L9" s="874"/>
      <c r="M9" s="874"/>
      <c r="N9" s="874"/>
      <c r="O9" s="874"/>
      <c r="P9" s="874"/>
      <c r="Q9" s="874"/>
      <c r="R9" s="875"/>
    </row>
    <row r="10" spans="1:19" ht="14.25" customHeight="1" thickBot="1" x14ac:dyDescent="0.25">
      <c r="A10" s="134" t="s">
        <v>11</v>
      </c>
      <c r="B10" s="876" t="s">
        <v>51</v>
      </c>
      <c r="C10" s="876"/>
      <c r="D10" s="876"/>
      <c r="E10" s="876"/>
      <c r="F10" s="876"/>
      <c r="G10" s="876"/>
      <c r="H10" s="876"/>
      <c r="I10" s="877"/>
      <c r="J10" s="877"/>
      <c r="K10" s="877"/>
      <c r="L10" s="877"/>
      <c r="M10" s="877"/>
      <c r="N10" s="877"/>
      <c r="O10" s="877"/>
      <c r="P10" s="877"/>
      <c r="Q10" s="877"/>
      <c r="R10" s="878"/>
    </row>
    <row r="11" spans="1:19" ht="13.5" thickBot="1" x14ac:dyDescent="0.25">
      <c r="A11" s="135" t="s">
        <v>11</v>
      </c>
      <c r="B11" s="136" t="s">
        <v>11</v>
      </c>
      <c r="C11" s="879" t="s">
        <v>60</v>
      </c>
      <c r="D11" s="880"/>
      <c r="E11" s="880"/>
      <c r="F11" s="880"/>
      <c r="G11" s="880"/>
      <c r="H11" s="880"/>
      <c r="I11" s="880"/>
      <c r="J11" s="880"/>
      <c r="K11" s="880"/>
      <c r="L11" s="880"/>
      <c r="M11" s="880"/>
      <c r="N11" s="880"/>
      <c r="O11" s="880"/>
      <c r="P11" s="880"/>
      <c r="Q11" s="880"/>
      <c r="R11" s="881"/>
    </row>
    <row r="12" spans="1:19" ht="32.25" customHeight="1" x14ac:dyDescent="0.2">
      <c r="A12" s="882" t="s">
        <v>11</v>
      </c>
      <c r="B12" s="884" t="s">
        <v>11</v>
      </c>
      <c r="C12" s="886" t="s">
        <v>11</v>
      </c>
      <c r="D12" s="888" t="s">
        <v>53</v>
      </c>
      <c r="E12" s="890" t="s">
        <v>75</v>
      </c>
      <c r="F12" s="892" t="s">
        <v>12</v>
      </c>
      <c r="G12" s="23" t="s">
        <v>13</v>
      </c>
      <c r="H12" s="351">
        <f>150/3.4528*1000</f>
        <v>43443</v>
      </c>
      <c r="I12" s="248">
        <f>+J12+L12</f>
        <v>150</v>
      </c>
      <c r="J12" s="249">
        <v>150</v>
      </c>
      <c r="K12" s="250"/>
      <c r="L12" s="251"/>
      <c r="M12" s="387">
        <f>40/3.4528*1000</f>
        <v>11585</v>
      </c>
      <c r="N12" s="387">
        <f>40/3.4528*1000</f>
        <v>11585</v>
      </c>
      <c r="O12" s="898" t="s">
        <v>123</v>
      </c>
      <c r="P12" s="827">
        <v>1</v>
      </c>
      <c r="Q12" s="829">
        <v>4</v>
      </c>
      <c r="R12" s="831">
        <v>4</v>
      </c>
      <c r="S12" s="462"/>
    </row>
    <row r="13" spans="1:19" ht="13.5" thickBot="1" x14ac:dyDescent="0.25">
      <c r="A13" s="883"/>
      <c r="B13" s="885"/>
      <c r="C13" s="887"/>
      <c r="D13" s="889"/>
      <c r="E13" s="891"/>
      <c r="F13" s="893"/>
      <c r="G13" s="39" t="s">
        <v>14</v>
      </c>
      <c r="H13" s="352">
        <f>H12</f>
        <v>43443</v>
      </c>
      <c r="I13" s="252">
        <f>+I12</f>
        <v>150</v>
      </c>
      <c r="J13" s="253">
        <f>+J12</f>
        <v>150</v>
      </c>
      <c r="K13" s="253"/>
      <c r="L13" s="254"/>
      <c r="M13" s="388">
        <f>+M12</f>
        <v>11585</v>
      </c>
      <c r="N13" s="377">
        <f>+N12</f>
        <v>11585</v>
      </c>
      <c r="O13" s="846"/>
      <c r="P13" s="76"/>
      <c r="Q13" s="92"/>
      <c r="R13" s="834"/>
    </row>
    <row r="14" spans="1:19" ht="41.25" customHeight="1" x14ac:dyDescent="0.2">
      <c r="A14" s="882" t="s">
        <v>11</v>
      </c>
      <c r="B14" s="884" t="s">
        <v>11</v>
      </c>
      <c r="C14" s="886" t="s">
        <v>15</v>
      </c>
      <c r="D14" s="888" t="s">
        <v>63</v>
      </c>
      <c r="E14" s="890"/>
      <c r="F14" s="892" t="s">
        <v>12</v>
      </c>
      <c r="G14" s="28" t="s">
        <v>13</v>
      </c>
      <c r="H14" s="353">
        <f>10/3.4528*1000</f>
        <v>2896</v>
      </c>
      <c r="I14" s="248">
        <f>+J14+L14</f>
        <v>10</v>
      </c>
      <c r="J14" s="249">
        <v>10</v>
      </c>
      <c r="K14" s="250"/>
      <c r="L14" s="251"/>
      <c r="M14" s="389">
        <f>13/3.4528*1000</f>
        <v>3765</v>
      </c>
      <c r="N14" s="387">
        <f>13/3.4528*1000</f>
        <v>3765</v>
      </c>
      <c r="O14" s="77" t="s">
        <v>118</v>
      </c>
      <c r="P14" s="827">
        <v>10</v>
      </c>
      <c r="Q14" s="829">
        <v>12</v>
      </c>
      <c r="R14" s="831">
        <v>12</v>
      </c>
    </row>
    <row r="15" spans="1:19" ht="13.5" thickBot="1" x14ac:dyDescent="0.25">
      <c r="A15" s="883"/>
      <c r="B15" s="885"/>
      <c r="C15" s="887"/>
      <c r="D15" s="889"/>
      <c r="E15" s="891"/>
      <c r="F15" s="893"/>
      <c r="G15" s="64" t="s">
        <v>14</v>
      </c>
      <c r="H15" s="354">
        <f>H14</f>
        <v>2896</v>
      </c>
      <c r="I15" s="255">
        <f>+I14</f>
        <v>10</v>
      </c>
      <c r="J15" s="256">
        <f>+J14</f>
        <v>10</v>
      </c>
      <c r="K15" s="256"/>
      <c r="L15" s="257"/>
      <c r="M15" s="390">
        <f>+M14</f>
        <v>3765</v>
      </c>
      <c r="N15" s="391">
        <f>+N14</f>
        <v>3765</v>
      </c>
      <c r="O15" s="93"/>
      <c r="P15" s="828"/>
      <c r="Q15" s="830"/>
      <c r="R15" s="832"/>
    </row>
    <row r="16" spans="1:19" ht="42" customHeight="1" x14ac:dyDescent="0.2">
      <c r="A16" s="882" t="s">
        <v>11</v>
      </c>
      <c r="B16" s="884" t="s">
        <v>11</v>
      </c>
      <c r="C16" s="886" t="s">
        <v>18</v>
      </c>
      <c r="D16" s="888" t="s">
        <v>126</v>
      </c>
      <c r="E16" s="896"/>
      <c r="F16" s="931" t="s">
        <v>12</v>
      </c>
      <c r="G16" s="23" t="s">
        <v>13</v>
      </c>
      <c r="H16" s="351">
        <f>23/3.4528*1000</f>
        <v>6661</v>
      </c>
      <c r="I16" s="248">
        <f>+J16+L16</f>
        <v>23</v>
      </c>
      <c r="J16" s="249">
        <v>23</v>
      </c>
      <c r="K16" s="250"/>
      <c r="L16" s="251"/>
      <c r="M16" s="387">
        <f>30/3.4528*1000</f>
        <v>8689</v>
      </c>
      <c r="N16" s="392">
        <f>40/3.4528*1000</f>
        <v>11585</v>
      </c>
      <c r="O16" s="898" t="s">
        <v>119</v>
      </c>
      <c r="P16" s="921">
        <v>3</v>
      </c>
      <c r="Q16" s="923">
        <v>5</v>
      </c>
      <c r="R16" s="925">
        <v>5</v>
      </c>
    </row>
    <row r="17" spans="1:21" ht="13.5" thickBot="1" x14ac:dyDescent="0.25">
      <c r="A17" s="883"/>
      <c r="B17" s="885"/>
      <c r="C17" s="887"/>
      <c r="D17" s="889"/>
      <c r="E17" s="897"/>
      <c r="F17" s="932"/>
      <c r="G17" s="627" t="s">
        <v>14</v>
      </c>
      <c r="H17" s="355">
        <f>H16</f>
        <v>6661</v>
      </c>
      <c r="I17" s="252">
        <f>+J17+L17</f>
        <v>23</v>
      </c>
      <c r="J17" s="246">
        <f>+J16</f>
        <v>23</v>
      </c>
      <c r="K17" s="258"/>
      <c r="L17" s="254"/>
      <c r="M17" s="377">
        <f>+M16</f>
        <v>8689</v>
      </c>
      <c r="N17" s="377">
        <f>+N16</f>
        <v>11585</v>
      </c>
      <c r="O17" s="846"/>
      <c r="P17" s="922"/>
      <c r="Q17" s="924"/>
      <c r="R17" s="926"/>
    </row>
    <row r="18" spans="1:21" ht="13.5" thickBot="1" x14ac:dyDescent="0.25">
      <c r="A18" s="137" t="s">
        <v>11</v>
      </c>
      <c r="B18" s="138" t="s">
        <v>11</v>
      </c>
      <c r="C18" s="894" t="s">
        <v>19</v>
      </c>
      <c r="D18" s="895"/>
      <c r="E18" s="895"/>
      <c r="F18" s="895"/>
      <c r="G18" s="927"/>
      <c r="H18" s="356">
        <f>H17+H15+H13</f>
        <v>53000</v>
      </c>
      <c r="I18" s="259">
        <f t="shared" ref="I18:M18" si="0">I17+I15+I13</f>
        <v>183</v>
      </c>
      <c r="J18" s="245">
        <f>J17+J15+J13</f>
        <v>183</v>
      </c>
      <c r="K18" s="260">
        <f t="shared" si="0"/>
        <v>0</v>
      </c>
      <c r="L18" s="261">
        <f t="shared" si="0"/>
        <v>0</v>
      </c>
      <c r="M18" s="393">
        <f t="shared" si="0"/>
        <v>24039</v>
      </c>
      <c r="N18" s="393">
        <f>N17+N15+N13</f>
        <v>26935</v>
      </c>
      <c r="O18" s="928"/>
      <c r="P18" s="929"/>
      <c r="Q18" s="929"/>
      <c r="R18" s="930"/>
    </row>
    <row r="19" spans="1:21" ht="13.5" thickBot="1" x14ac:dyDescent="0.25">
      <c r="A19" s="137" t="s">
        <v>11</v>
      </c>
      <c r="B19" s="139" t="s">
        <v>15</v>
      </c>
      <c r="C19" s="952" t="s">
        <v>50</v>
      </c>
      <c r="D19" s="953"/>
      <c r="E19" s="953"/>
      <c r="F19" s="953"/>
      <c r="G19" s="954"/>
      <c r="H19" s="954"/>
      <c r="I19" s="954"/>
      <c r="J19" s="954"/>
      <c r="K19" s="954"/>
      <c r="L19" s="954"/>
      <c r="M19" s="953"/>
      <c r="N19" s="953"/>
      <c r="O19" s="953"/>
      <c r="P19" s="953"/>
      <c r="Q19" s="953"/>
      <c r="R19" s="955"/>
    </row>
    <row r="20" spans="1:21" x14ac:dyDescent="0.2">
      <c r="A20" s="140" t="s">
        <v>11</v>
      </c>
      <c r="B20" s="808" t="s">
        <v>15</v>
      </c>
      <c r="C20" s="810" t="s">
        <v>11</v>
      </c>
      <c r="D20" s="941" t="s">
        <v>47</v>
      </c>
      <c r="E20" s="29"/>
      <c r="F20" s="38">
        <v>2</v>
      </c>
      <c r="G20" s="65"/>
      <c r="H20" s="463"/>
      <c r="I20" s="248"/>
      <c r="J20" s="249"/>
      <c r="K20" s="249"/>
      <c r="L20" s="262"/>
      <c r="M20" s="394"/>
      <c r="N20" s="394"/>
      <c r="O20" s="938" t="s">
        <v>20</v>
      </c>
      <c r="P20" s="51">
        <v>3500</v>
      </c>
      <c r="Q20" s="51">
        <v>3500</v>
      </c>
      <c r="R20" s="52">
        <v>3500</v>
      </c>
      <c r="S20" s="9"/>
    </row>
    <row r="21" spans="1:21" x14ac:dyDescent="0.2">
      <c r="A21" s="141"/>
      <c r="B21" s="142"/>
      <c r="C21" s="201"/>
      <c r="D21" s="942"/>
      <c r="E21" s="30"/>
      <c r="F21" s="31"/>
      <c r="G21" s="70" t="s">
        <v>21</v>
      </c>
      <c r="H21" s="594">
        <v>240443</v>
      </c>
      <c r="I21" s="263">
        <f t="shared" ref="I21:I22" si="1">+J21+L21</f>
        <v>770</v>
      </c>
      <c r="J21" s="264">
        <v>692</v>
      </c>
      <c r="K21" s="264"/>
      <c r="L21" s="265">
        <v>78</v>
      </c>
      <c r="M21" s="395">
        <f>770.1/3.4528*1000</f>
        <v>223036</v>
      </c>
      <c r="N21" s="395">
        <f>770.1/3.4528*1000</f>
        <v>223036</v>
      </c>
      <c r="O21" s="949"/>
      <c r="P21" s="94"/>
      <c r="Q21" s="94"/>
      <c r="R21" s="95"/>
      <c r="S21" s="27"/>
    </row>
    <row r="22" spans="1:21" ht="16.5" customHeight="1" x14ac:dyDescent="0.2">
      <c r="A22" s="141"/>
      <c r="B22" s="142"/>
      <c r="C22" s="201"/>
      <c r="D22" s="438" t="s">
        <v>55</v>
      </c>
      <c r="E22" s="30"/>
      <c r="F22" s="31"/>
      <c r="G22" s="214" t="s">
        <v>13</v>
      </c>
      <c r="H22" s="484">
        <v>3316845</v>
      </c>
      <c r="I22" s="266">
        <f t="shared" si="1"/>
        <v>11246</v>
      </c>
      <c r="J22" s="267">
        <v>11046</v>
      </c>
      <c r="K22" s="267">
        <v>6648</v>
      </c>
      <c r="L22" s="268">
        <v>200</v>
      </c>
      <c r="M22" s="396">
        <f>11397.5/3.4528*1000</f>
        <v>3300944</v>
      </c>
      <c r="N22" s="396">
        <f>11147.5/3.4528*1000</f>
        <v>3228539</v>
      </c>
      <c r="O22" s="950" t="s">
        <v>125</v>
      </c>
      <c r="P22" s="96">
        <v>13.5</v>
      </c>
      <c r="Q22" s="185">
        <v>14</v>
      </c>
      <c r="R22" s="216">
        <v>14</v>
      </c>
      <c r="S22" s="27"/>
    </row>
    <row r="23" spans="1:21" ht="16.5" customHeight="1" x14ac:dyDescent="0.2">
      <c r="A23" s="141"/>
      <c r="B23" s="142"/>
      <c r="C23" s="201"/>
      <c r="D23" s="438" t="s">
        <v>56</v>
      </c>
      <c r="E23" s="30"/>
      <c r="F23" s="31"/>
      <c r="G23" s="214" t="s">
        <v>140</v>
      </c>
      <c r="H23" s="484">
        <v>68414</v>
      </c>
      <c r="I23" s="266"/>
      <c r="J23" s="267"/>
      <c r="K23" s="267"/>
      <c r="L23" s="611"/>
      <c r="M23" s="396"/>
      <c r="N23" s="396"/>
      <c r="O23" s="951"/>
      <c r="P23" s="99"/>
      <c r="Q23" s="99"/>
      <c r="R23" s="100"/>
      <c r="S23" s="9"/>
    </row>
    <row r="24" spans="1:21" ht="29.25" customHeight="1" x14ac:dyDescent="0.2">
      <c r="A24" s="141"/>
      <c r="B24" s="142"/>
      <c r="C24" s="201"/>
      <c r="D24" s="438" t="s">
        <v>57</v>
      </c>
      <c r="E24" s="30"/>
      <c r="F24" s="31"/>
      <c r="G24" s="24"/>
      <c r="H24" s="486"/>
      <c r="I24" s="269"/>
      <c r="J24" s="270"/>
      <c r="K24" s="270"/>
      <c r="L24" s="271"/>
      <c r="M24" s="397"/>
      <c r="N24" s="397"/>
      <c r="O24" s="951"/>
      <c r="P24" s="94"/>
      <c r="Q24" s="12"/>
      <c r="R24" s="100"/>
      <c r="S24" s="9"/>
    </row>
    <row r="25" spans="1:21" ht="27.75" customHeight="1" x14ac:dyDescent="0.2">
      <c r="A25" s="141"/>
      <c r="B25" s="142"/>
      <c r="C25" s="201"/>
      <c r="D25" s="438" t="s">
        <v>58</v>
      </c>
      <c r="E25" s="30"/>
      <c r="F25" s="31"/>
      <c r="G25" s="24"/>
      <c r="H25" s="486"/>
      <c r="I25" s="269"/>
      <c r="J25" s="270"/>
      <c r="K25" s="270"/>
      <c r="L25" s="272"/>
      <c r="M25" s="397"/>
      <c r="N25" s="397"/>
      <c r="O25" s="821" t="s">
        <v>102</v>
      </c>
      <c r="P25" s="185">
        <v>1</v>
      </c>
      <c r="Q25" s="96"/>
      <c r="R25" s="610"/>
      <c r="S25" s="9"/>
    </row>
    <row r="26" spans="1:21" ht="30" customHeight="1" x14ac:dyDescent="0.2">
      <c r="A26" s="141"/>
      <c r="B26" s="142"/>
      <c r="C26" s="201"/>
      <c r="D26" s="217" t="s">
        <v>92</v>
      </c>
      <c r="E26" s="209"/>
      <c r="F26" s="31"/>
      <c r="G26" s="24"/>
      <c r="H26" s="486"/>
      <c r="I26" s="269"/>
      <c r="J26" s="270"/>
      <c r="K26" s="270"/>
      <c r="L26" s="273"/>
      <c r="M26" s="397"/>
      <c r="N26" s="397"/>
      <c r="O26" s="439"/>
      <c r="P26" s="215"/>
      <c r="Q26" s="12"/>
      <c r="R26" s="100"/>
      <c r="S26" s="9"/>
    </row>
    <row r="27" spans="1:21" ht="30" customHeight="1" x14ac:dyDescent="0.2">
      <c r="A27" s="141"/>
      <c r="B27" s="142"/>
      <c r="C27" s="201"/>
      <c r="D27" s="966" t="s">
        <v>22</v>
      </c>
      <c r="E27" s="30"/>
      <c r="F27" s="31"/>
      <c r="G27" s="71"/>
      <c r="H27" s="494"/>
      <c r="I27" s="269"/>
      <c r="J27" s="270"/>
      <c r="K27" s="270"/>
      <c r="L27" s="272"/>
      <c r="M27" s="397"/>
      <c r="N27" s="397"/>
      <c r="O27" s="186" t="s">
        <v>112</v>
      </c>
      <c r="P27" s="181">
        <v>100</v>
      </c>
      <c r="Q27" s="607"/>
      <c r="R27" s="97"/>
    </row>
    <row r="28" spans="1:21" ht="13.5" thickBot="1" x14ac:dyDescent="0.25">
      <c r="A28" s="143"/>
      <c r="B28" s="809"/>
      <c r="C28" s="152"/>
      <c r="D28" s="967"/>
      <c r="E28" s="32"/>
      <c r="F28" s="33"/>
      <c r="G28" s="40" t="s">
        <v>14</v>
      </c>
      <c r="H28" s="412">
        <f>SUM(H21:H27)</f>
        <v>3625702</v>
      </c>
      <c r="I28" s="244">
        <f t="shared" ref="I28:N28" si="2">SUM(I21:I27)</f>
        <v>12016</v>
      </c>
      <c r="J28" s="275">
        <f t="shared" si="2"/>
        <v>11738</v>
      </c>
      <c r="K28" s="247">
        <f t="shared" si="2"/>
        <v>6648</v>
      </c>
      <c r="L28" s="275">
        <f t="shared" si="2"/>
        <v>278</v>
      </c>
      <c r="M28" s="355">
        <f t="shared" si="2"/>
        <v>3523980</v>
      </c>
      <c r="N28" s="355">
        <f t="shared" si="2"/>
        <v>3451575</v>
      </c>
      <c r="O28" s="187"/>
      <c r="P28" s="188"/>
      <c r="Q28" s="602"/>
      <c r="R28" s="114"/>
      <c r="S28" s="9"/>
    </row>
    <row r="29" spans="1:21" ht="27.75" customHeight="1" x14ac:dyDescent="0.2">
      <c r="A29" s="144" t="s">
        <v>11</v>
      </c>
      <c r="B29" s="145" t="s">
        <v>15</v>
      </c>
      <c r="C29" s="146" t="s">
        <v>15</v>
      </c>
      <c r="D29" s="210" t="s">
        <v>23</v>
      </c>
      <c r="E29" s="934" t="s">
        <v>75</v>
      </c>
      <c r="F29" s="637" t="s">
        <v>12</v>
      </c>
      <c r="G29" s="23" t="s">
        <v>13</v>
      </c>
      <c r="H29" s="361">
        <f>1094.4/3.4528*1000</f>
        <v>316960</v>
      </c>
      <c r="I29" s="454">
        <f>J29+L29</f>
        <v>194</v>
      </c>
      <c r="J29" s="455">
        <v>194</v>
      </c>
      <c r="K29" s="456"/>
      <c r="L29" s="457"/>
      <c r="M29" s="458">
        <f>1116/3.4528*1000</f>
        <v>323216</v>
      </c>
      <c r="N29" s="459">
        <f>1136/3.4528*1000</f>
        <v>329008</v>
      </c>
      <c r="O29" s="6" t="s">
        <v>73</v>
      </c>
      <c r="P29" s="7">
        <v>57</v>
      </c>
      <c r="Q29" s="7">
        <v>57</v>
      </c>
      <c r="R29" s="115">
        <v>57</v>
      </c>
      <c r="U29" s="4"/>
    </row>
    <row r="30" spans="1:21" ht="27.75" customHeight="1" x14ac:dyDescent="0.2">
      <c r="A30" s="147"/>
      <c r="B30" s="148"/>
      <c r="C30" s="149"/>
      <c r="D30" s="453" t="s">
        <v>132</v>
      </c>
      <c r="E30" s="935"/>
      <c r="F30" s="638"/>
      <c r="G30" s="24"/>
      <c r="H30" s="358"/>
      <c r="I30" s="274"/>
      <c r="J30" s="42"/>
      <c r="K30" s="442"/>
      <c r="L30" s="443"/>
      <c r="M30" s="444"/>
      <c r="N30" s="445"/>
      <c r="O30" s="8"/>
      <c r="P30" s="819"/>
      <c r="Q30" s="16"/>
      <c r="R30" s="651"/>
    </row>
    <row r="31" spans="1:21" ht="28.5" customHeight="1" x14ac:dyDescent="0.2">
      <c r="A31" s="147"/>
      <c r="B31" s="148"/>
      <c r="C31" s="149"/>
      <c r="D31" s="211" t="s">
        <v>128</v>
      </c>
      <c r="E31" s="935"/>
      <c r="F31" s="129"/>
      <c r="G31" s="24"/>
      <c r="H31" s="358"/>
      <c r="I31" s="274"/>
      <c r="J31" s="42"/>
      <c r="K31" s="279"/>
      <c r="L31" s="280"/>
      <c r="M31" s="400"/>
      <c r="N31" s="401"/>
      <c r="O31" s="218"/>
      <c r="P31" s="219"/>
      <c r="Q31" s="4"/>
      <c r="R31" s="220"/>
    </row>
    <row r="32" spans="1:21" ht="28.5" customHeight="1" x14ac:dyDescent="0.2">
      <c r="A32" s="147"/>
      <c r="B32" s="148"/>
      <c r="C32" s="149"/>
      <c r="D32" s="211" t="s">
        <v>127</v>
      </c>
      <c r="E32" s="935"/>
      <c r="F32" s="129"/>
      <c r="G32" s="24"/>
      <c r="H32" s="358"/>
      <c r="I32" s="274"/>
      <c r="J32" s="42"/>
      <c r="K32" s="281"/>
      <c r="L32" s="280"/>
      <c r="M32" s="400"/>
      <c r="N32" s="401"/>
      <c r="O32" s="8"/>
      <c r="P32" s="819"/>
      <c r="Q32" s="819"/>
      <c r="R32" s="651"/>
    </row>
    <row r="33" spans="1:29" ht="28.5" customHeight="1" x14ac:dyDescent="0.2">
      <c r="A33" s="147"/>
      <c r="B33" s="148"/>
      <c r="C33" s="149"/>
      <c r="D33" s="937" t="s">
        <v>76</v>
      </c>
      <c r="E33" s="58"/>
      <c r="F33" s="129"/>
      <c r="G33" s="24"/>
      <c r="H33" s="358"/>
      <c r="I33" s="274"/>
      <c r="J33" s="42"/>
      <c r="K33" s="279"/>
      <c r="L33" s="280"/>
      <c r="M33" s="400"/>
      <c r="N33" s="401"/>
      <c r="O33" s="8"/>
      <c r="P33" s="819"/>
      <c r="Q33" s="819"/>
      <c r="R33" s="651"/>
    </row>
    <row r="34" spans="1:29" ht="13.5" thickBot="1" x14ac:dyDescent="0.25">
      <c r="A34" s="150"/>
      <c r="B34" s="151"/>
      <c r="C34" s="152"/>
      <c r="D34" s="940"/>
      <c r="E34" s="73"/>
      <c r="F34" s="130"/>
      <c r="G34" s="41" t="s">
        <v>14</v>
      </c>
      <c r="H34" s="372">
        <f>SUM(H29:H33)</f>
        <v>316960</v>
      </c>
      <c r="I34" s="244">
        <f t="shared" ref="I34" si="3">+J34+L34</f>
        <v>194</v>
      </c>
      <c r="J34" s="275">
        <f>SUM(J29:J33)</f>
        <v>194</v>
      </c>
      <c r="K34" s="247"/>
      <c r="L34" s="254"/>
      <c r="M34" s="355">
        <f>SUM(M29:M33)</f>
        <v>323216</v>
      </c>
      <c r="N34" s="402">
        <f>SUM(N29:N33)</f>
        <v>329008</v>
      </c>
      <c r="O34" s="116"/>
      <c r="P34" s="601"/>
      <c r="Q34" s="602"/>
      <c r="R34" s="36"/>
    </row>
    <row r="35" spans="1:29" ht="31.5" customHeight="1" x14ac:dyDescent="0.2">
      <c r="A35" s="153" t="s">
        <v>11</v>
      </c>
      <c r="B35" s="148" t="s">
        <v>15</v>
      </c>
      <c r="C35" s="154" t="s">
        <v>18</v>
      </c>
      <c r="D35" s="936" t="s">
        <v>48</v>
      </c>
      <c r="E35" s="25"/>
      <c r="F35" s="637" t="s">
        <v>12</v>
      </c>
      <c r="G35" s="23" t="s">
        <v>13</v>
      </c>
      <c r="H35" s="361">
        <f>1344.7/3.4528*1000</f>
        <v>389452</v>
      </c>
      <c r="I35" s="349">
        <f>+J35+L35</f>
        <v>1345</v>
      </c>
      <c r="J35" s="313">
        <v>1345</v>
      </c>
      <c r="K35" s="278"/>
      <c r="L35" s="251"/>
      <c r="M35" s="436">
        <f>1344.7/3.4528*1000</f>
        <v>389452</v>
      </c>
      <c r="N35" s="436">
        <f>1344.7/3.4528*1000</f>
        <v>389452</v>
      </c>
      <c r="O35" s="938" t="s">
        <v>61</v>
      </c>
      <c r="P35" s="48">
        <v>1977</v>
      </c>
      <c r="Q35" s="49">
        <v>1977</v>
      </c>
      <c r="R35" s="50">
        <v>1977</v>
      </c>
      <c r="AC35" s="4"/>
    </row>
    <row r="36" spans="1:29" ht="13.5" thickBot="1" x14ac:dyDescent="0.25">
      <c r="A36" s="153"/>
      <c r="B36" s="148"/>
      <c r="C36" s="154"/>
      <c r="D36" s="937"/>
      <c r="E36" s="25"/>
      <c r="F36" s="638"/>
      <c r="G36" s="39" t="s">
        <v>14</v>
      </c>
      <c r="H36" s="355">
        <f>H35</f>
        <v>389452</v>
      </c>
      <c r="I36" s="243">
        <f>+J36+L36</f>
        <v>1345</v>
      </c>
      <c r="J36" s="282">
        <f>+J35</f>
        <v>1345</v>
      </c>
      <c r="K36" s="283"/>
      <c r="L36" s="284"/>
      <c r="M36" s="355">
        <f>+M35</f>
        <v>389452</v>
      </c>
      <c r="N36" s="355">
        <f>+N35</f>
        <v>389452</v>
      </c>
      <c r="O36" s="939"/>
      <c r="P36" s="601"/>
      <c r="Q36" s="602"/>
      <c r="R36" s="36"/>
    </row>
    <row r="37" spans="1:29" ht="13.5" thickBot="1" x14ac:dyDescent="0.25">
      <c r="A37" s="137" t="s">
        <v>11</v>
      </c>
      <c r="B37" s="139" t="s">
        <v>15</v>
      </c>
      <c r="C37" s="894" t="s">
        <v>19</v>
      </c>
      <c r="D37" s="895"/>
      <c r="E37" s="895"/>
      <c r="F37" s="895"/>
      <c r="G37" s="895"/>
      <c r="H37" s="356">
        <f t="shared" ref="H37:N37" si="4">H36+H34+H28</f>
        <v>4332114</v>
      </c>
      <c r="I37" s="356">
        <f t="shared" si="4"/>
        <v>13555</v>
      </c>
      <c r="J37" s="356">
        <f t="shared" si="4"/>
        <v>13277</v>
      </c>
      <c r="K37" s="356">
        <f t="shared" si="4"/>
        <v>6648</v>
      </c>
      <c r="L37" s="356">
        <f t="shared" si="4"/>
        <v>278</v>
      </c>
      <c r="M37" s="356">
        <f t="shared" si="4"/>
        <v>4236648</v>
      </c>
      <c r="N37" s="356">
        <f t="shared" si="4"/>
        <v>4170035</v>
      </c>
      <c r="O37" s="943"/>
      <c r="P37" s="944"/>
      <c r="Q37" s="944"/>
      <c r="R37" s="945"/>
    </row>
    <row r="38" spans="1:29" ht="13.5" thickBot="1" x14ac:dyDescent="0.25">
      <c r="A38" s="162" t="s">
        <v>11</v>
      </c>
      <c r="B38" s="163" t="s">
        <v>18</v>
      </c>
      <c r="C38" s="946" t="s">
        <v>26</v>
      </c>
      <c r="D38" s="946"/>
      <c r="E38" s="947"/>
      <c r="F38" s="947"/>
      <c r="G38" s="947"/>
      <c r="H38" s="947"/>
      <c r="I38" s="947"/>
      <c r="J38" s="947"/>
      <c r="K38" s="947"/>
      <c r="L38" s="947"/>
      <c r="M38" s="947"/>
      <c r="N38" s="947"/>
      <c r="O38" s="946"/>
      <c r="P38" s="946"/>
      <c r="Q38" s="946"/>
      <c r="R38" s="948"/>
    </row>
    <row r="39" spans="1:29" ht="17.25" customHeight="1" x14ac:dyDescent="0.2">
      <c r="A39" s="155" t="s">
        <v>11</v>
      </c>
      <c r="B39" s="156" t="s">
        <v>18</v>
      </c>
      <c r="C39" s="603" t="s">
        <v>11</v>
      </c>
      <c r="D39" s="223" t="s">
        <v>105</v>
      </c>
      <c r="E39" s="580"/>
      <c r="F39" s="817"/>
      <c r="G39" s="20"/>
      <c r="H39" s="363"/>
      <c r="I39" s="335"/>
      <c r="J39" s="323"/>
      <c r="K39" s="51"/>
      <c r="L39" s="285"/>
      <c r="M39" s="403"/>
      <c r="N39" s="534"/>
      <c r="O39" s="199"/>
      <c r="P39" s="199"/>
      <c r="Q39" s="192"/>
      <c r="R39" s="193"/>
    </row>
    <row r="40" spans="1:29" ht="40.5" customHeight="1" x14ac:dyDescent="0.2">
      <c r="A40" s="157"/>
      <c r="B40" s="158"/>
      <c r="C40" s="604"/>
      <c r="D40" s="233" t="s">
        <v>96</v>
      </c>
      <c r="E40" s="581"/>
      <c r="F40" s="818" t="s">
        <v>16</v>
      </c>
      <c r="G40" s="225" t="s">
        <v>13</v>
      </c>
      <c r="H40" s="364">
        <f>500/3.4528*1000</f>
        <v>144810</v>
      </c>
      <c r="I40" s="336">
        <f>L40+J40</f>
        <v>500</v>
      </c>
      <c r="J40" s="324"/>
      <c r="K40" s="286"/>
      <c r="L40" s="287">
        <v>500</v>
      </c>
      <c r="M40" s="404">
        <f>1308/3.4528*1000</f>
        <v>378823</v>
      </c>
      <c r="N40" s="535">
        <f>2100/3.4528*1000</f>
        <v>608202</v>
      </c>
      <c r="O40" s="103" t="s">
        <v>93</v>
      </c>
      <c r="P40" s="98">
        <v>100</v>
      </c>
      <c r="Q40" s="194"/>
      <c r="R40" s="195"/>
      <c r="S40" s="462"/>
    </row>
    <row r="41" spans="1:29" ht="30" customHeight="1" x14ac:dyDescent="0.2">
      <c r="A41" s="157"/>
      <c r="B41" s="158"/>
      <c r="C41" s="604"/>
      <c r="D41" s="224"/>
      <c r="E41" s="581"/>
      <c r="F41" s="818"/>
      <c r="G41" s="226" t="s">
        <v>17</v>
      </c>
      <c r="H41" s="365">
        <f>600/3.4528*1000</f>
        <v>173772</v>
      </c>
      <c r="I41" s="337">
        <f>L41+J41</f>
        <v>600</v>
      </c>
      <c r="J41" s="612"/>
      <c r="K41" s="613"/>
      <c r="L41" s="614">
        <v>600</v>
      </c>
      <c r="M41" s="615"/>
      <c r="N41" s="536"/>
      <c r="O41" s="190" t="s">
        <v>94</v>
      </c>
      <c r="P41" s="189"/>
      <c r="Q41" s="191">
        <v>100</v>
      </c>
      <c r="R41" s="195"/>
    </row>
    <row r="42" spans="1:29" ht="30" customHeight="1" x14ac:dyDescent="0.2">
      <c r="A42" s="157"/>
      <c r="B42" s="158"/>
      <c r="C42" s="604"/>
      <c r="D42" s="224"/>
      <c r="E42" s="581"/>
      <c r="F42" s="818"/>
      <c r="G42" s="503"/>
      <c r="H42" s="582"/>
      <c r="I42" s="338"/>
      <c r="J42" s="583"/>
      <c r="K42" s="584"/>
      <c r="L42" s="585"/>
      <c r="M42" s="409"/>
      <c r="N42" s="540"/>
      <c r="O42" s="190" t="s">
        <v>95</v>
      </c>
      <c r="P42" s="189"/>
      <c r="Q42" s="191">
        <v>100</v>
      </c>
      <c r="R42" s="586"/>
    </row>
    <row r="43" spans="1:29" ht="33" customHeight="1" x14ac:dyDescent="0.2">
      <c r="A43" s="504"/>
      <c r="B43" s="505"/>
      <c r="C43" s="587"/>
      <c r="D43" s="506"/>
      <c r="E43" s="588"/>
      <c r="F43" s="589"/>
      <c r="G43" s="618" t="s">
        <v>14</v>
      </c>
      <c r="H43" s="619">
        <f>SUM(H40:H42)</f>
        <v>318582</v>
      </c>
      <c r="I43" s="620">
        <f t="shared" ref="I43:N43" si="5">SUM(I39:I42)</f>
        <v>1100</v>
      </c>
      <c r="J43" s="621">
        <f t="shared" si="5"/>
        <v>0</v>
      </c>
      <c r="K43" s="622">
        <f t="shared" si="5"/>
        <v>0</v>
      </c>
      <c r="L43" s="623">
        <f t="shared" si="5"/>
        <v>1100</v>
      </c>
      <c r="M43" s="624">
        <f t="shared" si="5"/>
        <v>378823</v>
      </c>
      <c r="N43" s="625">
        <f t="shared" si="5"/>
        <v>608202</v>
      </c>
      <c r="O43" s="190" t="s">
        <v>101</v>
      </c>
      <c r="P43" s="189"/>
      <c r="Q43" s="191"/>
      <c r="R43" s="586">
        <v>100</v>
      </c>
    </row>
    <row r="44" spans="1:29" ht="20.25" customHeight="1" x14ac:dyDescent="0.2">
      <c r="A44" s="172"/>
      <c r="B44" s="173"/>
      <c r="C44" s="816"/>
      <c r="D44" s="962" t="s">
        <v>143</v>
      </c>
      <c r="E44" s="221"/>
      <c r="F44" s="964" t="s">
        <v>27</v>
      </c>
      <c r="G44" s="616" t="s">
        <v>13</v>
      </c>
      <c r="H44" s="597">
        <f>500/3.4528*1000-28962</f>
        <v>115848</v>
      </c>
      <c r="I44" s="338">
        <f>J44+L44</f>
        <v>500</v>
      </c>
      <c r="J44" s="326"/>
      <c r="K44" s="295"/>
      <c r="L44" s="617">
        <v>500</v>
      </c>
      <c r="M44" s="409">
        <f>300/3.4528*1000</f>
        <v>86886</v>
      </c>
      <c r="N44" s="410"/>
      <c r="O44" s="956" t="s">
        <v>103</v>
      </c>
      <c r="P44" s="37">
        <v>60</v>
      </c>
      <c r="Q44" s="579">
        <v>100</v>
      </c>
      <c r="R44" s="651"/>
    </row>
    <row r="45" spans="1:29" ht="21" customHeight="1" x14ac:dyDescent="0.2">
      <c r="A45" s="166"/>
      <c r="B45" s="167"/>
      <c r="C45" s="168"/>
      <c r="D45" s="963"/>
      <c r="E45" s="222"/>
      <c r="F45" s="964"/>
      <c r="G45" s="228" t="s">
        <v>14</v>
      </c>
      <c r="H45" s="367">
        <f>H44</f>
        <v>115848</v>
      </c>
      <c r="I45" s="292">
        <f t="shared" ref="I45:M45" si="6">SUM(I44:I44)</f>
        <v>500</v>
      </c>
      <c r="J45" s="290">
        <f t="shared" si="6"/>
        <v>0</v>
      </c>
      <c r="K45" s="291">
        <f t="shared" si="6"/>
        <v>0</v>
      </c>
      <c r="L45" s="290">
        <f t="shared" si="6"/>
        <v>500</v>
      </c>
      <c r="M45" s="407">
        <f t="shared" si="6"/>
        <v>86886</v>
      </c>
      <c r="N45" s="538"/>
      <c r="O45" s="956"/>
      <c r="P45" s="819"/>
      <c r="Q45" s="819"/>
      <c r="R45" s="820"/>
    </row>
    <row r="46" spans="1:29" ht="15" customHeight="1" x14ac:dyDescent="0.2">
      <c r="A46" s="172"/>
      <c r="B46" s="173"/>
      <c r="C46" s="816"/>
      <c r="D46" s="843" t="s">
        <v>142</v>
      </c>
      <c r="E46" s="221"/>
      <c r="F46" s="964"/>
      <c r="G46" s="75" t="s">
        <v>13</v>
      </c>
      <c r="H46" s="595">
        <v>28962</v>
      </c>
      <c r="I46" s="547">
        <v>28962</v>
      </c>
      <c r="J46" s="547">
        <v>28962</v>
      </c>
      <c r="K46" s="547">
        <v>28962</v>
      </c>
      <c r="L46" s="596">
        <v>28962</v>
      </c>
      <c r="M46" s="411">
        <v>28962</v>
      </c>
      <c r="N46" s="406"/>
      <c r="O46" s="845" t="s">
        <v>136</v>
      </c>
      <c r="P46" s="181">
        <v>50</v>
      </c>
      <c r="Q46" s="197">
        <v>100</v>
      </c>
      <c r="R46" s="198"/>
    </row>
    <row r="47" spans="1:29" x14ac:dyDescent="0.2">
      <c r="A47" s="172"/>
      <c r="B47" s="173"/>
      <c r="C47" s="816"/>
      <c r="D47" s="962"/>
      <c r="E47" s="221"/>
      <c r="F47" s="964"/>
      <c r="G47" s="578" t="s">
        <v>28</v>
      </c>
      <c r="H47" s="597">
        <v>115848</v>
      </c>
      <c r="I47" s="533">
        <v>115848</v>
      </c>
      <c r="J47" s="533">
        <v>115848</v>
      </c>
      <c r="K47" s="533">
        <v>115848</v>
      </c>
      <c r="L47" s="598">
        <v>115848</v>
      </c>
      <c r="M47" s="599">
        <v>115848</v>
      </c>
      <c r="N47" s="406"/>
      <c r="O47" s="956"/>
      <c r="P47" s="37"/>
      <c r="Q47" s="579"/>
      <c r="R47" s="651"/>
    </row>
    <row r="48" spans="1:29" x14ac:dyDescent="0.2">
      <c r="A48" s="166"/>
      <c r="B48" s="167"/>
      <c r="C48" s="168"/>
      <c r="D48" s="962"/>
      <c r="E48" s="222"/>
      <c r="F48" s="965"/>
      <c r="G48" s="228" t="s">
        <v>14</v>
      </c>
      <c r="H48" s="367">
        <f>SUM(H46:H47)</f>
        <v>144810</v>
      </c>
      <c r="I48" s="367">
        <f t="shared" ref="I48:M48" si="7">SUM(I46:I47)</f>
        <v>144810</v>
      </c>
      <c r="J48" s="367">
        <f t="shared" si="7"/>
        <v>144810</v>
      </c>
      <c r="K48" s="367">
        <f t="shared" si="7"/>
        <v>144810</v>
      </c>
      <c r="L48" s="367">
        <f t="shared" si="7"/>
        <v>144810</v>
      </c>
      <c r="M48" s="375">
        <f t="shared" si="7"/>
        <v>144810</v>
      </c>
      <c r="N48" s="538"/>
      <c r="O48" s="956"/>
      <c r="P48" s="819"/>
      <c r="Q48" s="819"/>
      <c r="R48" s="820"/>
    </row>
    <row r="49" spans="1:22" ht="13.5" thickBot="1" x14ac:dyDescent="0.25">
      <c r="A49" s="169"/>
      <c r="B49" s="170"/>
      <c r="C49" s="200"/>
      <c r="D49" s="576"/>
      <c r="E49" s="957" t="s">
        <v>113</v>
      </c>
      <c r="F49" s="958"/>
      <c r="G49" s="959"/>
      <c r="H49" s="368">
        <f>H45+H43+H48</f>
        <v>579240</v>
      </c>
      <c r="I49" s="368">
        <f t="shared" ref="I49:M49" si="8">I45+I43+I48</f>
        <v>146410</v>
      </c>
      <c r="J49" s="368">
        <f t="shared" si="8"/>
        <v>144810</v>
      </c>
      <c r="K49" s="368">
        <f t="shared" si="8"/>
        <v>144810</v>
      </c>
      <c r="L49" s="368">
        <f t="shared" si="8"/>
        <v>146410</v>
      </c>
      <c r="M49" s="485">
        <f t="shared" si="8"/>
        <v>610519</v>
      </c>
      <c r="N49" s="368">
        <f>N45+N43+N48</f>
        <v>608202</v>
      </c>
      <c r="O49" s="232"/>
      <c r="P49" s="229"/>
      <c r="Q49" s="230"/>
      <c r="R49" s="231"/>
      <c r="V49" s="4"/>
    </row>
    <row r="50" spans="1:22" ht="15.75" customHeight="1" x14ac:dyDescent="0.2">
      <c r="A50" s="172" t="s">
        <v>11</v>
      </c>
      <c r="B50" s="173" t="s">
        <v>18</v>
      </c>
      <c r="C50" s="816" t="s">
        <v>15</v>
      </c>
      <c r="D50" s="960" t="s">
        <v>91</v>
      </c>
      <c r="E50" s="202" t="s">
        <v>82</v>
      </c>
      <c r="F50" s="34" t="s">
        <v>27</v>
      </c>
      <c r="G50" s="47" t="s">
        <v>30</v>
      </c>
      <c r="H50" s="763">
        <v>435531</v>
      </c>
      <c r="I50" s="338"/>
      <c r="J50" s="326"/>
      <c r="K50" s="295"/>
      <c r="L50" s="296"/>
      <c r="M50" s="405">
        <v>1062789</v>
      </c>
      <c r="N50" s="410"/>
      <c r="O50" s="180" t="s">
        <v>144</v>
      </c>
      <c r="P50" s="764">
        <v>1</v>
      </c>
      <c r="Q50" s="698"/>
      <c r="R50" s="833"/>
      <c r="S50" s="462"/>
    </row>
    <row r="51" spans="1:22" ht="15.75" customHeight="1" x14ac:dyDescent="0.2">
      <c r="A51" s="172"/>
      <c r="B51" s="173"/>
      <c r="C51" s="816"/>
      <c r="D51" s="960"/>
      <c r="E51" s="202"/>
      <c r="F51" s="34"/>
      <c r="G51" s="751" t="s">
        <v>28</v>
      </c>
      <c r="H51" s="726">
        <v>320320</v>
      </c>
      <c r="I51" s="339">
        <f>J51+L51</f>
        <v>2397</v>
      </c>
      <c r="J51" s="327"/>
      <c r="K51" s="239"/>
      <c r="L51" s="297">
        <v>2397</v>
      </c>
      <c r="M51" s="765">
        <v>758804</v>
      </c>
      <c r="N51" s="575"/>
      <c r="O51" s="78" t="s">
        <v>87</v>
      </c>
      <c r="P51" s="79">
        <v>1</v>
      </c>
      <c r="Q51" s="79"/>
      <c r="R51" s="697"/>
      <c r="S51" s="462"/>
    </row>
    <row r="52" spans="1:22" ht="14.25" customHeight="1" x14ac:dyDescent="0.2">
      <c r="A52" s="166"/>
      <c r="B52" s="167"/>
      <c r="C52" s="168"/>
      <c r="D52" s="960"/>
      <c r="E52" s="988" t="s">
        <v>74</v>
      </c>
      <c r="F52" s="34"/>
      <c r="G52" s="68" t="s">
        <v>25</v>
      </c>
      <c r="H52" s="726">
        <v>0</v>
      </c>
      <c r="I52" s="340">
        <f>J52+L52</f>
        <v>9000</v>
      </c>
      <c r="J52" s="328"/>
      <c r="K52" s="298"/>
      <c r="L52" s="299">
        <v>9000</v>
      </c>
      <c r="M52" s="766">
        <v>11128592</v>
      </c>
      <c r="N52" s="542"/>
      <c r="O52" s="8" t="s">
        <v>88</v>
      </c>
      <c r="P52" s="819">
        <v>30</v>
      </c>
      <c r="Q52" s="16">
        <v>100</v>
      </c>
      <c r="R52" s="820"/>
      <c r="U52" s="4"/>
    </row>
    <row r="53" spans="1:22" x14ac:dyDescent="0.2">
      <c r="A53" s="166"/>
      <c r="B53" s="167"/>
      <c r="C53" s="168"/>
      <c r="D53" s="960"/>
      <c r="E53" s="989"/>
      <c r="F53" s="34"/>
      <c r="G53" s="751" t="s">
        <v>17</v>
      </c>
      <c r="H53" s="484">
        <v>10137</v>
      </c>
      <c r="I53" s="339"/>
      <c r="J53" s="738"/>
      <c r="K53" s="738"/>
      <c r="L53" s="297"/>
      <c r="M53" s="766">
        <v>434430</v>
      </c>
      <c r="N53" s="405"/>
      <c r="O53" s="949"/>
      <c r="P53" s="984"/>
      <c r="Q53" s="984"/>
      <c r="R53" s="933"/>
      <c r="S53" s="17"/>
    </row>
    <row r="54" spans="1:22" ht="13.5" thickBot="1" x14ac:dyDescent="0.25">
      <c r="A54" s="169"/>
      <c r="B54" s="170"/>
      <c r="C54" s="171"/>
      <c r="D54" s="961"/>
      <c r="E54" s="990"/>
      <c r="F54" s="72"/>
      <c r="G54" s="69" t="s">
        <v>14</v>
      </c>
      <c r="H54" s="420">
        <f>SUM(H50:H53)</f>
        <v>765988</v>
      </c>
      <c r="I54" s="301">
        <f>SUM(I50:I52)</f>
        <v>11397</v>
      </c>
      <c r="J54" s="293">
        <f>SUM(J50:J52)</f>
        <v>0</v>
      </c>
      <c r="K54" s="294">
        <f>SUM(K50:K52)</f>
        <v>0</v>
      </c>
      <c r="L54" s="300">
        <f>SUM(L50:L52)</f>
        <v>11397</v>
      </c>
      <c r="M54" s="412">
        <f>SUM(M50:M53)</f>
        <v>13384615</v>
      </c>
      <c r="N54" s="412"/>
      <c r="O54" s="949"/>
      <c r="P54" s="984"/>
      <c r="Q54" s="984"/>
      <c r="R54" s="933"/>
    </row>
    <row r="55" spans="1:22" ht="24" customHeight="1" x14ac:dyDescent="0.2">
      <c r="A55" s="155" t="s">
        <v>11</v>
      </c>
      <c r="B55" s="156" t="s">
        <v>18</v>
      </c>
      <c r="C55" s="968" t="s">
        <v>18</v>
      </c>
      <c r="D55" s="971" t="s">
        <v>129</v>
      </c>
      <c r="E55" s="464" t="s">
        <v>82</v>
      </c>
      <c r="F55" s="974" t="s">
        <v>27</v>
      </c>
      <c r="G55" s="66" t="s">
        <v>13</v>
      </c>
      <c r="H55" s="371">
        <f>57/3.4528*1000</f>
        <v>16508</v>
      </c>
      <c r="I55" s="341">
        <f>L55+J55</f>
        <v>57</v>
      </c>
      <c r="J55" s="329"/>
      <c r="K55" s="302"/>
      <c r="L55" s="303">
        <v>57</v>
      </c>
      <c r="M55" s="413">
        <f>672.5/3.4528*1000</f>
        <v>194769</v>
      </c>
      <c r="N55" s="414"/>
      <c r="O55" s="767" t="s">
        <v>144</v>
      </c>
      <c r="P55" s="701"/>
      <c r="Q55" s="768">
        <v>1</v>
      </c>
      <c r="R55" s="702"/>
    </row>
    <row r="56" spans="1:22" ht="24" customHeight="1" x14ac:dyDescent="0.2">
      <c r="A56" s="157"/>
      <c r="B56" s="158"/>
      <c r="C56" s="969"/>
      <c r="D56" s="972"/>
      <c r="E56" s="985" t="s">
        <v>85</v>
      </c>
      <c r="F56" s="975"/>
      <c r="G56" s="74" t="s">
        <v>25</v>
      </c>
      <c r="H56" s="369"/>
      <c r="I56" s="336"/>
      <c r="J56" s="324"/>
      <c r="K56" s="286"/>
      <c r="L56" s="287"/>
      <c r="M56" s="405"/>
      <c r="N56" s="405">
        <f>3105.8/3.4528*1000</f>
        <v>899502</v>
      </c>
      <c r="O56" s="78" t="s">
        <v>87</v>
      </c>
      <c r="P56" s="85"/>
      <c r="Q56" s="79">
        <v>1</v>
      </c>
      <c r="R56" s="84"/>
    </row>
    <row r="57" spans="1:22" ht="24" customHeight="1" x14ac:dyDescent="0.2">
      <c r="A57" s="157"/>
      <c r="B57" s="158"/>
      <c r="C57" s="969"/>
      <c r="D57" s="972"/>
      <c r="E57" s="986"/>
      <c r="F57" s="975"/>
      <c r="G57" s="67" t="s">
        <v>83</v>
      </c>
      <c r="H57" s="362"/>
      <c r="I57" s="336"/>
      <c r="J57" s="325"/>
      <c r="K57" s="288"/>
      <c r="L57" s="289"/>
      <c r="M57" s="409"/>
      <c r="N57" s="405">
        <f>274.1/3.4528*1000</f>
        <v>79385</v>
      </c>
      <c r="O57" s="821" t="s">
        <v>90</v>
      </c>
      <c r="P57" s="88"/>
      <c r="Q57" s="80"/>
      <c r="R57" s="89">
        <v>25</v>
      </c>
    </row>
    <row r="58" spans="1:22" ht="22.5" customHeight="1" x14ac:dyDescent="0.2">
      <c r="A58" s="157"/>
      <c r="B58" s="158"/>
      <c r="C58" s="969"/>
      <c r="D58" s="972"/>
      <c r="E58" s="986"/>
      <c r="F58" s="975"/>
      <c r="G58" s="83" t="s">
        <v>30</v>
      </c>
      <c r="H58" s="358"/>
      <c r="I58" s="337"/>
      <c r="J58" s="330"/>
      <c r="K58" s="304"/>
      <c r="L58" s="305"/>
      <c r="M58" s="415"/>
      <c r="N58" s="416">
        <f>274.1/3.4528*1000</f>
        <v>79385</v>
      </c>
      <c r="O58" s="822"/>
      <c r="P58" s="90"/>
      <c r="Q58" s="437"/>
      <c r="R58" s="91"/>
    </row>
    <row r="59" spans="1:22" ht="13.5" thickBot="1" x14ac:dyDescent="0.25">
      <c r="A59" s="159"/>
      <c r="B59" s="160"/>
      <c r="C59" s="970"/>
      <c r="D59" s="973"/>
      <c r="E59" s="987"/>
      <c r="F59" s="976"/>
      <c r="G59" s="627" t="s">
        <v>14</v>
      </c>
      <c r="H59" s="372">
        <f>SUM(H55:H58)</f>
        <v>16508</v>
      </c>
      <c r="I59" s="276">
        <f>SUM(I55:I57)</f>
        <v>57</v>
      </c>
      <c r="J59" s="331">
        <f t="shared" ref="J59:L59" si="9">SUM(J55:J57)</f>
        <v>0</v>
      </c>
      <c r="K59" s="275">
        <f t="shared" si="9"/>
        <v>0</v>
      </c>
      <c r="L59" s="306">
        <f t="shared" si="9"/>
        <v>57</v>
      </c>
      <c r="M59" s="355">
        <f>SUM(M55:M57)</f>
        <v>194769</v>
      </c>
      <c r="N59" s="417">
        <f>SUM(N55:N58)</f>
        <v>1058272</v>
      </c>
      <c r="O59" s="822"/>
      <c r="P59" s="90"/>
      <c r="Q59" s="437"/>
      <c r="R59" s="91"/>
    </row>
    <row r="60" spans="1:22" ht="15.75" customHeight="1" x14ac:dyDescent="0.2">
      <c r="A60" s="155" t="s">
        <v>11</v>
      </c>
      <c r="B60" s="156" t="s">
        <v>18</v>
      </c>
      <c r="C60" s="968" t="s">
        <v>24</v>
      </c>
      <c r="D60" s="971" t="s">
        <v>81</v>
      </c>
      <c r="E60" s="464" t="s">
        <v>82</v>
      </c>
      <c r="F60" s="974" t="s">
        <v>27</v>
      </c>
      <c r="G60" s="66" t="s">
        <v>13</v>
      </c>
      <c r="H60" s="371">
        <f>30/3.4528*1000</f>
        <v>8689</v>
      </c>
      <c r="I60" s="341">
        <f>L60+J60</f>
        <v>30</v>
      </c>
      <c r="J60" s="329"/>
      <c r="K60" s="302"/>
      <c r="L60" s="303">
        <v>30</v>
      </c>
      <c r="M60" s="413">
        <f>121.2/3.4528*1000</f>
        <v>35102</v>
      </c>
      <c r="N60" s="704"/>
      <c r="O60" s="769" t="s">
        <v>144</v>
      </c>
      <c r="P60" s="768">
        <v>1</v>
      </c>
      <c r="Q60" s="701"/>
      <c r="R60" s="702"/>
    </row>
    <row r="61" spans="1:22" ht="15.75" customHeight="1" x14ac:dyDescent="0.2">
      <c r="A61" s="157"/>
      <c r="B61" s="158"/>
      <c r="C61" s="969"/>
      <c r="D61" s="972"/>
      <c r="E61" s="977" t="s">
        <v>84</v>
      </c>
      <c r="F61" s="975"/>
      <c r="G61" s="74" t="s">
        <v>25</v>
      </c>
      <c r="H61" s="369"/>
      <c r="I61" s="336"/>
      <c r="J61" s="324"/>
      <c r="K61" s="286"/>
      <c r="L61" s="287"/>
      <c r="M61" s="405"/>
      <c r="N61" s="705">
        <f>250.7/3.4528*1000</f>
        <v>72608</v>
      </c>
      <c r="O61" s="770" t="s">
        <v>145</v>
      </c>
      <c r="P61" s="771">
        <v>1</v>
      </c>
      <c r="Q61" s="700"/>
      <c r="R61" s="708"/>
    </row>
    <row r="62" spans="1:22" ht="15.75" customHeight="1" x14ac:dyDescent="0.2">
      <c r="A62" s="157"/>
      <c r="B62" s="158"/>
      <c r="C62" s="969"/>
      <c r="D62" s="972"/>
      <c r="E62" s="978"/>
      <c r="F62" s="975"/>
      <c r="G62" s="67" t="s">
        <v>83</v>
      </c>
      <c r="H62" s="362"/>
      <c r="I62" s="336"/>
      <c r="J62" s="325"/>
      <c r="K62" s="288"/>
      <c r="L62" s="289"/>
      <c r="M62" s="409"/>
      <c r="N62" s="705">
        <f>411.5/3.4528*1000</f>
        <v>119179</v>
      </c>
      <c r="O62" s="86" t="s">
        <v>87</v>
      </c>
      <c r="P62" s="87"/>
      <c r="Q62" s="87">
        <v>1</v>
      </c>
      <c r="R62" s="475"/>
    </row>
    <row r="63" spans="1:22" ht="15.75" customHeight="1" x14ac:dyDescent="0.2">
      <c r="A63" s="157"/>
      <c r="B63" s="158"/>
      <c r="C63" s="969"/>
      <c r="D63" s="972"/>
      <c r="E63" s="978"/>
      <c r="F63" s="975"/>
      <c r="G63" s="83" t="s">
        <v>30</v>
      </c>
      <c r="H63" s="358"/>
      <c r="I63" s="337"/>
      <c r="J63" s="330"/>
      <c r="K63" s="304"/>
      <c r="L63" s="305"/>
      <c r="M63" s="415"/>
      <c r="N63" s="416">
        <f>100/3.4528*1000</f>
        <v>28962</v>
      </c>
      <c r="O63" s="703" t="s">
        <v>89</v>
      </c>
      <c r="P63" s="13"/>
      <c r="Q63" s="14"/>
      <c r="R63" s="820">
        <v>25</v>
      </c>
    </row>
    <row r="64" spans="1:22" ht="13.5" thickBot="1" x14ac:dyDescent="0.25">
      <c r="A64" s="159"/>
      <c r="B64" s="160"/>
      <c r="C64" s="970"/>
      <c r="D64" s="973"/>
      <c r="E64" s="979"/>
      <c r="F64" s="976"/>
      <c r="G64" s="627" t="s">
        <v>14</v>
      </c>
      <c r="H64" s="372">
        <f>SUM(H60:H63)</f>
        <v>8689</v>
      </c>
      <c r="I64" s="276">
        <f>SUM(I60:I62)</f>
        <v>30</v>
      </c>
      <c r="J64" s="331">
        <f t="shared" ref="J64:L64" si="10">SUM(J60:J62)</f>
        <v>0</v>
      </c>
      <c r="K64" s="275">
        <f t="shared" si="10"/>
        <v>0</v>
      </c>
      <c r="L64" s="306">
        <f t="shared" si="10"/>
        <v>30</v>
      </c>
      <c r="M64" s="355">
        <f>SUM(M60:M62)</f>
        <v>35102</v>
      </c>
      <c r="N64" s="372">
        <f>SUM(N60:N63)</f>
        <v>220749</v>
      </c>
      <c r="O64" s="636"/>
      <c r="P64" s="5"/>
      <c r="Q64" s="15"/>
      <c r="R64" s="635"/>
    </row>
    <row r="65" spans="1:25" ht="42.75" customHeight="1" x14ac:dyDescent="0.2">
      <c r="A65" s="172" t="s">
        <v>11</v>
      </c>
      <c r="B65" s="173" t="s">
        <v>18</v>
      </c>
      <c r="C65" s="816" t="s">
        <v>46</v>
      </c>
      <c r="D65" s="980" t="s">
        <v>99</v>
      </c>
      <c r="E65" s="982" t="s">
        <v>98</v>
      </c>
      <c r="F65" s="56" t="s">
        <v>12</v>
      </c>
      <c r="G65" s="35" t="s">
        <v>13</v>
      </c>
      <c r="H65" s="373">
        <f>20/3.4528*1000</f>
        <v>5792</v>
      </c>
      <c r="I65" s="342">
        <f>+J65+L65</f>
        <v>20</v>
      </c>
      <c r="J65" s="332">
        <v>20</v>
      </c>
      <c r="K65" s="307"/>
      <c r="L65" s="308"/>
      <c r="M65" s="418">
        <f>20/3.4528*1000</f>
        <v>5792</v>
      </c>
      <c r="N65" s="418"/>
      <c r="O65" s="180" t="s">
        <v>100</v>
      </c>
      <c r="P65" s="184"/>
      <c r="Q65" s="11">
        <v>1</v>
      </c>
      <c r="R65" s="179"/>
    </row>
    <row r="66" spans="1:25" ht="13.5" thickBot="1" x14ac:dyDescent="0.25">
      <c r="A66" s="166"/>
      <c r="B66" s="167"/>
      <c r="C66" s="168"/>
      <c r="D66" s="981"/>
      <c r="E66" s="983"/>
      <c r="F66" s="56"/>
      <c r="G66" s="69" t="s">
        <v>14</v>
      </c>
      <c r="H66" s="370">
        <f>H65</f>
        <v>5792</v>
      </c>
      <c r="I66" s="301">
        <f>I65</f>
        <v>20</v>
      </c>
      <c r="J66" s="293">
        <f t="shared" ref="J66" si="11">J65</f>
        <v>20</v>
      </c>
      <c r="K66" s="294"/>
      <c r="L66" s="300"/>
      <c r="M66" s="408">
        <f>M65</f>
        <v>5792</v>
      </c>
      <c r="N66" s="408"/>
      <c r="O66" s="182"/>
      <c r="P66" s="183"/>
      <c r="Q66" s="601"/>
      <c r="R66" s="635"/>
    </row>
    <row r="67" spans="1:25" ht="41.25" customHeight="1" x14ac:dyDescent="0.2">
      <c r="A67" s="164" t="s">
        <v>11</v>
      </c>
      <c r="B67" s="165" t="s">
        <v>18</v>
      </c>
      <c r="C67" s="815" t="s">
        <v>97</v>
      </c>
      <c r="D67" s="212" t="s">
        <v>29</v>
      </c>
      <c r="E67" s="61"/>
      <c r="F67" s="55" t="s">
        <v>16</v>
      </c>
      <c r="G67" s="487" t="s">
        <v>13</v>
      </c>
      <c r="H67" s="376">
        <v>81296</v>
      </c>
      <c r="I67" s="488">
        <f>J67+L67</f>
        <v>251</v>
      </c>
      <c r="J67" s="489">
        <v>251</v>
      </c>
      <c r="K67" s="490"/>
      <c r="L67" s="491"/>
      <c r="M67" s="414"/>
      <c r="N67" s="492"/>
      <c r="O67" s="10"/>
      <c r="P67" s="7"/>
      <c r="Q67" s="18"/>
      <c r="R67" s="833"/>
    </row>
    <row r="68" spans="1:25" ht="30" customHeight="1" x14ac:dyDescent="0.2">
      <c r="A68" s="166"/>
      <c r="B68" s="167"/>
      <c r="C68" s="168"/>
      <c r="D68" s="824" t="s">
        <v>130</v>
      </c>
      <c r="E68" s="62"/>
      <c r="F68" s="56"/>
      <c r="G68" s="71"/>
      <c r="H68" s="494"/>
      <c r="I68" s="500"/>
      <c r="J68" s="501"/>
      <c r="K68" s="42"/>
      <c r="L68" s="443"/>
      <c r="M68" s="502"/>
      <c r="N68" s="499"/>
      <c r="O68" s="131" t="s">
        <v>111</v>
      </c>
      <c r="P68" s="132">
        <v>100</v>
      </c>
      <c r="Q68" s="133"/>
      <c r="R68" s="119"/>
    </row>
    <row r="69" spans="1:25" ht="30.75" customHeight="1" x14ac:dyDescent="0.2">
      <c r="A69" s="166"/>
      <c r="B69" s="167"/>
      <c r="C69" s="168"/>
      <c r="D69" s="213" t="s">
        <v>79</v>
      </c>
      <c r="E69" s="62"/>
      <c r="F69" s="56"/>
      <c r="G69" s="493"/>
      <c r="H69" s="494"/>
      <c r="I69" s="495"/>
      <c r="J69" s="496"/>
      <c r="K69" s="497"/>
      <c r="L69" s="498"/>
      <c r="M69" s="499"/>
      <c r="N69" s="499"/>
      <c r="O69" s="104" t="s">
        <v>110</v>
      </c>
      <c r="P69" s="81">
        <v>100</v>
      </c>
      <c r="Q69" s="117"/>
      <c r="R69" s="118"/>
      <c r="V69" s="4"/>
    </row>
    <row r="70" spans="1:25" ht="55.5" customHeight="1" x14ac:dyDescent="0.2">
      <c r="A70" s="166"/>
      <c r="B70" s="167"/>
      <c r="C70" s="168"/>
      <c r="D70" s="825" t="s">
        <v>80</v>
      </c>
      <c r="E70" s="62"/>
      <c r="F70" s="56"/>
      <c r="G70" s="71"/>
      <c r="H70" s="494"/>
      <c r="I70" s="495"/>
      <c r="J70" s="573"/>
      <c r="K70" s="497"/>
      <c r="L70" s="498"/>
      <c r="M70" s="499"/>
      <c r="N70" s="499"/>
      <c r="O70" s="823" t="s">
        <v>109</v>
      </c>
      <c r="P70" s="570">
        <v>100</v>
      </c>
      <c r="Q70" s="110"/>
      <c r="R70" s="820"/>
    </row>
    <row r="71" spans="1:25" ht="18" customHeight="1" x14ac:dyDescent="0.2">
      <c r="A71" s="166"/>
      <c r="B71" s="167"/>
      <c r="C71" s="168"/>
      <c r="D71" s="843" t="s">
        <v>134</v>
      </c>
      <c r="E71" s="62"/>
      <c r="F71" s="56"/>
      <c r="G71" s="493"/>
      <c r="H71" s="494"/>
      <c r="I71" s="500"/>
      <c r="J71" s="501"/>
      <c r="K71" s="42"/>
      <c r="L71" s="443"/>
      <c r="M71" s="502"/>
      <c r="N71" s="499"/>
      <c r="O71" s="845" t="s">
        <v>135</v>
      </c>
      <c r="P71" s="572">
        <v>100</v>
      </c>
      <c r="Q71" s="574"/>
      <c r="R71" s="633"/>
    </row>
    <row r="72" spans="1:25" ht="13.5" thickBot="1" x14ac:dyDescent="0.25">
      <c r="A72" s="166"/>
      <c r="B72" s="167"/>
      <c r="C72" s="168"/>
      <c r="D72" s="844"/>
      <c r="E72" s="63"/>
      <c r="F72" s="57"/>
      <c r="G72" s="46" t="s">
        <v>14</v>
      </c>
      <c r="H72" s="375">
        <f>SUM(H67:H70)</f>
        <v>81296</v>
      </c>
      <c r="I72" s="292">
        <f>J72+L72</f>
        <v>251</v>
      </c>
      <c r="J72" s="333">
        <f>SUM(J67:J70)</f>
        <v>251</v>
      </c>
      <c r="K72" s="291"/>
      <c r="L72" s="309"/>
      <c r="M72" s="407">
        <f>SUM(M68:M70)</f>
        <v>0</v>
      </c>
      <c r="N72" s="407">
        <f>SUM(N68:N70)</f>
        <v>0</v>
      </c>
      <c r="O72" s="846"/>
      <c r="P72" s="571"/>
      <c r="Q72" s="110"/>
      <c r="R72" s="820"/>
    </row>
    <row r="73" spans="1:25" ht="30.75" customHeight="1" x14ac:dyDescent="0.2">
      <c r="A73" s="144" t="s">
        <v>11</v>
      </c>
      <c r="B73" s="884" t="s">
        <v>18</v>
      </c>
      <c r="C73" s="993" t="s">
        <v>104</v>
      </c>
      <c r="D73" s="995" t="s">
        <v>107</v>
      </c>
      <c r="E73" s="997"/>
      <c r="F73" s="999" t="s">
        <v>12</v>
      </c>
      <c r="G73" s="241" t="s">
        <v>13</v>
      </c>
      <c r="H73" s="374">
        <f>100/3.4528*1000</f>
        <v>28962</v>
      </c>
      <c r="I73" s="446">
        <f>J73+L73</f>
        <v>100</v>
      </c>
      <c r="J73" s="311"/>
      <c r="K73" s="311"/>
      <c r="L73" s="447">
        <v>100</v>
      </c>
      <c r="M73" s="448">
        <v>0</v>
      </c>
      <c r="N73" s="449">
        <f>10/3.4528*1000</f>
        <v>2896</v>
      </c>
      <c r="O73" s="1001" t="s">
        <v>108</v>
      </c>
      <c r="P73" s="208">
        <v>100</v>
      </c>
      <c r="Q73" s="203"/>
      <c r="R73" s="204"/>
      <c r="S73" s="205"/>
    </row>
    <row r="74" spans="1:25" ht="13.5" thickBot="1" x14ac:dyDescent="0.25">
      <c r="A74" s="150"/>
      <c r="B74" s="885"/>
      <c r="C74" s="994"/>
      <c r="D74" s="996"/>
      <c r="E74" s="998"/>
      <c r="F74" s="1000"/>
      <c r="G74" s="344" t="s">
        <v>14</v>
      </c>
      <c r="H74" s="377">
        <f>H73</f>
        <v>28962</v>
      </c>
      <c r="I74" s="450">
        <f t="shared" ref="I74:N74" si="12">SUM(I73:I73)</f>
        <v>100</v>
      </c>
      <c r="J74" s="451"/>
      <c r="K74" s="451"/>
      <c r="L74" s="452">
        <f t="shared" si="12"/>
        <v>100</v>
      </c>
      <c r="M74" s="377">
        <f t="shared" si="12"/>
        <v>0</v>
      </c>
      <c r="N74" s="377">
        <f t="shared" si="12"/>
        <v>2896</v>
      </c>
      <c r="O74" s="1002"/>
      <c r="P74" s="206"/>
      <c r="Q74" s="206"/>
      <c r="R74" s="207"/>
      <c r="S74" s="205"/>
      <c r="Y74" s="4"/>
    </row>
    <row r="75" spans="1:25" ht="13.5" thickBot="1" x14ac:dyDescent="0.25">
      <c r="A75" s="137" t="s">
        <v>11</v>
      </c>
      <c r="B75" s="161" t="s">
        <v>18</v>
      </c>
      <c r="C75" s="895" t="s">
        <v>19</v>
      </c>
      <c r="D75" s="895"/>
      <c r="E75" s="895"/>
      <c r="F75" s="895"/>
      <c r="G75" s="895"/>
      <c r="H75" s="356">
        <f>H72+H66+H64+H59+H54+H49+H74</f>
        <v>1486475</v>
      </c>
      <c r="I75" s="343">
        <f>I72+I66+I59+I64+I54+I49</f>
        <v>158165</v>
      </c>
      <c r="J75" s="334">
        <f>J72+J66+J59+J64+J54+J49</f>
        <v>145081</v>
      </c>
      <c r="K75" s="310">
        <f>K72+K66+K59+K64+K54+K49</f>
        <v>144810</v>
      </c>
      <c r="L75" s="310">
        <f>L72+L66+L59+L64+L54+L49</f>
        <v>157894</v>
      </c>
      <c r="M75" s="419">
        <f>M72+M66+M59+M64+M54+M49</f>
        <v>14230797</v>
      </c>
      <c r="N75" s="419">
        <f>N72+N66+N59+N64+N54+N49+N74</f>
        <v>1890119</v>
      </c>
      <c r="O75" s="1003"/>
      <c r="P75" s="1004"/>
      <c r="Q75" s="1004"/>
      <c r="R75" s="1005"/>
    </row>
    <row r="76" spans="1:25" ht="13.5" thickBot="1" x14ac:dyDescent="0.25">
      <c r="A76" s="174" t="s">
        <v>11</v>
      </c>
      <c r="B76" s="161" t="s">
        <v>24</v>
      </c>
      <c r="C76" s="1006" t="s">
        <v>52</v>
      </c>
      <c r="D76" s="1006"/>
      <c r="E76" s="1006"/>
      <c r="F76" s="1006"/>
      <c r="G76" s="1006"/>
      <c r="H76" s="1007"/>
      <c r="I76" s="1007"/>
      <c r="J76" s="1007"/>
      <c r="K76" s="1007"/>
      <c r="L76" s="1007"/>
      <c r="M76" s="1006"/>
      <c r="N76" s="1006"/>
      <c r="O76" s="1006"/>
      <c r="P76" s="1008"/>
      <c r="Q76" s="1008"/>
      <c r="R76" s="1009"/>
    </row>
    <row r="77" spans="1:25" ht="29.25" customHeight="1" x14ac:dyDescent="0.2">
      <c r="A77" s="144" t="s">
        <v>11</v>
      </c>
      <c r="B77" s="145" t="s">
        <v>24</v>
      </c>
      <c r="C77" s="146" t="s">
        <v>11</v>
      </c>
      <c r="D77" s="1015" t="s">
        <v>49</v>
      </c>
      <c r="E77" s="19"/>
      <c r="F77" s="811" t="s">
        <v>12</v>
      </c>
      <c r="G77" s="240" t="s">
        <v>13</v>
      </c>
      <c r="H77" s="376">
        <f>2314.3/3.4528*1000</f>
        <v>670268</v>
      </c>
      <c r="I77" s="345">
        <f>+J77+L77</f>
        <v>2314</v>
      </c>
      <c r="J77" s="311">
        <f>2114.3+200</f>
        <v>2314</v>
      </c>
      <c r="K77" s="277"/>
      <c r="L77" s="251"/>
      <c r="M77" s="398">
        <f>1300/3.4528*1000</f>
        <v>376506</v>
      </c>
      <c r="N77" s="399">
        <f>1300/3.4528*1000</f>
        <v>376506</v>
      </c>
      <c r="O77" s="898" t="s">
        <v>120</v>
      </c>
      <c r="P77" s="827">
        <v>8</v>
      </c>
      <c r="Q77" s="1016">
        <v>8</v>
      </c>
      <c r="R77" s="991">
        <v>8</v>
      </c>
    </row>
    <row r="78" spans="1:25" ht="13.5" thickBot="1" x14ac:dyDescent="0.25">
      <c r="A78" s="150"/>
      <c r="B78" s="151"/>
      <c r="C78" s="152"/>
      <c r="D78" s="961"/>
      <c r="E78" s="440"/>
      <c r="F78" s="812"/>
      <c r="G78" s="441" t="s">
        <v>14</v>
      </c>
      <c r="H78" s="420">
        <f>H77</f>
        <v>670268</v>
      </c>
      <c r="I78" s="346">
        <f>+I77</f>
        <v>2314</v>
      </c>
      <c r="J78" s="253">
        <f>+J77</f>
        <v>2314</v>
      </c>
      <c r="K78" s="253"/>
      <c r="L78" s="312"/>
      <c r="M78" s="420">
        <f>M77</f>
        <v>376506</v>
      </c>
      <c r="N78" s="370">
        <f>N77</f>
        <v>376506</v>
      </c>
      <c r="O78" s="846"/>
      <c r="P78" s="828"/>
      <c r="Q78" s="1017"/>
      <c r="R78" s="992"/>
    </row>
    <row r="79" spans="1:25" ht="42" customHeight="1" x14ac:dyDescent="0.2">
      <c r="A79" s="882" t="s">
        <v>11</v>
      </c>
      <c r="B79" s="884" t="s">
        <v>24</v>
      </c>
      <c r="C79" s="1010" t="s">
        <v>15</v>
      </c>
      <c r="D79" s="1012" t="s">
        <v>31</v>
      </c>
      <c r="E79" s="1013"/>
      <c r="F79" s="931" t="s">
        <v>12</v>
      </c>
      <c r="G79" s="109" t="s">
        <v>13</v>
      </c>
      <c r="H79" s="351">
        <f>50/3.4528*1000</f>
        <v>14481</v>
      </c>
      <c r="I79" s="347">
        <f>+J79+L79</f>
        <v>50</v>
      </c>
      <c r="J79" s="313">
        <v>50</v>
      </c>
      <c r="K79" s="313"/>
      <c r="L79" s="314"/>
      <c r="M79" s="398">
        <f>50/3.4528*1000</f>
        <v>14481</v>
      </c>
      <c r="N79" s="398">
        <f>50/3.4528*1000</f>
        <v>14481</v>
      </c>
      <c r="O79" s="813" t="s">
        <v>121</v>
      </c>
      <c r="P79" s="827">
        <v>20</v>
      </c>
      <c r="Q79" s="814">
        <v>25</v>
      </c>
      <c r="R79" s="111">
        <v>25</v>
      </c>
    </row>
    <row r="80" spans="1:25" ht="13.5" thickBot="1" x14ac:dyDescent="0.25">
      <c r="A80" s="883"/>
      <c r="B80" s="885"/>
      <c r="C80" s="1011"/>
      <c r="D80" s="967"/>
      <c r="E80" s="1014"/>
      <c r="F80" s="932"/>
      <c r="G80" s="41" t="s">
        <v>14</v>
      </c>
      <c r="H80" s="355">
        <f>H79</f>
        <v>14481</v>
      </c>
      <c r="I80" s="331">
        <f>+I79</f>
        <v>50</v>
      </c>
      <c r="J80" s="275">
        <f>+J79</f>
        <v>50</v>
      </c>
      <c r="K80" s="275"/>
      <c r="L80" s="254"/>
      <c r="M80" s="420">
        <f>SUM(M79:M79)</f>
        <v>14481</v>
      </c>
      <c r="N80" s="421">
        <f>SUM(N79:N79)</f>
        <v>14481</v>
      </c>
      <c r="O80" s="112"/>
      <c r="P80" s="113"/>
      <c r="Q80" s="53"/>
      <c r="R80" s="54"/>
    </row>
    <row r="81" spans="1:19" ht="13.5" thickBot="1" x14ac:dyDescent="0.25">
      <c r="A81" s="137" t="s">
        <v>11</v>
      </c>
      <c r="B81" s="175" t="s">
        <v>24</v>
      </c>
      <c r="C81" s="895" t="s">
        <v>19</v>
      </c>
      <c r="D81" s="895"/>
      <c r="E81" s="895"/>
      <c r="F81" s="895"/>
      <c r="G81" s="895"/>
      <c r="H81" s="356">
        <f>H80+H78</f>
        <v>684749</v>
      </c>
      <c r="I81" s="245">
        <f>I78+I80+I74</f>
        <v>2464</v>
      </c>
      <c r="J81" s="315">
        <f>J78+J80+J74</f>
        <v>2364</v>
      </c>
      <c r="K81" s="315">
        <f>K78+K80+K74</f>
        <v>0</v>
      </c>
      <c r="L81" s="315">
        <f>L78+L80+L74</f>
        <v>100</v>
      </c>
      <c r="M81" s="422">
        <f>M78+M80</f>
        <v>390987</v>
      </c>
      <c r="N81" s="422">
        <f>N78+N80</f>
        <v>390987</v>
      </c>
      <c r="O81" s="120"/>
      <c r="P81" s="121"/>
      <c r="Q81" s="121"/>
      <c r="R81" s="122"/>
    </row>
    <row r="82" spans="1:19" ht="13.5" thickBot="1" x14ac:dyDescent="0.25">
      <c r="A82" s="137" t="s">
        <v>11</v>
      </c>
      <c r="B82" s="1023" t="s">
        <v>32</v>
      </c>
      <c r="C82" s="1024"/>
      <c r="D82" s="1024"/>
      <c r="E82" s="1024"/>
      <c r="F82" s="1024"/>
      <c r="G82" s="1024"/>
      <c r="H82" s="378">
        <f>H81+H75+H37+H18</f>
        <v>6556338</v>
      </c>
      <c r="I82" s="317">
        <f>+J82+L82</f>
        <v>319177</v>
      </c>
      <c r="J82" s="316">
        <f>+J18+J37+J81+J75</f>
        <v>160905</v>
      </c>
      <c r="K82" s="317">
        <f>+K18+K37+K81</f>
        <v>6648</v>
      </c>
      <c r="L82" s="318">
        <f>+L18+L37+L81+L75</f>
        <v>158272</v>
      </c>
      <c r="M82" s="423">
        <f>+M18+M37+M81+M75</f>
        <v>18882471</v>
      </c>
      <c r="N82" s="423">
        <f>+N18+N37+N81+N75</f>
        <v>6478076</v>
      </c>
      <c r="O82" s="123"/>
      <c r="P82" s="124"/>
      <c r="Q82" s="124"/>
      <c r="R82" s="125"/>
    </row>
    <row r="83" spans="1:19" ht="13.5" thickBot="1" x14ac:dyDescent="0.25">
      <c r="A83" s="176" t="s">
        <v>33</v>
      </c>
      <c r="B83" s="1025" t="s">
        <v>34</v>
      </c>
      <c r="C83" s="1026"/>
      <c r="D83" s="1026"/>
      <c r="E83" s="1026"/>
      <c r="F83" s="1026"/>
      <c r="G83" s="1026"/>
      <c r="H83" s="379">
        <f>H82</f>
        <v>6556338</v>
      </c>
      <c r="I83" s="320">
        <f>+I82</f>
        <v>319177</v>
      </c>
      <c r="J83" s="319">
        <f>+J82</f>
        <v>160905</v>
      </c>
      <c r="K83" s="320">
        <f>+K82</f>
        <v>6648</v>
      </c>
      <c r="L83" s="321">
        <f>+L82</f>
        <v>158272</v>
      </c>
      <c r="M83" s="424">
        <f>M82</f>
        <v>18882471</v>
      </c>
      <c r="N83" s="424">
        <f>N82</f>
        <v>6478076</v>
      </c>
      <c r="O83" s="126"/>
      <c r="P83" s="127"/>
      <c r="Q83" s="127"/>
      <c r="R83" s="128"/>
    </row>
    <row r="84" spans="1:19" x14ac:dyDescent="0.2">
      <c r="A84" s="234"/>
      <c r="B84" s="235"/>
      <c r="C84" s="235"/>
      <c r="D84" s="235"/>
      <c r="E84" s="235"/>
      <c r="F84" s="235"/>
      <c r="G84" s="235"/>
      <c r="H84" s="380"/>
      <c r="I84" s="322"/>
      <c r="J84" s="322"/>
      <c r="K84" s="322"/>
      <c r="L84" s="322"/>
      <c r="M84" s="425"/>
      <c r="N84" s="425"/>
      <c r="O84" s="236"/>
      <c r="P84" s="237"/>
      <c r="Q84" s="237"/>
      <c r="R84" s="237"/>
      <c r="S84" s="238"/>
    </row>
    <row r="85" spans="1:19" ht="15" thickBot="1" x14ac:dyDescent="0.25">
      <c r="A85" s="177"/>
      <c r="B85" s="22"/>
      <c r="C85" s="178"/>
      <c r="D85" s="1027" t="s">
        <v>35</v>
      </c>
      <c r="E85" s="1027"/>
      <c r="F85" s="1027"/>
      <c r="G85" s="1027"/>
      <c r="H85" s="1027"/>
      <c r="I85" s="1027"/>
      <c r="J85" s="1027"/>
      <c r="K85" s="1027"/>
      <c r="L85" s="1027"/>
      <c r="M85" s="1027"/>
      <c r="N85" s="1027"/>
      <c r="O85" s="105"/>
      <c r="P85" s="101"/>
      <c r="Q85" s="101"/>
      <c r="R85" s="101"/>
    </row>
    <row r="86" spans="1:19" ht="36.75" thickBot="1" x14ac:dyDescent="0.25">
      <c r="A86" s="1037" t="s">
        <v>36</v>
      </c>
      <c r="B86" s="1038"/>
      <c r="C86" s="1038"/>
      <c r="D86" s="1038"/>
      <c r="E86" s="1038"/>
      <c r="F86" s="1038"/>
      <c r="G86" s="1039"/>
      <c r="H86" s="381" t="s">
        <v>115</v>
      </c>
      <c r="I86" s="1028" t="s">
        <v>115</v>
      </c>
      <c r="J86" s="1029"/>
      <c r="K86" s="1029"/>
      <c r="L86" s="1030"/>
      <c r="M86" s="426" t="s">
        <v>116</v>
      </c>
      <c r="N86" s="427" t="s">
        <v>117</v>
      </c>
      <c r="O86" s="21"/>
      <c r="P86" s="807"/>
      <c r="Q86" s="1040"/>
      <c r="R86" s="1040"/>
    </row>
    <row r="87" spans="1:19" x14ac:dyDescent="0.2">
      <c r="A87" s="1034" t="s">
        <v>37</v>
      </c>
      <c r="B87" s="1035"/>
      <c r="C87" s="1035"/>
      <c r="D87" s="1035"/>
      <c r="E87" s="1035"/>
      <c r="F87" s="1035"/>
      <c r="G87" s="1036"/>
      <c r="H87" s="382">
        <f ca="1">SUM(H88:H92)</f>
        <v>6372429</v>
      </c>
      <c r="I87" s="1041">
        <f>SUM(I88:L92)</f>
        <v>164767</v>
      </c>
      <c r="J87" s="1042"/>
      <c r="K87" s="1042"/>
      <c r="L87" s="1043"/>
      <c r="M87" s="428">
        <f>SUM(M88:M92)</f>
        <v>7319449</v>
      </c>
      <c r="N87" s="429">
        <f>SUM(N88:N92)</f>
        <v>5307402</v>
      </c>
      <c r="O87" s="106"/>
      <c r="P87" s="806"/>
      <c r="Q87" s="1018"/>
      <c r="R87" s="1018"/>
    </row>
    <row r="88" spans="1:19" x14ac:dyDescent="0.2">
      <c r="A88" s="1031" t="s">
        <v>38</v>
      </c>
      <c r="B88" s="1032"/>
      <c r="C88" s="1032"/>
      <c r="D88" s="1032"/>
      <c r="E88" s="1032"/>
      <c r="F88" s="1032"/>
      <c r="G88" s="1033"/>
      <c r="H88" s="383">
        <f ca="1">SUMIF(G12:H79,"sb",H12:H79)</f>
        <v>5191873</v>
      </c>
      <c r="I88" s="1019">
        <f>SUMIF(G12:G80,"sb",I12:I80)</f>
        <v>45752</v>
      </c>
      <c r="J88" s="1020"/>
      <c r="K88" s="1020"/>
      <c r="L88" s="1021"/>
      <c r="M88" s="430">
        <f>SUMIF(G12:G80,"sb",M12:M80)</f>
        <v>5158972</v>
      </c>
      <c r="N88" s="431">
        <f>SUMIF(G12:G80,"sb",N12:N80)</f>
        <v>4976019</v>
      </c>
      <c r="O88" s="108"/>
      <c r="P88" s="804"/>
      <c r="Q88" s="1022"/>
      <c r="R88" s="1022"/>
    </row>
    <row r="89" spans="1:19" ht="12.75" customHeight="1" x14ac:dyDescent="0.2">
      <c r="A89" s="1062" t="s">
        <v>39</v>
      </c>
      <c r="B89" s="1063"/>
      <c r="C89" s="1063"/>
      <c r="D89" s="1063"/>
      <c r="E89" s="1063"/>
      <c r="F89" s="1063"/>
      <c r="G89" s="1064"/>
      <c r="H89" s="384">
        <f>SUMIF(G12:G79,"sb(sp)",H12:H79)</f>
        <v>240443</v>
      </c>
      <c r="I89" s="1044">
        <f>SUMIF(G12:G78,"sb(sp)",I12:I78)</f>
        <v>770</v>
      </c>
      <c r="J89" s="1045"/>
      <c r="K89" s="1045"/>
      <c r="L89" s="1046"/>
      <c r="M89" s="432">
        <f>SUMIF(G18:G78,G21,M18:M78)</f>
        <v>223036</v>
      </c>
      <c r="N89" s="395">
        <f>SUMIF(G18:G78,G21,N18:N78)</f>
        <v>223036</v>
      </c>
      <c r="O89" s="108"/>
      <c r="P89" s="804"/>
      <c r="Q89" s="1022"/>
      <c r="R89" s="1022"/>
    </row>
    <row r="90" spans="1:19" ht="12.75" customHeight="1" x14ac:dyDescent="0.2">
      <c r="A90" s="1068" t="s">
        <v>141</v>
      </c>
      <c r="B90" s="1069"/>
      <c r="C90" s="1069"/>
      <c r="D90" s="1069"/>
      <c r="E90" s="1069"/>
      <c r="F90" s="1069"/>
      <c r="G90" s="1070"/>
      <c r="H90" s="384">
        <f>SUMIF(G12:G79,"SB(SPL)",H12:H79)</f>
        <v>68414</v>
      </c>
      <c r="I90" s="802"/>
      <c r="J90" s="803"/>
      <c r="K90" s="803"/>
      <c r="L90" s="803"/>
      <c r="M90" s="432"/>
      <c r="N90" s="395"/>
      <c r="O90" s="108"/>
      <c r="P90" s="804"/>
      <c r="Q90" s="804"/>
      <c r="R90" s="804"/>
    </row>
    <row r="91" spans="1:19" x14ac:dyDescent="0.2">
      <c r="A91" s="1062" t="s">
        <v>40</v>
      </c>
      <c r="B91" s="1063"/>
      <c r="C91" s="1063"/>
      <c r="D91" s="1063"/>
      <c r="E91" s="1063"/>
      <c r="F91" s="1063"/>
      <c r="G91" s="1064"/>
      <c r="H91" s="384">
        <f>SUMIF(G12:G79,"sb(p)",H12:H79)</f>
        <v>435531</v>
      </c>
      <c r="I91" s="1060">
        <f>SUMIF(G12:G78,"sb(p)",I12:I78)</f>
        <v>0</v>
      </c>
      <c r="J91" s="1061"/>
      <c r="K91" s="1061"/>
      <c r="L91" s="1061"/>
      <c r="M91" s="433">
        <f>SUMIF(G12:G78,"sb(p)",M12:M78)</f>
        <v>1062789</v>
      </c>
      <c r="N91" s="404">
        <f>SUMIF(G18:G78,"sb(p)",N18:N78)</f>
        <v>108347</v>
      </c>
      <c r="O91" s="108"/>
      <c r="P91" s="804"/>
      <c r="Q91" s="1022"/>
      <c r="R91" s="1022"/>
    </row>
    <row r="92" spans="1:19" ht="16.5" customHeight="1" x14ac:dyDescent="0.2">
      <c r="A92" s="1062" t="s">
        <v>41</v>
      </c>
      <c r="B92" s="1063"/>
      <c r="C92" s="1063"/>
      <c r="D92" s="1063"/>
      <c r="E92" s="1063"/>
      <c r="F92" s="1063"/>
      <c r="G92" s="1064"/>
      <c r="H92" s="384">
        <f>SUMIF(G12:G79,"sb(vb)",H12:H79)</f>
        <v>436168</v>
      </c>
      <c r="I92" s="1054">
        <f>SUMIF(G12:G78,"sb(vb)",I12:I78)</f>
        <v>118245</v>
      </c>
      <c r="J92" s="1055"/>
      <c r="K92" s="1055"/>
      <c r="L92" s="1056"/>
      <c r="M92" s="433">
        <f>SUMIF(G18:G78,G51,M18:M78)</f>
        <v>874652</v>
      </c>
      <c r="N92" s="404">
        <f>SUMIF(G18:G78,"sb(vb)",N18:N78)</f>
        <v>0</v>
      </c>
      <c r="O92" s="108"/>
      <c r="P92" s="804"/>
      <c r="Q92" s="804"/>
      <c r="R92" s="804"/>
    </row>
    <row r="93" spans="1:19" x14ac:dyDescent="0.2">
      <c r="A93" s="1065" t="s">
        <v>42</v>
      </c>
      <c r="B93" s="1066"/>
      <c r="C93" s="1066"/>
      <c r="D93" s="1066"/>
      <c r="E93" s="1066"/>
      <c r="F93" s="1066"/>
      <c r="G93" s="1067"/>
      <c r="H93" s="385">
        <f>SUM(H94:H96)</f>
        <v>183909</v>
      </c>
      <c r="I93" s="1057">
        <f>SUM(I94:L96)</f>
        <v>9600</v>
      </c>
      <c r="J93" s="1058"/>
      <c r="K93" s="1058"/>
      <c r="L93" s="1059"/>
      <c r="M93" s="434">
        <f>SUM(M94:M96)</f>
        <v>11563022</v>
      </c>
      <c r="N93" s="435">
        <f>SUM(N94:N96)</f>
        <v>1170674</v>
      </c>
      <c r="O93" s="106"/>
      <c r="P93" s="806"/>
      <c r="Q93" s="1018"/>
      <c r="R93" s="1018"/>
    </row>
    <row r="94" spans="1:19" x14ac:dyDescent="0.2">
      <c r="A94" s="1031" t="s">
        <v>43</v>
      </c>
      <c r="B94" s="1032"/>
      <c r="C94" s="1032"/>
      <c r="D94" s="1032"/>
      <c r="E94" s="1032"/>
      <c r="F94" s="1032"/>
      <c r="G94" s="1033"/>
      <c r="H94" s="383">
        <f>SUMIF(G12:G79,"es",H12:H79)</f>
        <v>0</v>
      </c>
      <c r="I94" s="1044">
        <f>SUMIF(G12:G78,"es",I12:I78)</f>
        <v>9000</v>
      </c>
      <c r="J94" s="1045"/>
      <c r="K94" s="1045"/>
      <c r="L94" s="1046"/>
      <c r="M94" s="432">
        <f>SUMIF(G18:G78,"es",M18:M78)</f>
        <v>11128592</v>
      </c>
      <c r="N94" s="395">
        <f>SUMIF(G18:G78,"es",N18:N78)</f>
        <v>972110</v>
      </c>
      <c r="O94" s="108"/>
      <c r="P94" s="804"/>
      <c r="Q94" s="1022"/>
      <c r="R94" s="1022"/>
    </row>
    <row r="95" spans="1:19" x14ac:dyDescent="0.2">
      <c r="A95" s="1031" t="s">
        <v>86</v>
      </c>
      <c r="B95" s="1032"/>
      <c r="C95" s="1032"/>
      <c r="D95" s="1032"/>
      <c r="E95" s="1032"/>
      <c r="F95" s="1032"/>
      <c r="G95" s="1033"/>
      <c r="H95" s="383">
        <f>SUMIF(G12:G79,"lrvb",H12:H79)</f>
        <v>0</v>
      </c>
      <c r="I95" s="1044"/>
      <c r="J95" s="1045"/>
      <c r="K95" s="1045"/>
      <c r="L95" s="1046"/>
      <c r="M95" s="432"/>
      <c r="N95" s="395">
        <f>SUMIF(G12:G78,"lrvb",N12:N78)</f>
        <v>198564</v>
      </c>
      <c r="O95" s="108"/>
      <c r="P95" s="804"/>
      <c r="Q95" s="804"/>
      <c r="R95" s="804"/>
    </row>
    <row r="96" spans="1:19" x14ac:dyDescent="0.2">
      <c r="A96" s="1031" t="s">
        <v>44</v>
      </c>
      <c r="B96" s="1032"/>
      <c r="C96" s="1032"/>
      <c r="D96" s="1032"/>
      <c r="E96" s="1032"/>
      <c r="F96" s="1032"/>
      <c r="G96" s="1033"/>
      <c r="H96" s="383">
        <f>SUMIF(G12:G79,"kt",H12:H79)</f>
        <v>183909</v>
      </c>
      <c r="I96" s="1044">
        <f>SUMIF(G12:G78,"kt",I12:I78)</f>
        <v>600</v>
      </c>
      <c r="J96" s="1045"/>
      <c r="K96" s="1045"/>
      <c r="L96" s="1046"/>
      <c r="M96" s="432">
        <f>SUMIF(G12:G78,"kt",M12:M78)</f>
        <v>434430</v>
      </c>
      <c r="N96" s="395">
        <f>SUMIF(G18:G78,"kt",N18:N78)</f>
        <v>0</v>
      </c>
      <c r="O96" s="108"/>
      <c r="P96" s="804"/>
      <c r="Q96" s="804"/>
      <c r="R96" s="804"/>
    </row>
    <row r="97" spans="1:18" ht="13.5" thickBot="1" x14ac:dyDescent="0.25">
      <c r="A97" s="1051" t="s">
        <v>14</v>
      </c>
      <c r="B97" s="1052"/>
      <c r="C97" s="1052"/>
      <c r="D97" s="1052"/>
      <c r="E97" s="1052"/>
      <c r="F97" s="1052"/>
      <c r="G97" s="1053"/>
      <c r="H97" s="386">
        <f ca="1">H93+H87</f>
        <v>6556338</v>
      </c>
      <c r="I97" s="1047">
        <f>+I87+I93</f>
        <v>174367</v>
      </c>
      <c r="J97" s="1048"/>
      <c r="K97" s="1048"/>
      <c r="L97" s="1049"/>
      <c r="M97" s="370">
        <f>M93+M87</f>
        <v>18882471</v>
      </c>
      <c r="N97" s="420">
        <f>N93+N87</f>
        <v>6478076</v>
      </c>
      <c r="O97" s="107"/>
      <c r="P97" s="805"/>
      <c r="Q97" s="1050"/>
      <c r="R97" s="1050"/>
    </row>
    <row r="99" spans="1:18" x14ac:dyDescent="0.2">
      <c r="O99" s="348"/>
    </row>
    <row r="111" spans="1:18" x14ac:dyDescent="0.2">
      <c r="H111" s="1"/>
      <c r="I111" s="1"/>
      <c r="J111" s="1"/>
      <c r="K111" s="1"/>
      <c r="L111" s="1"/>
      <c r="M111" s="1"/>
      <c r="N111" s="1"/>
    </row>
    <row r="112" spans="1:18" x14ac:dyDescent="0.2">
      <c r="H112" s="1"/>
      <c r="I112" s="1"/>
      <c r="J112" s="1"/>
      <c r="K112" s="1"/>
      <c r="L112" s="1"/>
      <c r="M112" s="1"/>
      <c r="N112" s="1"/>
    </row>
  </sheetData>
  <mergeCells count="137">
    <mergeCell ref="I92:L92"/>
    <mergeCell ref="I93:L93"/>
    <mergeCell ref="I89:L89"/>
    <mergeCell ref="Q89:R89"/>
    <mergeCell ref="I91:L91"/>
    <mergeCell ref="Q91:R91"/>
    <mergeCell ref="A92:G92"/>
    <mergeCell ref="A91:G91"/>
    <mergeCell ref="A89:G89"/>
    <mergeCell ref="A93:G93"/>
    <mergeCell ref="A90:G90"/>
    <mergeCell ref="I96:L96"/>
    <mergeCell ref="I97:L97"/>
    <mergeCell ref="Q97:R97"/>
    <mergeCell ref="Q93:R93"/>
    <mergeCell ref="I94:L94"/>
    <mergeCell ref="Q94:R94"/>
    <mergeCell ref="I95:L95"/>
    <mergeCell ref="A94:G94"/>
    <mergeCell ref="A95:G95"/>
    <mergeCell ref="A96:G96"/>
    <mergeCell ref="A97:G97"/>
    <mergeCell ref="Q87:R87"/>
    <mergeCell ref="I88:L88"/>
    <mergeCell ref="Q88:R88"/>
    <mergeCell ref="C81:G81"/>
    <mergeCell ref="B82:G82"/>
    <mergeCell ref="B83:G83"/>
    <mergeCell ref="D85:N85"/>
    <mergeCell ref="I86:L86"/>
    <mergeCell ref="A88:G88"/>
    <mergeCell ref="A87:G87"/>
    <mergeCell ref="A86:G86"/>
    <mergeCell ref="Q86:R86"/>
    <mergeCell ref="I87:L87"/>
    <mergeCell ref="A79:A80"/>
    <mergeCell ref="B79:B80"/>
    <mergeCell ref="C79:C80"/>
    <mergeCell ref="D79:D80"/>
    <mergeCell ref="E79:E80"/>
    <mergeCell ref="F79:F80"/>
    <mergeCell ref="D77:D78"/>
    <mergeCell ref="O77:O78"/>
    <mergeCell ref="Q77:Q78"/>
    <mergeCell ref="R77:R78"/>
    <mergeCell ref="B73:B74"/>
    <mergeCell ref="C73:C74"/>
    <mergeCell ref="D73:D74"/>
    <mergeCell ref="E73:E74"/>
    <mergeCell ref="F73:F74"/>
    <mergeCell ref="O73:O74"/>
    <mergeCell ref="C75:G75"/>
    <mergeCell ref="O75:R75"/>
    <mergeCell ref="C76:R76"/>
    <mergeCell ref="C60:C64"/>
    <mergeCell ref="D60:D64"/>
    <mergeCell ref="F60:F64"/>
    <mergeCell ref="E61:E64"/>
    <mergeCell ref="D65:D66"/>
    <mergeCell ref="E65:E66"/>
    <mergeCell ref="P53:P54"/>
    <mergeCell ref="Q53:Q54"/>
    <mergeCell ref="C55:C59"/>
    <mergeCell ref="D55:D59"/>
    <mergeCell ref="F55:F59"/>
    <mergeCell ref="E56:E59"/>
    <mergeCell ref="E52:E54"/>
    <mergeCell ref="C18:G18"/>
    <mergeCell ref="O18:R18"/>
    <mergeCell ref="F16:F17"/>
    <mergeCell ref="R53:R54"/>
    <mergeCell ref="E29:E32"/>
    <mergeCell ref="D35:D36"/>
    <mergeCell ref="O35:O36"/>
    <mergeCell ref="D33:D34"/>
    <mergeCell ref="D20:D21"/>
    <mergeCell ref="O37:R37"/>
    <mergeCell ref="C38:R38"/>
    <mergeCell ref="O20:O21"/>
    <mergeCell ref="O22:O24"/>
    <mergeCell ref="C19:R19"/>
    <mergeCell ref="O44:O45"/>
    <mergeCell ref="E49:G49"/>
    <mergeCell ref="D50:D54"/>
    <mergeCell ref="O53:O54"/>
    <mergeCell ref="O46:O48"/>
    <mergeCell ref="D44:D45"/>
    <mergeCell ref="D46:D48"/>
    <mergeCell ref="C16:C17"/>
    <mergeCell ref="F44:F48"/>
    <mergeCell ref="D27:D28"/>
    <mergeCell ref="D16:D17"/>
    <mergeCell ref="E16:E17"/>
    <mergeCell ref="O12:O13"/>
    <mergeCell ref="A14:A15"/>
    <mergeCell ref="D14:D15"/>
    <mergeCell ref="O16:O17"/>
    <mergeCell ref="A1:S1"/>
    <mergeCell ref="A2:S2"/>
    <mergeCell ref="A3:S3"/>
    <mergeCell ref="P4:R4"/>
    <mergeCell ref="A5:A7"/>
    <mergeCell ref="B5:B7"/>
    <mergeCell ref="C5:C7"/>
    <mergeCell ref="D5:D7"/>
    <mergeCell ref="E5:E7"/>
    <mergeCell ref="F5:F7"/>
    <mergeCell ref="H5:H7"/>
    <mergeCell ref="P16:P17"/>
    <mergeCell ref="Q16:Q17"/>
    <mergeCell ref="R16:R17"/>
    <mergeCell ref="B14:B15"/>
    <mergeCell ref="C14:C15"/>
    <mergeCell ref="D71:D72"/>
    <mergeCell ref="O71:O72"/>
    <mergeCell ref="G5:G7"/>
    <mergeCell ref="I5:L7"/>
    <mergeCell ref="M5:M7"/>
    <mergeCell ref="N5:N7"/>
    <mergeCell ref="O5:R5"/>
    <mergeCell ref="O6:O7"/>
    <mergeCell ref="P6:R6"/>
    <mergeCell ref="A8:R8"/>
    <mergeCell ref="A9:R9"/>
    <mergeCell ref="B10:R10"/>
    <mergeCell ref="C11:R11"/>
    <mergeCell ref="A12:A13"/>
    <mergeCell ref="B12:B13"/>
    <mergeCell ref="C12:C13"/>
    <mergeCell ref="D12:D13"/>
    <mergeCell ref="E12:E13"/>
    <mergeCell ref="F12:F13"/>
    <mergeCell ref="E14:E15"/>
    <mergeCell ref="F14:F15"/>
    <mergeCell ref="C37:G37"/>
    <mergeCell ref="A16:A17"/>
    <mergeCell ref="B16:B17"/>
  </mergeCells>
  <printOptions horizontalCentered="1"/>
  <pageMargins left="0.78740157480314965" right="0.19685039370078741" top="0.78740157480314965" bottom="0.78740157480314965" header="0.31496062992125984" footer="0.31496062992125984"/>
  <pageSetup paperSize="9" scale="74" orientation="portrait" r:id="rId1"/>
  <rowBreaks count="2" manualBreakCount="2">
    <brk id="43" max="17" man="1"/>
    <brk id="83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3"/>
  <sheetViews>
    <sheetView zoomScaleNormal="100" zoomScaleSheetLayoutView="80" workbookViewId="0">
      <selection activeCell="C20" sqref="C20:O20"/>
    </sheetView>
  </sheetViews>
  <sheetFormatPr defaultRowHeight="12.75" x14ac:dyDescent="0.2"/>
  <cols>
    <col min="1" max="3" width="3" style="665" customWidth="1"/>
    <col min="4" max="4" width="28.42578125" style="1" customWidth="1"/>
    <col min="5" max="6" width="3.140625" style="1" customWidth="1"/>
    <col min="7" max="7" width="8.28515625" style="1" customWidth="1"/>
    <col min="8" max="9" width="10.140625" style="460" customWidth="1"/>
    <col min="10" max="10" width="10.140625" style="462" customWidth="1"/>
    <col min="11" max="12" width="10.140625" style="460" customWidth="1"/>
    <col min="13" max="13" width="10.140625" style="462" customWidth="1"/>
    <col min="14" max="14" width="29.28515625" style="1" customWidth="1"/>
    <col min="15" max="15" width="6" style="1" customWidth="1"/>
    <col min="16" max="16" width="9.140625" style="1"/>
    <col min="17" max="17" width="10.28515625" style="1" bestFit="1" customWidth="1"/>
    <col min="18" max="16384" width="9.140625" style="1"/>
  </cols>
  <sheetData>
    <row r="1" spans="1:16" x14ac:dyDescent="0.2">
      <c r="N1" s="1072" t="s">
        <v>139</v>
      </c>
      <c r="O1" s="1072"/>
    </row>
    <row r="2" spans="1:16" x14ac:dyDescent="0.2">
      <c r="A2" s="899" t="s">
        <v>131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</row>
    <row r="3" spans="1:16" x14ac:dyDescent="0.2">
      <c r="A3" s="900" t="s">
        <v>54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</row>
    <row r="4" spans="1:16" x14ac:dyDescent="0.2">
      <c r="A4" s="901" t="s">
        <v>45</v>
      </c>
      <c r="B4" s="901"/>
      <c r="C4" s="901"/>
      <c r="D4" s="901"/>
      <c r="E4" s="901"/>
      <c r="F4" s="901"/>
      <c r="G4" s="901"/>
      <c r="H4" s="901"/>
      <c r="I4" s="901"/>
      <c r="J4" s="901"/>
      <c r="K4" s="901"/>
      <c r="L4" s="901"/>
      <c r="M4" s="901"/>
      <c r="N4" s="901"/>
      <c r="O4" s="901"/>
      <c r="P4" s="901"/>
    </row>
    <row r="5" spans="1:16" ht="13.5" thickBot="1" x14ac:dyDescent="0.25">
      <c r="A5" s="640"/>
      <c r="B5" s="640"/>
      <c r="C5" s="640"/>
      <c r="D5" s="640"/>
      <c r="E5" s="640"/>
      <c r="F5" s="640"/>
      <c r="G5" s="640"/>
      <c r="H5" s="350"/>
      <c r="I5" s="350"/>
      <c r="J5" s="350"/>
      <c r="K5" s="350"/>
      <c r="L5" s="350"/>
      <c r="M5" s="350"/>
      <c r="N5" s="102"/>
      <c r="O5" s="641" t="s">
        <v>124</v>
      </c>
      <c r="P5" s="640"/>
    </row>
    <row r="6" spans="1:16" ht="12.75" customHeight="1" x14ac:dyDescent="0.2">
      <c r="A6" s="903" t="s">
        <v>0</v>
      </c>
      <c r="B6" s="906" t="s">
        <v>1</v>
      </c>
      <c r="C6" s="906" t="s">
        <v>2</v>
      </c>
      <c r="D6" s="909" t="s">
        <v>3</v>
      </c>
      <c r="E6" s="912" t="s">
        <v>4</v>
      </c>
      <c r="F6" s="915" t="s">
        <v>5</v>
      </c>
      <c r="G6" s="847" t="s">
        <v>6</v>
      </c>
      <c r="H6" s="918" t="s">
        <v>114</v>
      </c>
      <c r="I6" s="918" t="s">
        <v>138</v>
      </c>
      <c r="J6" s="859" t="s">
        <v>133</v>
      </c>
      <c r="K6" s="918" t="s">
        <v>146</v>
      </c>
      <c r="L6" s="918" t="s">
        <v>147</v>
      </c>
      <c r="M6" s="859" t="s">
        <v>133</v>
      </c>
      <c r="N6" s="862" t="s">
        <v>7</v>
      </c>
      <c r="O6" s="864"/>
    </row>
    <row r="7" spans="1:16" x14ac:dyDescent="0.2">
      <c r="A7" s="904"/>
      <c r="B7" s="907"/>
      <c r="C7" s="907"/>
      <c r="D7" s="910"/>
      <c r="E7" s="913"/>
      <c r="F7" s="916"/>
      <c r="G7" s="848"/>
      <c r="H7" s="919"/>
      <c r="I7" s="919"/>
      <c r="J7" s="860"/>
      <c r="K7" s="919"/>
      <c r="L7" s="919"/>
      <c r="M7" s="860"/>
      <c r="N7" s="865" t="s">
        <v>3</v>
      </c>
      <c r="O7" s="465" t="s">
        <v>122</v>
      </c>
    </row>
    <row r="8" spans="1:16" ht="116.25" customHeight="1" thickBot="1" x14ac:dyDescent="0.25">
      <c r="A8" s="905"/>
      <c r="B8" s="908"/>
      <c r="C8" s="908"/>
      <c r="D8" s="911"/>
      <c r="E8" s="914"/>
      <c r="F8" s="917"/>
      <c r="G8" s="849"/>
      <c r="H8" s="920"/>
      <c r="I8" s="920"/>
      <c r="J8" s="861"/>
      <c r="K8" s="920"/>
      <c r="L8" s="920"/>
      <c r="M8" s="861"/>
      <c r="N8" s="866"/>
      <c r="O8" s="3" t="s">
        <v>8</v>
      </c>
    </row>
    <row r="9" spans="1:16" ht="13.5" thickBot="1" x14ac:dyDescent="0.25">
      <c r="A9" s="870" t="s">
        <v>9</v>
      </c>
      <c r="B9" s="871"/>
      <c r="C9" s="871"/>
      <c r="D9" s="871"/>
      <c r="E9" s="871"/>
      <c r="F9" s="871"/>
      <c r="G9" s="871"/>
      <c r="H9" s="871"/>
      <c r="I9" s="871"/>
      <c r="J9" s="871"/>
      <c r="K9" s="871"/>
      <c r="L9" s="871"/>
      <c r="M9" s="871"/>
      <c r="N9" s="871"/>
      <c r="O9" s="872"/>
    </row>
    <row r="10" spans="1:16" ht="13.5" thickBot="1" x14ac:dyDescent="0.25">
      <c r="A10" s="873" t="s">
        <v>10</v>
      </c>
      <c r="B10" s="874"/>
      <c r="C10" s="874"/>
      <c r="D10" s="874"/>
      <c r="E10" s="874"/>
      <c r="F10" s="874"/>
      <c r="G10" s="874"/>
      <c r="H10" s="874"/>
      <c r="I10" s="874"/>
      <c r="J10" s="874"/>
      <c r="K10" s="874"/>
      <c r="L10" s="874"/>
      <c r="M10" s="874"/>
      <c r="N10" s="874"/>
      <c r="O10" s="875"/>
    </row>
    <row r="11" spans="1:16" ht="14.25" customHeight="1" thickBot="1" x14ac:dyDescent="0.25">
      <c r="A11" s="134" t="s">
        <v>11</v>
      </c>
      <c r="B11" s="876" t="s">
        <v>51</v>
      </c>
      <c r="C11" s="876"/>
      <c r="D11" s="876"/>
      <c r="E11" s="876"/>
      <c r="F11" s="876"/>
      <c r="G11" s="876"/>
      <c r="H11" s="876"/>
      <c r="I11" s="877"/>
      <c r="J11" s="877"/>
      <c r="K11" s="877"/>
      <c r="L11" s="877"/>
      <c r="M11" s="877"/>
      <c r="N11" s="877"/>
      <c r="O11" s="878"/>
    </row>
    <row r="12" spans="1:16" ht="13.5" thickBot="1" x14ac:dyDescent="0.25">
      <c r="A12" s="135" t="s">
        <v>11</v>
      </c>
      <c r="B12" s="666" t="s">
        <v>11</v>
      </c>
      <c r="C12" s="879" t="s">
        <v>60</v>
      </c>
      <c r="D12" s="880"/>
      <c r="E12" s="880"/>
      <c r="F12" s="880"/>
      <c r="G12" s="880"/>
      <c r="H12" s="880"/>
      <c r="I12" s="880"/>
      <c r="J12" s="880"/>
      <c r="K12" s="880"/>
      <c r="L12" s="880"/>
      <c r="M12" s="880"/>
      <c r="N12" s="880"/>
      <c r="O12" s="881"/>
    </row>
    <row r="13" spans="1:16" ht="31.5" customHeight="1" x14ac:dyDescent="0.2">
      <c r="A13" s="882" t="s">
        <v>11</v>
      </c>
      <c r="B13" s="884" t="s">
        <v>11</v>
      </c>
      <c r="C13" s="886" t="s">
        <v>11</v>
      </c>
      <c r="D13" s="888" t="s">
        <v>53</v>
      </c>
      <c r="E13" s="890" t="s">
        <v>75</v>
      </c>
      <c r="F13" s="892" t="s">
        <v>12</v>
      </c>
      <c r="G13" s="23" t="s">
        <v>13</v>
      </c>
      <c r="H13" s="565">
        <f>150/3.4528*1000</f>
        <v>43443</v>
      </c>
      <c r="I13" s="521">
        <f>150/3.4528*1000</f>
        <v>43443</v>
      </c>
      <c r="J13" s="389"/>
      <c r="K13" s="715">
        <f>40/3.4528*1000</f>
        <v>11585</v>
      </c>
      <c r="L13" s="387">
        <f>40/3.4528*1000</f>
        <v>11585</v>
      </c>
      <c r="M13" s="389"/>
      <c r="N13" s="898" t="s">
        <v>123</v>
      </c>
      <c r="O13" s="653">
        <v>1</v>
      </c>
    </row>
    <row r="14" spans="1:16" ht="13.5" thickBot="1" x14ac:dyDescent="0.25">
      <c r="A14" s="883"/>
      <c r="B14" s="885"/>
      <c r="C14" s="887"/>
      <c r="D14" s="889"/>
      <c r="E14" s="891"/>
      <c r="F14" s="893"/>
      <c r="G14" s="39" t="s">
        <v>14</v>
      </c>
      <c r="H14" s="566">
        <f>H13</f>
        <v>43443</v>
      </c>
      <c r="I14" s="522">
        <f>I13</f>
        <v>43443</v>
      </c>
      <c r="J14" s="388">
        <f>+J13</f>
        <v>0</v>
      </c>
      <c r="K14" s="712">
        <f>+K13</f>
        <v>11585</v>
      </c>
      <c r="L14" s="377">
        <f>+L13</f>
        <v>11585</v>
      </c>
      <c r="M14" s="388">
        <f>+M13</f>
        <v>0</v>
      </c>
      <c r="N14" s="846"/>
      <c r="O14" s="466"/>
    </row>
    <row r="15" spans="1:16" ht="41.25" customHeight="1" x14ac:dyDescent="0.2">
      <c r="A15" s="882" t="s">
        <v>11</v>
      </c>
      <c r="B15" s="884" t="s">
        <v>11</v>
      </c>
      <c r="C15" s="886" t="s">
        <v>15</v>
      </c>
      <c r="D15" s="888" t="s">
        <v>63</v>
      </c>
      <c r="E15" s="890"/>
      <c r="F15" s="892" t="s">
        <v>12</v>
      </c>
      <c r="G15" s="28" t="s">
        <v>13</v>
      </c>
      <c r="H15" s="567">
        <f>10/3.4528*1000</f>
        <v>2896</v>
      </c>
      <c r="I15" s="523">
        <f>10/3.4528*1000</f>
        <v>2896</v>
      </c>
      <c r="J15" s="389"/>
      <c r="K15" s="716">
        <f>13/3.4528*1000</f>
        <v>3765</v>
      </c>
      <c r="L15" s="387">
        <f>13/3.4528*1000</f>
        <v>3765</v>
      </c>
      <c r="M15" s="389"/>
      <c r="N15" s="77" t="s">
        <v>118</v>
      </c>
      <c r="O15" s="653">
        <v>10</v>
      </c>
    </row>
    <row r="16" spans="1:16" ht="13.5" thickBot="1" x14ac:dyDescent="0.25">
      <c r="A16" s="883"/>
      <c r="B16" s="885"/>
      <c r="C16" s="887"/>
      <c r="D16" s="889"/>
      <c r="E16" s="891"/>
      <c r="F16" s="893"/>
      <c r="G16" s="64" t="s">
        <v>14</v>
      </c>
      <c r="H16" s="568">
        <f>H15</f>
        <v>2896</v>
      </c>
      <c r="I16" s="569">
        <f>I15</f>
        <v>2896</v>
      </c>
      <c r="J16" s="388">
        <f>+J15</f>
        <v>0</v>
      </c>
      <c r="K16" s="390">
        <f>+K15</f>
        <v>3765</v>
      </c>
      <c r="L16" s="391">
        <f>+L15</f>
        <v>3765</v>
      </c>
      <c r="M16" s="388">
        <f>+M15</f>
        <v>0</v>
      </c>
      <c r="N16" s="93"/>
      <c r="O16" s="654"/>
    </row>
    <row r="17" spans="1:16" ht="42" customHeight="1" x14ac:dyDescent="0.2">
      <c r="A17" s="882" t="s">
        <v>11</v>
      </c>
      <c r="B17" s="884" t="s">
        <v>11</v>
      </c>
      <c r="C17" s="886" t="s">
        <v>18</v>
      </c>
      <c r="D17" s="888" t="s">
        <v>126</v>
      </c>
      <c r="E17" s="896"/>
      <c r="F17" s="931" t="s">
        <v>12</v>
      </c>
      <c r="G17" s="23" t="s">
        <v>13</v>
      </c>
      <c r="H17" s="565">
        <f>23/3.4528*1000</f>
        <v>6661</v>
      </c>
      <c r="I17" s="521">
        <f>23/3.4528*1000</f>
        <v>6661</v>
      </c>
      <c r="J17" s="389"/>
      <c r="K17" s="715">
        <f>30/3.4528*1000</f>
        <v>8689</v>
      </c>
      <c r="L17" s="387">
        <f>30/3.4528*1000</f>
        <v>8689</v>
      </c>
      <c r="M17" s="389"/>
      <c r="N17" s="898" t="s">
        <v>119</v>
      </c>
      <c r="O17" s="1085">
        <v>3</v>
      </c>
    </row>
    <row r="18" spans="1:16" ht="13.5" thickBot="1" x14ac:dyDescent="0.25">
      <c r="A18" s="883"/>
      <c r="B18" s="885"/>
      <c r="C18" s="887"/>
      <c r="D18" s="889"/>
      <c r="E18" s="897"/>
      <c r="F18" s="932"/>
      <c r="G18" s="627" t="s">
        <v>14</v>
      </c>
      <c r="H18" s="417">
        <f>H17</f>
        <v>6661</v>
      </c>
      <c r="I18" s="517">
        <f>I17</f>
        <v>6661</v>
      </c>
      <c r="J18" s="388">
        <f>+J17</f>
        <v>0</v>
      </c>
      <c r="K18" s="717">
        <f>+K17</f>
        <v>8689</v>
      </c>
      <c r="L18" s="377">
        <f>+L17</f>
        <v>8689</v>
      </c>
      <c r="M18" s="388">
        <f>+M17</f>
        <v>0</v>
      </c>
      <c r="N18" s="846"/>
      <c r="O18" s="1086"/>
    </row>
    <row r="19" spans="1:16" ht="13.5" thickBot="1" x14ac:dyDescent="0.25">
      <c r="A19" s="137" t="s">
        <v>11</v>
      </c>
      <c r="B19" s="138" t="s">
        <v>11</v>
      </c>
      <c r="C19" s="894" t="s">
        <v>19</v>
      </c>
      <c r="D19" s="895"/>
      <c r="E19" s="895"/>
      <c r="F19" s="895"/>
      <c r="G19" s="927"/>
      <c r="H19" s="528">
        <f>H18+H16+H14</f>
        <v>53000</v>
      </c>
      <c r="I19" s="524">
        <f>I18+I16+I14</f>
        <v>53000</v>
      </c>
      <c r="J19" s="520">
        <f t="shared" ref="J19" si="0">J18+J16+J14</f>
        <v>0</v>
      </c>
      <c r="K19" s="393">
        <f t="shared" ref="K19:L19" si="1">K18+K16+K14</f>
        <v>24039</v>
      </c>
      <c r="L19" s="721">
        <f t="shared" si="1"/>
        <v>24039</v>
      </c>
      <c r="M19" s="722">
        <f t="shared" ref="M19" si="2">M18+M16+M14</f>
        <v>0</v>
      </c>
      <c r="N19" s="928"/>
      <c r="O19" s="930"/>
    </row>
    <row r="20" spans="1:16" ht="13.5" thickBot="1" x14ac:dyDescent="0.25">
      <c r="A20" s="137" t="s">
        <v>11</v>
      </c>
      <c r="B20" s="139" t="s">
        <v>15</v>
      </c>
      <c r="C20" s="952" t="s">
        <v>50</v>
      </c>
      <c r="D20" s="953"/>
      <c r="E20" s="953"/>
      <c r="F20" s="953"/>
      <c r="G20" s="954"/>
      <c r="H20" s="954"/>
      <c r="I20" s="954"/>
      <c r="J20" s="953"/>
      <c r="K20" s="953"/>
      <c r="L20" s="953"/>
      <c r="M20" s="953"/>
      <c r="N20" s="953"/>
      <c r="O20" s="955"/>
    </row>
    <row r="21" spans="1:16" x14ac:dyDescent="0.2">
      <c r="A21" s="140" t="s">
        <v>11</v>
      </c>
      <c r="B21" s="642" t="s">
        <v>15</v>
      </c>
      <c r="C21" s="649" t="s">
        <v>11</v>
      </c>
      <c r="D21" s="941" t="s">
        <v>47</v>
      </c>
      <c r="E21" s="29"/>
      <c r="F21" s="38">
        <v>2</v>
      </c>
      <c r="G21" s="65"/>
      <c r="H21" s="357"/>
      <c r="I21" s="529"/>
      <c r="J21" s="525"/>
      <c r="K21" s="463"/>
      <c r="L21" s="723"/>
      <c r="M21" s="394"/>
      <c r="N21" s="938" t="s">
        <v>20</v>
      </c>
      <c r="O21" s="52">
        <v>3500</v>
      </c>
      <c r="P21" s="9"/>
    </row>
    <row r="22" spans="1:16" x14ac:dyDescent="0.2">
      <c r="A22" s="141"/>
      <c r="B22" s="142"/>
      <c r="C22" s="201"/>
      <c r="D22" s="942"/>
      <c r="E22" s="30"/>
      <c r="F22" s="31"/>
      <c r="G22" s="70" t="s">
        <v>21</v>
      </c>
      <c r="H22" s="657">
        <v>240443</v>
      </c>
      <c r="I22" s="658">
        <v>240443</v>
      </c>
      <c r="J22" s="659">
        <f>I22-H22</f>
        <v>0</v>
      </c>
      <c r="K22" s="718">
        <f>770.1/3.4528*1000</f>
        <v>223036</v>
      </c>
      <c r="L22" s="724">
        <f>770.1/3.4528*1000</f>
        <v>223036</v>
      </c>
      <c r="M22" s="395">
        <f>L22-K22</f>
        <v>0</v>
      </c>
      <c r="N22" s="949"/>
      <c r="O22" s="95"/>
      <c r="P22" s="27"/>
    </row>
    <row r="23" spans="1:16" ht="28.5" customHeight="1" x14ac:dyDescent="0.2">
      <c r="A23" s="141"/>
      <c r="B23" s="142"/>
      <c r="C23" s="201"/>
      <c r="D23" s="438" t="s">
        <v>55</v>
      </c>
      <c r="E23" s="30"/>
      <c r="F23" s="31"/>
      <c r="G23" s="214" t="s">
        <v>13</v>
      </c>
      <c r="H23" s="660">
        <v>3316845</v>
      </c>
      <c r="I23" s="548">
        <v>3316845</v>
      </c>
      <c r="J23" s="608">
        <f>I23-H23</f>
        <v>0</v>
      </c>
      <c r="K23" s="719">
        <f>11397.5/3.4528*1000</f>
        <v>3300944</v>
      </c>
      <c r="L23" s="714">
        <f>11397.5/3.4528*1000</f>
        <v>3300944</v>
      </c>
      <c r="M23" s="396">
        <f>L23-K23</f>
        <v>0</v>
      </c>
      <c r="N23" s="950" t="s">
        <v>125</v>
      </c>
      <c r="O23" s="97">
        <v>13.5</v>
      </c>
      <c r="P23" s="27"/>
    </row>
    <row r="24" spans="1:16" ht="30.75" customHeight="1" x14ac:dyDescent="0.2">
      <c r="A24" s="141"/>
      <c r="B24" s="142"/>
      <c r="C24" s="201"/>
      <c r="D24" s="438" t="s">
        <v>56</v>
      </c>
      <c r="E24" s="30"/>
      <c r="F24" s="31"/>
      <c r="G24" s="214" t="s">
        <v>140</v>
      </c>
      <c r="H24" s="664">
        <v>68414</v>
      </c>
      <c r="I24" s="548">
        <v>68414</v>
      </c>
      <c r="J24" s="608">
        <f>I24-H24</f>
        <v>0</v>
      </c>
      <c r="K24" s="719"/>
      <c r="L24" s="714"/>
      <c r="M24" s="396">
        <f>L24-K24</f>
        <v>0</v>
      </c>
      <c r="N24" s="951"/>
      <c r="O24" s="467"/>
      <c r="P24" s="9"/>
    </row>
    <row r="25" spans="1:16" ht="29.25" customHeight="1" x14ac:dyDescent="0.2">
      <c r="A25" s="141"/>
      <c r="B25" s="142"/>
      <c r="C25" s="201"/>
      <c r="D25" s="438" t="s">
        <v>57</v>
      </c>
      <c r="E25" s="30"/>
      <c r="F25" s="31"/>
      <c r="G25" s="24"/>
      <c r="H25" s="358"/>
      <c r="I25" s="530"/>
      <c r="J25" s="526"/>
      <c r="K25" s="494"/>
      <c r="L25" s="713"/>
      <c r="M25" s="397"/>
      <c r="N25" s="951"/>
      <c r="O25" s="95"/>
      <c r="P25" s="9"/>
    </row>
    <row r="26" spans="1:16" ht="27.75" customHeight="1" x14ac:dyDescent="0.2">
      <c r="A26" s="141"/>
      <c r="B26" s="142"/>
      <c r="C26" s="201"/>
      <c r="D26" s="438" t="s">
        <v>58</v>
      </c>
      <c r="E26" s="30"/>
      <c r="F26" s="31"/>
      <c r="G26" s="24"/>
      <c r="H26" s="358"/>
      <c r="I26" s="530"/>
      <c r="J26" s="526"/>
      <c r="K26" s="494"/>
      <c r="L26" s="713"/>
      <c r="M26" s="397"/>
      <c r="N26" s="78" t="s">
        <v>102</v>
      </c>
      <c r="O26" s="297">
        <v>1</v>
      </c>
      <c r="P26" s="9"/>
    </row>
    <row r="27" spans="1:16" ht="29.25" customHeight="1" x14ac:dyDescent="0.2">
      <c r="A27" s="783"/>
      <c r="B27" s="784"/>
      <c r="C27" s="785"/>
      <c r="D27" s="217" t="s">
        <v>92</v>
      </c>
      <c r="E27" s="786"/>
      <c r="F27" s="787"/>
      <c r="G27" s="47"/>
      <c r="H27" s="362"/>
      <c r="I27" s="533"/>
      <c r="J27" s="788"/>
      <c r="K27" s="789"/>
      <c r="L27" s="790"/>
      <c r="M27" s="791"/>
      <c r="N27" s="792"/>
      <c r="O27" s="609"/>
      <c r="P27" s="9"/>
    </row>
    <row r="28" spans="1:16" ht="28.5" customHeight="1" x14ac:dyDescent="0.2">
      <c r="A28" s="141"/>
      <c r="B28" s="142"/>
      <c r="C28" s="201"/>
      <c r="D28" s="1084" t="s">
        <v>22</v>
      </c>
      <c r="E28" s="30"/>
      <c r="F28" s="31"/>
      <c r="G28" s="71"/>
      <c r="H28" s="359"/>
      <c r="I28" s="531"/>
      <c r="J28" s="526"/>
      <c r="K28" s="494"/>
      <c r="L28" s="713"/>
      <c r="M28" s="397"/>
      <c r="N28" s="782" t="s">
        <v>112</v>
      </c>
      <c r="O28" s="483">
        <v>100</v>
      </c>
    </row>
    <row r="29" spans="1:16" ht="13.5" thickBot="1" x14ac:dyDescent="0.25">
      <c r="A29" s="143"/>
      <c r="B29" s="643"/>
      <c r="C29" s="650"/>
      <c r="D29" s="967"/>
      <c r="E29" s="32"/>
      <c r="F29" s="33"/>
      <c r="G29" s="40" t="s">
        <v>14</v>
      </c>
      <c r="H29" s="360">
        <f>SUM(H22:H28)</f>
        <v>3625702</v>
      </c>
      <c r="I29" s="532">
        <f>SUM(I22:I28)</f>
        <v>3625702</v>
      </c>
      <c r="J29" s="402">
        <f>SUM(J22:J28)</f>
        <v>0</v>
      </c>
      <c r="K29" s="355">
        <f t="shared" ref="K29:L29" si="3">SUM(K22:K28)</f>
        <v>3523980</v>
      </c>
      <c r="L29" s="386">
        <f t="shared" si="3"/>
        <v>3523980</v>
      </c>
      <c r="M29" s="355">
        <f>SUM(M22:M28)</f>
        <v>0</v>
      </c>
      <c r="N29" s="187"/>
      <c r="O29" s="468"/>
      <c r="P29" s="9"/>
    </row>
    <row r="30" spans="1:16" ht="27.75" customHeight="1" x14ac:dyDescent="0.2">
      <c r="A30" s="140" t="s">
        <v>11</v>
      </c>
      <c r="B30" s="642" t="s">
        <v>15</v>
      </c>
      <c r="C30" s="649" t="s">
        <v>15</v>
      </c>
      <c r="D30" s="210" t="s">
        <v>23</v>
      </c>
      <c r="E30" s="934" t="s">
        <v>75</v>
      </c>
      <c r="F30" s="637" t="s">
        <v>12</v>
      </c>
      <c r="G30" s="23" t="s">
        <v>13</v>
      </c>
      <c r="H30" s="361">
        <f>1094.4/3.4528*1000</f>
        <v>316960</v>
      </c>
      <c r="I30" s="521">
        <f>1094.4/3.4528*1000</f>
        <v>316960</v>
      </c>
      <c r="J30" s="459"/>
      <c r="K30" s="351">
        <f>1116/3.4528*1000</f>
        <v>323216</v>
      </c>
      <c r="L30" s="459">
        <f>1116/3.4528*1000</f>
        <v>323216</v>
      </c>
      <c r="M30" s="459"/>
      <c r="N30" s="6" t="s">
        <v>73</v>
      </c>
      <c r="O30" s="115">
        <v>57</v>
      </c>
    </row>
    <row r="31" spans="1:16" ht="27.75" customHeight="1" x14ac:dyDescent="0.2">
      <c r="A31" s="141"/>
      <c r="B31" s="142"/>
      <c r="C31" s="201"/>
      <c r="D31" s="453" t="s">
        <v>132</v>
      </c>
      <c r="E31" s="935"/>
      <c r="F31" s="638"/>
      <c r="G31" s="24"/>
      <c r="H31" s="358"/>
      <c r="I31" s="530"/>
      <c r="J31" s="445"/>
      <c r="K31" s="494"/>
      <c r="L31" s="445"/>
      <c r="M31" s="445"/>
      <c r="N31" s="8"/>
      <c r="O31" s="651"/>
    </row>
    <row r="32" spans="1:16" ht="30" customHeight="1" x14ac:dyDescent="0.2">
      <c r="A32" s="141"/>
      <c r="B32" s="142"/>
      <c r="C32" s="201"/>
      <c r="D32" s="211" t="s">
        <v>128</v>
      </c>
      <c r="E32" s="935"/>
      <c r="F32" s="129"/>
      <c r="G32" s="24"/>
      <c r="H32" s="358"/>
      <c r="I32" s="530"/>
      <c r="J32" s="401"/>
      <c r="K32" s="486"/>
      <c r="L32" s="401"/>
      <c r="M32" s="401"/>
      <c r="N32" s="218"/>
      <c r="O32" s="220"/>
    </row>
    <row r="33" spans="1:21" ht="28.5" customHeight="1" x14ac:dyDescent="0.2">
      <c r="A33" s="141"/>
      <c r="B33" s="142"/>
      <c r="C33" s="201"/>
      <c r="D33" s="211" t="s">
        <v>127</v>
      </c>
      <c r="E33" s="935"/>
      <c r="F33" s="129"/>
      <c r="G33" s="24"/>
      <c r="H33" s="358"/>
      <c r="I33" s="530"/>
      <c r="J33" s="401"/>
      <c r="K33" s="486"/>
      <c r="L33" s="401"/>
      <c r="M33" s="401"/>
      <c r="N33" s="8"/>
      <c r="O33" s="651"/>
    </row>
    <row r="34" spans="1:21" ht="30.75" customHeight="1" x14ac:dyDescent="0.2">
      <c r="A34" s="141"/>
      <c r="B34" s="142"/>
      <c r="C34" s="201"/>
      <c r="D34" s="937" t="s">
        <v>76</v>
      </c>
      <c r="E34" s="58"/>
      <c r="F34" s="129"/>
      <c r="G34" s="24"/>
      <c r="H34" s="358"/>
      <c r="I34" s="530"/>
      <c r="J34" s="401"/>
      <c r="K34" s="486"/>
      <c r="L34" s="401"/>
      <c r="M34" s="401"/>
      <c r="N34" s="8"/>
      <c r="O34" s="651"/>
    </row>
    <row r="35" spans="1:21" ht="13.5" thickBot="1" x14ac:dyDescent="0.25">
      <c r="A35" s="143"/>
      <c r="B35" s="643"/>
      <c r="C35" s="650"/>
      <c r="D35" s="940"/>
      <c r="E35" s="73"/>
      <c r="F35" s="130"/>
      <c r="G35" s="41" t="s">
        <v>14</v>
      </c>
      <c r="H35" s="372">
        <f t="shared" ref="H35:M35" si="4">SUM(H30:H34)</f>
        <v>316960</v>
      </c>
      <c r="I35" s="517">
        <f t="shared" si="4"/>
        <v>316960</v>
      </c>
      <c r="J35" s="402">
        <f t="shared" si="4"/>
        <v>0</v>
      </c>
      <c r="K35" s="355">
        <f t="shared" si="4"/>
        <v>323216</v>
      </c>
      <c r="L35" s="402">
        <f t="shared" si="4"/>
        <v>323216</v>
      </c>
      <c r="M35" s="402">
        <f t="shared" si="4"/>
        <v>0</v>
      </c>
      <c r="N35" s="116"/>
      <c r="O35" s="652"/>
    </row>
    <row r="36" spans="1:21" ht="28.5" customHeight="1" x14ac:dyDescent="0.2">
      <c r="A36" s="135" t="s">
        <v>11</v>
      </c>
      <c r="B36" s="142" t="s">
        <v>15</v>
      </c>
      <c r="C36" s="667" t="s">
        <v>18</v>
      </c>
      <c r="D36" s="936" t="s">
        <v>48</v>
      </c>
      <c r="E36" s="25"/>
      <c r="F36" s="637" t="s">
        <v>12</v>
      </c>
      <c r="G36" s="23" t="s">
        <v>13</v>
      </c>
      <c r="H36" s="361">
        <f>1344.7/3.4528*1000</f>
        <v>389452</v>
      </c>
      <c r="I36" s="521">
        <f>1344.7/3.4528*1000</f>
        <v>389452</v>
      </c>
      <c r="J36" s="519"/>
      <c r="K36" s="351">
        <f>1344.7/3.4528*1000</f>
        <v>389452</v>
      </c>
      <c r="L36" s="720">
        <f>1344.7/3.4528*1000</f>
        <v>389452</v>
      </c>
      <c r="M36" s="519"/>
      <c r="N36" s="938" t="s">
        <v>61</v>
      </c>
      <c r="O36" s="469">
        <v>1977</v>
      </c>
    </row>
    <row r="37" spans="1:21" ht="13.5" thickBot="1" x14ac:dyDescent="0.25">
      <c r="A37" s="135"/>
      <c r="B37" s="142"/>
      <c r="C37" s="667"/>
      <c r="D37" s="937"/>
      <c r="E37" s="25"/>
      <c r="F37" s="638"/>
      <c r="G37" s="39" t="s">
        <v>14</v>
      </c>
      <c r="H37" s="417">
        <f>H36</f>
        <v>389452</v>
      </c>
      <c r="I37" s="517">
        <f>I36</f>
        <v>389452</v>
      </c>
      <c r="J37" s="402">
        <f>+J36</f>
        <v>0</v>
      </c>
      <c r="K37" s="355">
        <f>+K36</f>
        <v>389452</v>
      </c>
      <c r="L37" s="355">
        <f>+L36</f>
        <v>389452</v>
      </c>
      <c r="M37" s="402">
        <f>+M36</f>
        <v>0</v>
      </c>
      <c r="N37" s="939"/>
      <c r="O37" s="652"/>
    </row>
    <row r="38" spans="1:21" ht="13.5" thickBot="1" x14ac:dyDescent="0.25">
      <c r="A38" s="137" t="s">
        <v>11</v>
      </c>
      <c r="B38" s="139" t="s">
        <v>15</v>
      </c>
      <c r="C38" s="894" t="s">
        <v>19</v>
      </c>
      <c r="D38" s="895"/>
      <c r="E38" s="895"/>
      <c r="F38" s="895"/>
      <c r="G38" s="895"/>
      <c r="H38" s="356">
        <f>H37+H35+H29</f>
        <v>4332114</v>
      </c>
      <c r="I38" s="524">
        <f>I37+I35+I29</f>
        <v>4332114</v>
      </c>
      <c r="J38" s="527">
        <f>J37+J35+J29</f>
        <v>0</v>
      </c>
      <c r="K38" s="356">
        <f t="shared" ref="K38:L38" si="5">K37+K35+K29</f>
        <v>4236648</v>
      </c>
      <c r="L38" s="356">
        <f t="shared" si="5"/>
        <v>4236648</v>
      </c>
      <c r="M38" s="527">
        <f>M37+M35+M29</f>
        <v>0</v>
      </c>
      <c r="N38" s="943"/>
      <c r="O38" s="945"/>
    </row>
    <row r="39" spans="1:21" ht="13.5" thickBot="1" x14ac:dyDescent="0.25">
      <c r="A39" s="162" t="s">
        <v>11</v>
      </c>
      <c r="B39" s="163" t="s">
        <v>18</v>
      </c>
      <c r="C39" s="946" t="s">
        <v>26</v>
      </c>
      <c r="D39" s="946"/>
      <c r="E39" s="947"/>
      <c r="F39" s="947"/>
      <c r="G39" s="947"/>
      <c r="H39" s="947"/>
      <c r="I39" s="947"/>
      <c r="J39" s="947"/>
      <c r="K39" s="947"/>
      <c r="L39" s="947"/>
      <c r="M39" s="947"/>
      <c r="N39" s="946"/>
      <c r="O39" s="948"/>
    </row>
    <row r="40" spans="1:21" ht="17.25" customHeight="1" x14ac:dyDescent="0.2">
      <c r="A40" s="668" t="s">
        <v>11</v>
      </c>
      <c r="B40" s="669" t="s">
        <v>18</v>
      </c>
      <c r="C40" s="603" t="s">
        <v>11</v>
      </c>
      <c r="D40" s="223" t="s">
        <v>105</v>
      </c>
      <c r="E40" s="580"/>
      <c r="F40" s="647" t="s">
        <v>16</v>
      </c>
      <c r="G40" s="20"/>
      <c r="H40" s="363"/>
      <c r="I40" s="521"/>
      <c r="J40" s="534"/>
      <c r="K40" s="363"/>
      <c r="L40" s="720"/>
      <c r="M40" s="534"/>
      <c r="N40" s="711"/>
      <c r="O40" s="470"/>
    </row>
    <row r="41" spans="1:21" ht="40.5" customHeight="1" x14ac:dyDescent="0.2">
      <c r="A41" s="670"/>
      <c r="B41" s="671"/>
      <c r="C41" s="604"/>
      <c r="D41" s="233" t="s">
        <v>96</v>
      </c>
      <c r="E41" s="581"/>
      <c r="F41" s="648"/>
      <c r="G41" s="225" t="s">
        <v>13</v>
      </c>
      <c r="H41" s="364">
        <f>500/3.4528*1000</f>
        <v>144810</v>
      </c>
      <c r="I41" s="547">
        <f>500/3.4528*1000</f>
        <v>144810</v>
      </c>
      <c r="J41" s="535"/>
      <c r="K41" s="727">
        <f>1308/3.4528*1000</f>
        <v>378823</v>
      </c>
      <c r="L41" s="404">
        <f>1308/3.4528*1000</f>
        <v>378823</v>
      </c>
      <c r="M41" s="535"/>
      <c r="N41" s="103" t="s">
        <v>93</v>
      </c>
      <c r="O41" s="471">
        <v>100</v>
      </c>
    </row>
    <row r="42" spans="1:21" ht="30" customHeight="1" x14ac:dyDescent="0.2">
      <c r="A42" s="670"/>
      <c r="B42" s="671"/>
      <c r="C42" s="604"/>
      <c r="D42" s="224"/>
      <c r="E42" s="581"/>
      <c r="F42" s="757"/>
      <c r="G42" s="226" t="s">
        <v>17</v>
      </c>
      <c r="H42" s="365">
        <f>600/3.4528*1000</f>
        <v>173772</v>
      </c>
      <c r="I42" s="548">
        <f>600/3.4528*1000</f>
        <v>173772</v>
      </c>
      <c r="J42" s="536"/>
      <c r="K42" s="728"/>
      <c r="L42" s="615"/>
      <c r="M42" s="536"/>
      <c r="N42" s="190" t="s">
        <v>94</v>
      </c>
      <c r="O42" s="472"/>
      <c r="U42" s="4"/>
    </row>
    <row r="43" spans="1:21" ht="30" customHeight="1" x14ac:dyDescent="0.2">
      <c r="A43" s="670"/>
      <c r="B43" s="671"/>
      <c r="C43" s="604"/>
      <c r="D43" s="224"/>
      <c r="E43" s="581"/>
      <c r="F43" s="648"/>
      <c r="G43" s="503"/>
      <c r="H43" s="582"/>
      <c r="I43" s="533"/>
      <c r="J43" s="540"/>
      <c r="K43" s="730"/>
      <c r="L43" s="409"/>
      <c r="M43" s="540"/>
      <c r="N43" s="190" t="s">
        <v>95</v>
      </c>
      <c r="O43" s="472"/>
    </row>
    <row r="44" spans="1:21" ht="40.5" customHeight="1" x14ac:dyDescent="0.2">
      <c r="A44" s="670"/>
      <c r="B44" s="671"/>
      <c r="C44" s="604"/>
      <c r="D44" s="224"/>
      <c r="E44" s="581"/>
      <c r="F44" s="589"/>
      <c r="G44" s="227" t="s">
        <v>14</v>
      </c>
      <c r="H44" s="366">
        <f>SUM(H41:H43)</f>
        <v>318582</v>
      </c>
      <c r="I44" s="522">
        <f>SUM(I41:I43)</f>
        <v>318582</v>
      </c>
      <c r="J44" s="537">
        <f t="shared" ref="J44" si="6">SUM(J40:J43)</f>
        <v>0</v>
      </c>
      <c r="K44" s="729">
        <f t="shared" ref="K44:L44" si="7">SUM(K40:K43)</f>
        <v>378823</v>
      </c>
      <c r="L44" s="624">
        <f t="shared" si="7"/>
        <v>378823</v>
      </c>
      <c r="M44" s="537">
        <f t="shared" ref="M44" si="8">SUM(M40:M43)</f>
        <v>0</v>
      </c>
      <c r="N44" s="196" t="s">
        <v>101</v>
      </c>
      <c r="O44" s="473"/>
    </row>
    <row r="45" spans="1:21" ht="17.25" customHeight="1" x14ac:dyDescent="0.2">
      <c r="A45" s="672"/>
      <c r="B45" s="673"/>
      <c r="C45" s="774"/>
      <c r="D45" s="843" t="s">
        <v>143</v>
      </c>
      <c r="E45" s="221"/>
      <c r="F45" s="761" t="s">
        <v>27</v>
      </c>
      <c r="G45" s="75" t="s">
        <v>13</v>
      </c>
      <c r="H45" s="595">
        <f>500/3.4528*1000-28962</f>
        <v>115848</v>
      </c>
      <c r="I45" s="547">
        <f>500/3.4528*1000-28962</f>
        <v>115848</v>
      </c>
      <c r="J45" s="661">
        <f>I45-H45</f>
        <v>0</v>
      </c>
      <c r="K45" s="730">
        <f>300/3.4528*1000</f>
        <v>86886</v>
      </c>
      <c r="L45" s="409">
        <f>300/3.4528*1000</f>
        <v>86886</v>
      </c>
      <c r="M45" s="661">
        <f>L45-K45</f>
        <v>0</v>
      </c>
      <c r="N45" s="845" t="s">
        <v>103</v>
      </c>
      <c r="O45" s="26">
        <v>60</v>
      </c>
    </row>
    <row r="46" spans="1:21" ht="24" customHeight="1" x14ac:dyDescent="0.2">
      <c r="A46" s="686"/>
      <c r="B46" s="687"/>
      <c r="C46" s="688"/>
      <c r="D46" s="963"/>
      <c r="E46" s="775"/>
      <c r="F46" s="773"/>
      <c r="G46" s="776" t="s">
        <v>14</v>
      </c>
      <c r="H46" s="777">
        <f>H45</f>
        <v>115848</v>
      </c>
      <c r="I46" s="777">
        <f>I45</f>
        <v>115848</v>
      </c>
      <c r="J46" s="778">
        <f t="shared" ref="J46:L46" si="9">SUM(J45:J45)</f>
        <v>0</v>
      </c>
      <c r="K46" s="779">
        <f t="shared" si="9"/>
        <v>86886</v>
      </c>
      <c r="L46" s="780">
        <f t="shared" si="9"/>
        <v>86886</v>
      </c>
      <c r="M46" s="778">
        <f t="shared" ref="M46" si="10">SUM(M45:M45)</f>
        <v>0</v>
      </c>
      <c r="N46" s="1090"/>
      <c r="O46" s="781"/>
    </row>
    <row r="47" spans="1:21" ht="14.25" customHeight="1" x14ac:dyDescent="0.2">
      <c r="A47" s="672"/>
      <c r="B47" s="673"/>
      <c r="C47" s="674"/>
      <c r="D47" s="1091" t="s">
        <v>142</v>
      </c>
      <c r="E47" s="221"/>
      <c r="F47" s="759"/>
      <c r="G47" s="616" t="s">
        <v>13</v>
      </c>
      <c r="H47" s="597">
        <v>28962</v>
      </c>
      <c r="I47" s="533">
        <v>28962</v>
      </c>
      <c r="J47" s="540">
        <f>I47-H47</f>
        <v>0</v>
      </c>
      <c r="K47" s="362">
        <v>28962</v>
      </c>
      <c r="L47" s="599">
        <v>28962</v>
      </c>
      <c r="M47" s="540">
        <f>L47-K47</f>
        <v>0</v>
      </c>
      <c r="N47" s="956" t="s">
        <v>136</v>
      </c>
      <c r="O47" s="483">
        <v>50</v>
      </c>
    </row>
    <row r="48" spans="1:21" x14ac:dyDescent="0.2">
      <c r="A48" s="672"/>
      <c r="B48" s="673"/>
      <c r="C48" s="674"/>
      <c r="D48" s="1091"/>
      <c r="E48" s="221"/>
      <c r="F48" s="759"/>
      <c r="G48" s="577" t="s">
        <v>28</v>
      </c>
      <c r="H48" s="597">
        <v>115848</v>
      </c>
      <c r="I48" s="533">
        <v>115848</v>
      </c>
      <c r="J48" s="662">
        <f>I48-H48</f>
        <v>0</v>
      </c>
      <c r="K48" s="362">
        <v>115848</v>
      </c>
      <c r="L48" s="599">
        <v>115848</v>
      </c>
      <c r="M48" s="662">
        <f>L48-K48</f>
        <v>0</v>
      </c>
      <c r="N48" s="956"/>
      <c r="O48" s="483"/>
    </row>
    <row r="49" spans="1:21" x14ac:dyDescent="0.2">
      <c r="A49" s="675"/>
      <c r="B49" s="676"/>
      <c r="C49" s="677"/>
      <c r="D49" s="1091"/>
      <c r="E49" s="222"/>
      <c r="F49" s="760"/>
      <c r="G49" s="228" t="s">
        <v>14</v>
      </c>
      <c r="H49" s="549">
        <f>SUM(H47:H48)</f>
        <v>144810</v>
      </c>
      <c r="I49" s="549">
        <f>SUM(I47:I48)</f>
        <v>144810</v>
      </c>
      <c r="J49" s="549">
        <f>SUM(J47:J48)</f>
        <v>0</v>
      </c>
      <c r="K49" s="731">
        <f t="shared" ref="K49:L49" si="11">SUM(K47:K48)</f>
        <v>144810</v>
      </c>
      <c r="L49" s="375">
        <f t="shared" si="11"/>
        <v>144810</v>
      </c>
      <c r="M49" s="733">
        <f>SUM(M47:M48)</f>
        <v>0</v>
      </c>
      <c r="N49" s="956"/>
      <c r="O49" s="651"/>
    </row>
    <row r="50" spans="1:21" ht="13.5" thickBot="1" x14ac:dyDescent="0.25">
      <c r="A50" s="678"/>
      <c r="B50" s="679"/>
      <c r="C50" s="680"/>
      <c r="D50" s="576"/>
      <c r="E50" s="957" t="s">
        <v>113</v>
      </c>
      <c r="F50" s="958"/>
      <c r="G50" s="959"/>
      <c r="H50" s="550">
        <f>H46+H44+H49</f>
        <v>579240</v>
      </c>
      <c r="I50" s="550">
        <f>I46+I44+I49</f>
        <v>579240</v>
      </c>
      <c r="J50" s="550">
        <f>J46+J44+J49</f>
        <v>0</v>
      </c>
      <c r="K50" s="732">
        <f t="shared" ref="K50:L50" si="12">K46+K44+K49</f>
        <v>610519</v>
      </c>
      <c r="L50" s="485">
        <f t="shared" si="12"/>
        <v>610519</v>
      </c>
      <c r="M50" s="734">
        <f>M46+M44+M49</f>
        <v>0</v>
      </c>
      <c r="N50" s="232"/>
      <c r="O50" s="474"/>
    </row>
    <row r="51" spans="1:21" ht="15.75" customHeight="1" x14ac:dyDescent="0.2">
      <c r="A51" s="672" t="s">
        <v>11</v>
      </c>
      <c r="B51" s="673" t="s">
        <v>18</v>
      </c>
      <c r="C51" s="674" t="s">
        <v>15</v>
      </c>
      <c r="D51" s="1087" t="s">
        <v>148</v>
      </c>
      <c r="E51" s="202" t="s">
        <v>82</v>
      </c>
      <c r="F51" s="34" t="s">
        <v>27</v>
      </c>
      <c r="G51" s="47" t="s">
        <v>30</v>
      </c>
      <c r="H51" s="362">
        <v>435531</v>
      </c>
      <c r="I51" s="523">
        <v>435531</v>
      </c>
      <c r="J51" s="542">
        <f>I51-H51</f>
        <v>0</v>
      </c>
      <c r="K51" s="369">
        <v>0</v>
      </c>
      <c r="L51" s="741">
        <v>1062789</v>
      </c>
      <c r="M51" s="742">
        <f>L51-K51</f>
        <v>1062789</v>
      </c>
      <c r="N51" s="695" t="s">
        <v>144</v>
      </c>
      <c r="O51" s="696">
        <v>1</v>
      </c>
    </row>
    <row r="52" spans="1:21" ht="16.5" customHeight="1" x14ac:dyDescent="0.2">
      <c r="A52" s="675"/>
      <c r="B52" s="676"/>
      <c r="C52" s="677"/>
      <c r="D52" s="1087"/>
      <c r="E52" s="1089"/>
      <c r="F52" s="34"/>
      <c r="G52" s="68" t="s">
        <v>25</v>
      </c>
      <c r="H52" s="749">
        <f>9000/3.4528*1000</f>
        <v>2606580</v>
      </c>
      <c r="I52" s="743">
        <v>0</v>
      </c>
      <c r="J52" s="744">
        <f>I52-H52</f>
        <v>-2606580</v>
      </c>
      <c r="K52" s="369">
        <v>6082020</v>
      </c>
      <c r="L52" s="739">
        <v>11128592</v>
      </c>
      <c r="M52" s="744">
        <f>L52-K52</f>
        <v>5046572</v>
      </c>
      <c r="N52" s="694" t="s">
        <v>87</v>
      </c>
      <c r="O52" s="84">
        <v>1</v>
      </c>
      <c r="P52" s="17"/>
    </row>
    <row r="53" spans="1:21" x14ac:dyDescent="0.2">
      <c r="A53" s="675"/>
      <c r="B53" s="676"/>
      <c r="C53" s="677"/>
      <c r="D53" s="1087"/>
      <c r="E53" s="1089"/>
      <c r="F53" s="34"/>
      <c r="G53" s="24" t="s">
        <v>17</v>
      </c>
      <c r="H53" s="750">
        <v>227352</v>
      </c>
      <c r="I53" s="745">
        <v>10137</v>
      </c>
      <c r="J53" s="746">
        <f>I53-H53</f>
        <v>-217215</v>
      </c>
      <c r="K53" s="358">
        <f>750/3.4528*1000</f>
        <v>217215</v>
      </c>
      <c r="L53" s="740">
        <v>434430</v>
      </c>
      <c r="M53" s="746">
        <f>L53-K53</f>
        <v>217215</v>
      </c>
      <c r="N53" s="8" t="s">
        <v>88</v>
      </c>
      <c r="O53" s="651">
        <v>30</v>
      </c>
      <c r="P53" s="17"/>
    </row>
    <row r="54" spans="1:21" x14ac:dyDescent="0.2">
      <c r="A54" s="675"/>
      <c r="B54" s="676"/>
      <c r="C54" s="677"/>
      <c r="D54" s="1087"/>
      <c r="E54" s="655"/>
      <c r="F54" s="34"/>
      <c r="G54" s="751" t="s">
        <v>28</v>
      </c>
      <c r="H54" s="369">
        <v>320320</v>
      </c>
      <c r="I54" s="547">
        <v>320320</v>
      </c>
      <c r="J54" s="748">
        <f>I54-H54</f>
        <v>0</v>
      </c>
      <c r="K54" s="369">
        <v>0</v>
      </c>
      <c r="L54" s="741">
        <v>758804</v>
      </c>
      <c r="M54" s="747">
        <f>L54-K54</f>
        <v>758804</v>
      </c>
      <c r="N54" s="59"/>
      <c r="O54" s="692"/>
      <c r="P54" s="17"/>
    </row>
    <row r="55" spans="1:21" ht="13.5" thickBot="1" x14ac:dyDescent="0.25">
      <c r="A55" s="678"/>
      <c r="B55" s="679"/>
      <c r="C55" s="681"/>
      <c r="D55" s="1088"/>
      <c r="E55" s="82"/>
      <c r="F55" s="72"/>
      <c r="G55" s="69" t="s">
        <v>14</v>
      </c>
      <c r="H55" s="370">
        <f t="shared" ref="H55:M55" si="13">SUM(H51:H54)</f>
        <v>3589783</v>
      </c>
      <c r="I55" s="551">
        <f t="shared" si="13"/>
        <v>765988</v>
      </c>
      <c r="J55" s="541">
        <f t="shared" si="13"/>
        <v>-2823795</v>
      </c>
      <c r="K55" s="370">
        <f t="shared" si="13"/>
        <v>6299235</v>
      </c>
      <c r="L55" s="420">
        <f t="shared" si="13"/>
        <v>13384615</v>
      </c>
      <c r="M55" s="541">
        <f t="shared" si="13"/>
        <v>7085380</v>
      </c>
      <c r="N55" s="60"/>
      <c r="O55" s="693"/>
      <c r="P55" s="462"/>
      <c r="Q55" s="737"/>
    </row>
    <row r="56" spans="1:21" ht="27" customHeight="1" x14ac:dyDescent="0.2">
      <c r="A56" s="668" t="s">
        <v>11</v>
      </c>
      <c r="B56" s="669" t="s">
        <v>18</v>
      </c>
      <c r="C56" s="1081" t="s">
        <v>18</v>
      </c>
      <c r="D56" s="971" t="s">
        <v>129</v>
      </c>
      <c r="E56" s="464" t="s">
        <v>82</v>
      </c>
      <c r="F56" s="974" t="s">
        <v>27</v>
      </c>
      <c r="G56" s="109" t="s">
        <v>13</v>
      </c>
      <c r="H56" s="361">
        <f>57/3.4528*1000</f>
        <v>16508</v>
      </c>
      <c r="I56" s="521">
        <f>57/3.4528*1000</f>
        <v>16508</v>
      </c>
      <c r="J56" s="606"/>
      <c r="K56" s="736">
        <f>672.5/3.4528*1000</f>
        <v>194769</v>
      </c>
      <c r="L56" s="414">
        <f>672.5/3.4528*1000</f>
        <v>194769</v>
      </c>
      <c r="M56" s="606"/>
      <c r="N56" s="699" t="s">
        <v>144</v>
      </c>
      <c r="O56" s="476"/>
      <c r="Q56" s="462"/>
      <c r="U56" s="4"/>
    </row>
    <row r="57" spans="1:21" ht="27" customHeight="1" x14ac:dyDescent="0.2">
      <c r="A57" s="670"/>
      <c r="B57" s="671"/>
      <c r="C57" s="1082"/>
      <c r="D57" s="972"/>
      <c r="E57" s="985" t="s">
        <v>85</v>
      </c>
      <c r="F57" s="975"/>
      <c r="G57" s="600"/>
      <c r="H57" s="358"/>
      <c r="I57" s="530"/>
      <c r="J57" s="542"/>
      <c r="K57" s="735"/>
      <c r="L57" s="415"/>
      <c r="M57" s="542"/>
      <c r="N57" s="78" t="s">
        <v>87</v>
      </c>
      <c r="O57" s="477"/>
    </row>
    <row r="58" spans="1:21" ht="27" customHeight="1" x14ac:dyDescent="0.2">
      <c r="A58" s="670"/>
      <c r="B58" s="671"/>
      <c r="C58" s="1082"/>
      <c r="D58" s="972"/>
      <c r="E58" s="986"/>
      <c r="F58" s="975"/>
      <c r="G58" s="83"/>
      <c r="H58" s="358"/>
      <c r="I58" s="530"/>
      <c r="J58" s="542"/>
      <c r="K58" s="735"/>
      <c r="L58" s="415"/>
      <c r="M58" s="542"/>
      <c r="N58" s="646" t="s">
        <v>90</v>
      </c>
      <c r="O58" s="478"/>
    </row>
    <row r="59" spans="1:21" ht="27" customHeight="1" x14ac:dyDescent="0.2">
      <c r="A59" s="670"/>
      <c r="B59" s="671"/>
      <c r="C59" s="1082"/>
      <c r="D59" s="972"/>
      <c r="E59" s="986"/>
      <c r="F59" s="975"/>
      <c r="G59" s="83"/>
      <c r="H59" s="358"/>
      <c r="I59" s="530"/>
      <c r="J59" s="542"/>
      <c r="K59" s="735"/>
      <c r="L59" s="415"/>
      <c r="M59" s="542"/>
      <c r="N59" s="639"/>
      <c r="O59" s="478"/>
    </row>
    <row r="60" spans="1:21" ht="13.5" thickBot="1" x14ac:dyDescent="0.25">
      <c r="A60" s="682"/>
      <c r="B60" s="683"/>
      <c r="C60" s="1083"/>
      <c r="D60" s="973"/>
      <c r="E60" s="987"/>
      <c r="F60" s="976"/>
      <c r="G60" s="627" t="s">
        <v>14</v>
      </c>
      <c r="H60" s="372">
        <f>SUM(H56:H59)</f>
        <v>16508</v>
      </c>
      <c r="I60" s="517">
        <f>SUM(I56:I59)</f>
        <v>16508</v>
      </c>
      <c r="J60" s="402">
        <f>SUM(J56:J58)</f>
        <v>0</v>
      </c>
      <c r="K60" s="355">
        <f>SUM(K56:K58)</f>
        <v>194769</v>
      </c>
      <c r="L60" s="355">
        <f>SUM(L56:L58)</f>
        <v>194769</v>
      </c>
      <c r="M60" s="402">
        <f>SUM(M56:M58)</f>
        <v>0</v>
      </c>
      <c r="N60" s="639"/>
      <c r="O60" s="478"/>
    </row>
    <row r="61" spans="1:21" ht="15.75" customHeight="1" x14ac:dyDescent="0.2">
      <c r="A61" s="668" t="s">
        <v>11</v>
      </c>
      <c r="B61" s="669" t="s">
        <v>18</v>
      </c>
      <c r="C61" s="1081" t="s">
        <v>24</v>
      </c>
      <c r="D61" s="971" t="s">
        <v>81</v>
      </c>
      <c r="E61" s="464" t="s">
        <v>82</v>
      </c>
      <c r="F61" s="974" t="s">
        <v>27</v>
      </c>
      <c r="G61" s="109" t="s">
        <v>13</v>
      </c>
      <c r="H61" s="361">
        <f>30/3.4528*1000</f>
        <v>8689</v>
      </c>
      <c r="I61" s="521">
        <f>30/3.4528*1000</f>
        <v>8689</v>
      </c>
      <c r="J61" s="606"/>
      <c r="K61" s="736">
        <f>121.2/3.4528*1000</f>
        <v>35102</v>
      </c>
      <c r="L61" s="414">
        <f>121.2/3.4528*1000</f>
        <v>35102</v>
      </c>
      <c r="M61" s="606"/>
      <c r="N61" s="706" t="s">
        <v>144</v>
      </c>
      <c r="O61" s="709">
        <v>1</v>
      </c>
    </row>
    <row r="62" spans="1:21" ht="15.75" customHeight="1" x14ac:dyDescent="0.2">
      <c r="A62" s="670"/>
      <c r="B62" s="671"/>
      <c r="C62" s="1082"/>
      <c r="D62" s="972"/>
      <c r="E62" s="977" t="s">
        <v>84</v>
      </c>
      <c r="F62" s="975"/>
      <c r="G62" s="600"/>
      <c r="H62" s="358"/>
      <c r="I62" s="530"/>
      <c r="J62" s="542"/>
      <c r="K62" s="735"/>
      <c r="L62" s="415"/>
      <c r="M62" s="542"/>
      <c r="N62" s="707" t="s">
        <v>145</v>
      </c>
      <c r="O62" s="710">
        <v>1</v>
      </c>
    </row>
    <row r="63" spans="1:21" ht="15.75" customHeight="1" x14ac:dyDescent="0.2">
      <c r="A63" s="670"/>
      <c r="B63" s="671"/>
      <c r="C63" s="1082"/>
      <c r="D63" s="972"/>
      <c r="E63" s="978"/>
      <c r="F63" s="975"/>
      <c r="G63" s="83"/>
      <c r="H63" s="358"/>
      <c r="I63" s="530"/>
      <c r="J63" s="542"/>
      <c r="K63" s="735"/>
      <c r="L63" s="415"/>
      <c r="M63" s="542"/>
      <c r="N63" s="78" t="s">
        <v>87</v>
      </c>
      <c r="O63" s="634"/>
    </row>
    <row r="64" spans="1:21" ht="15.75" customHeight="1" x14ac:dyDescent="0.2">
      <c r="A64" s="670"/>
      <c r="B64" s="671"/>
      <c r="C64" s="1082"/>
      <c r="D64" s="972"/>
      <c r="E64" s="978"/>
      <c r="F64" s="975"/>
      <c r="G64" s="83"/>
      <c r="H64" s="358"/>
      <c r="I64" s="530"/>
      <c r="J64" s="542"/>
      <c r="K64" s="735"/>
      <c r="L64" s="415"/>
      <c r="M64" s="542"/>
      <c r="N64" s="703" t="s">
        <v>89</v>
      </c>
      <c r="O64" s="633"/>
    </row>
    <row r="65" spans="1:22" ht="13.5" thickBot="1" x14ac:dyDescent="0.25">
      <c r="A65" s="682"/>
      <c r="B65" s="683"/>
      <c r="C65" s="1083"/>
      <c r="D65" s="973"/>
      <c r="E65" s="979"/>
      <c r="F65" s="976"/>
      <c r="G65" s="627" t="s">
        <v>14</v>
      </c>
      <c r="H65" s="372">
        <f>SUM(H61:H64)</f>
        <v>8689</v>
      </c>
      <c r="I65" s="517">
        <f>SUM(I61:I64)</f>
        <v>8689</v>
      </c>
      <c r="J65" s="402">
        <f>SUM(J61:J63)</f>
        <v>0</v>
      </c>
      <c r="K65" s="355">
        <f>SUM(K61:K63)</f>
        <v>35102</v>
      </c>
      <c r="L65" s="355">
        <f>SUM(L61:L63)</f>
        <v>35102</v>
      </c>
      <c r="M65" s="402">
        <f>SUM(M61:M63)</f>
        <v>0</v>
      </c>
      <c r="N65" s="636"/>
      <c r="O65" s="635"/>
    </row>
    <row r="66" spans="1:22" ht="42.75" customHeight="1" x14ac:dyDescent="0.2">
      <c r="A66" s="672" t="s">
        <v>11</v>
      </c>
      <c r="B66" s="673" t="s">
        <v>18</v>
      </c>
      <c r="C66" s="674" t="s">
        <v>46</v>
      </c>
      <c r="D66" s="980" t="s">
        <v>99</v>
      </c>
      <c r="E66" s="982" t="s">
        <v>98</v>
      </c>
      <c r="F66" s="56" t="s">
        <v>12</v>
      </c>
      <c r="G66" s="35" t="s">
        <v>13</v>
      </c>
      <c r="H66" s="373">
        <f>20/3.4528*1000</f>
        <v>5792</v>
      </c>
      <c r="I66" s="552">
        <f>20/3.4528*1000</f>
        <v>5792</v>
      </c>
      <c r="J66" s="543"/>
      <c r="K66" s="725">
        <f>20/3.4528*1000</f>
        <v>5792</v>
      </c>
      <c r="L66" s="755">
        <f>20/3.4528*1000</f>
        <v>5792</v>
      </c>
      <c r="M66" s="756"/>
      <c r="N66" s="180" t="s">
        <v>100</v>
      </c>
      <c r="O66" s="479"/>
    </row>
    <row r="67" spans="1:22" ht="13.5" thickBot="1" x14ac:dyDescent="0.25">
      <c r="A67" s="675"/>
      <c r="B67" s="676"/>
      <c r="C67" s="677"/>
      <c r="D67" s="981"/>
      <c r="E67" s="983"/>
      <c r="F67" s="56"/>
      <c r="G67" s="69" t="s">
        <v>14</v>
      </c>
      <c r="H67" s="370">
        <f t="shared" ref="H67:M67" si="14">H66</f>
        <v>5792</v>
      </c>
      <c r="I67" s="551">
        <f t="shared" si="14"/>
        <v>5792</v>
      </c>
      <c r="J67" s="539">
        <f t="shared" si="14"/>
        <v>0</v>
      </c>
      <c r="K67" s="408">
        <f t="shared" si="14"/>
        <v>5792</v>
      </c>
      <c r="L67" s="360">
        <f t="shared" si="14"/>
        <v>5792</v>
      </c>
      <c r="M67" s="412">
        <f t="shared" si="14"/>
        <v>0</v>
      </c>
      <c r="N67" s="182"/>
      <c r="O67" s="645"/>
    </row>
    <row r="68" spans="1:22" ht="41.25" customHeight="1" x14ac:dyDescent="0.2">
      <c r="A68" s="684" t="s">
        <v>11</v>
      </c>
      <c r="B68" s="685" t="s">
        <v>18</v>
      </c>
      <c r="C68" s="762" t="s">
        <v>97</v>
      </c>
      <c r="D68" s="212" t="s">
        <v>29</v>
      </c>
      <c r="E68" s="61"/>
      <c r="F68" s="55" t="s">
        <v>16</v>
      </c>
      <c r="G68" s="487" t="s">
        <v>13</v>
      </c>
      <c r="H68" s="561">
        <v>81296</v>
      </c>
      <c r="I68" s="553">
        <v>81296</v>
      </c>
      <c r="J68" s="663">
        <f>I68-H68</f>
        <v>0</v>
      </c>
      <c r="K68" s="736"/>
      <c r="L68" s="414"/>
      <c r="M68" s="663">
        <f>L68-K68</f>
        <v>0</v>
      </c>
      <c r="N68" s="10"/>
      <c r="O68" s="115"/>
    </row>
    <row r="69" spans="1:22" ht="30" customHeight="1" x14ac:dyDescent="0.2">
      <c r="A69" s="686"/>
      <c r="B69" s="687"/>
      <c r="C69" s="688"/>
      <c r="D69" s="772" t="s">
        <v>130</v>
      </c>
      <c r="E69" s="590"/>
      <c r="F69" s="591"/>
      <c r="G69" s="835"/>
      <c r="H69" s="592"/>
      <c r="I69" s="593"/>
      <c r="J69" s="836"/>
      <c r="K69" s="789"/>
      <c r="L69" s="798"/>
      <c r="M69" s="836"/>
      <c r="N69" s="131" t="s">
        <v>111</v>
      </c>
      <c r="O69" s="480">
        <v>100</v>
      </c>
    </row>
    <row r="70" spans="1:22" ht="30.75" customHeight="1" x14ac:dyDescent="0.2">
      <c r="A70" s="795"/>
      <c r="B70" s="796"/>
      <c r="C70" s="797"/>
      <c r="D70" s="772" t="s">
        <v>79</v>
      </c>
      <c r="E70" s="799"/>
      <c r="F70" s="800"/>
      <c r="G70" s="840"/>
      <c r="H70" s="801"/>
      <c r="I70" s="552"/>
      <c r="J70" s="543"/>
      <c r="K70" s="725"/>
      <c r="L70" s="418"/>
      <c r="M70" s="543"/>
      <c r="N70" s="793" t="s">
        <v>110</v>
      </c>
      <c r="O70" s="480">
        <v>100</v>
      </c>
    </row>
    <row r="71" spans="1:22" ht="56.25" customHeight="1" x14ac:dyDescent="0.2">
      <c r="A71" s="675"/>
      <c r="B71" s="676"/>
      <c r="C71" s="837"/>
      <c r="D71" s="758" t="s">
        <v>80</v>
      </c>
      <c r="E71" s="62"/>
      <c r="F71" s="56"/>
      <c r="G71" s="71"/>
      <c r="H71" s="562"/>
      <c r="I71" s="531"/>
      <c r="J71" s="838"/>
      <c r="K71" s="839"/>
      <c r="L71" s="499"/>
      <c r="M71" s="838"/>
      <c r="N71" s="793" t="s">
        <v>109</v>
      </c>
      <c r="O71" s="794">
        <v>100</v>
      </c>
      <c r="S71" s="4"/>
      <c r="T71" s="4"/>
    </row>
    <row r="72" spans="1:22" ht="17.25" customHeight="1" x14ac:dyDescent="0.2">
      <c r="A72" s="675"/>
      <c r="B72" s="676"/>
      <c r="C72" s="677"/>
      <c r="D72" s="962" t="s">
        <v>134</v>
      </c>
      <c r="E72" s="62"/>
      <c r="F72" s="56"/>
      <c r="G72" s="493"/>
      <c r="H72" s="562"/>
      <c r="I72" s="531"/>
      <c r="J72" s="544"/>
      <c r="K72" s="789"/>
      <c r="L72" s="798"/>
      <c r="M72" s="544"/>
      <c r="N72" s="956" t="s">
        <v>135</v>
      </c>
      <c r="O72" s="1073">
        <v>100</v>
      </c>
    </row>
    <row r="73" spans="1:22" ht="13.5" thickBot="1" x14ac:dyDescent="0.25">
      <c r="A73" s="675"/>
      <c r="B73" s="676"/>
      <c r="C73" s="677"/>
      <c r="D73" s="844"/>
      <c r="E73" s="63"/>
      <c r="F73" s="57"/>
      <c r="G73" s="46" t="s">
        <v>14</v>
      </c>
      <c r="H73" s="656">
        <f>SUM(H68:H71)</f>
        <v>81296</v>
      </c>
      <c r="I73" s="551">
        <f>SUM(I68:I71)</f>
        <v>81296</v>
      </c>
      <c r="J73" s="541">
        <f>SUM(J68:J71)</f>
        <v>0</v>
      </c>
      <c r="K73" s="407">
        <f>SUM(K69:K71)</f>
        <v>0</v>
      </c>
      <c r="L73" s="407">
        <f>SUM(L69:L71)</f>
        <v>0</v>
      </c>
      <c r="M73" s="541">
        <f>SUM(M68:M71)</f>
        <v>0</v>
      </c>
      <c r="N73" s="846"/>
      <c r="O73" s="926"/>
    </row>
    <row r="74" spans="1:22" ht="30.75" customHeight="1" x14ac:dyDescent="0.2">
      <c r="A74" s="140" t="s">
        <v>11</v>
      </c>
      <c r="B74" s="884" t="s">
        <v>18</v>
      </c>
      <c r="C74" s="993" t="s">
        <v>104</v>
      </c>
      <c r="D74" s="995" t="s">
        <v>107</v>
      </c>
      <c r="E74" s="997"/>
      <c r="F74" s="999" t="s">
        <v>12</v>
      </c>
      <c r="G74" s="241" t="s">
        <v>13</v>
      </c>
      <c r="H74" s="563">
        <f>100/3.4528*1000</f>
        <v>28962</v>
      </c>
      <c r="I74" s="554">
        <f>100/3.4528*1000</f>
        <v>28962</v>
      </c>
      <c r="J74" s="545"/>
      <c r="K74" s="463">
        <v>0</v>
      </c>
      <c r="L74" s="448">
        <v>0</v>
      </c>
      <c r="M74" s="545"/>
      <c r="N74" s="1001" t="s">
        <v>108</v>
      </c>
      <c r="O74" s="481">
        <v>100</v>
      </c>
      <c r="P74" s="205"/>
    </row>
    <row r="75" spans="1:22" ht="13.5" thickBot="1" x14ac:dyDescent="0.25">
      <c r="A75" s="143"/>
      <c r="B75" s="885"/>
      <c r="C75" s="994"/>
      <c r="D75" s="996"/>
      <c r="E75" s="998"/>
      <c r="F75" s="1000"/>
      <c r="G75" s="344" t="s">
        <v>14</v>
      </c>
      <c r="H75" s="564">
        <f>H74</f>
        <v>28962</v>
      </c>
      <c r="I75" s="555">
        <f>I74</f>
        <v>28962</v>
      </c>
      <c r="J75" s="388">
        <f t="shared" ref="J75" si="15">SUM(J74:J74)</f>
        <v>0</v>
      </c>
      <c r="K75" s="377">
        <f t="shared" ref="K75:L75" si="16">SUM(K74:K74)</f>
        <v>0</v>
      </c>
      <c r="L75" s="377">
        <f t="shared" si="16"/>
        <v>0</v>
      </c>
      <c r="M75" s="388">
        <f t="shared" ref="M75" si="17">SUM(M74:M74)</f>
        <v>0</v>
      </c>
      <c r="N75" s="1002"/>
      <c r="O75" s="207"/>
      <c r="P75" s="205"/>
      <c r="V75" s="4"/>
    </row>
    <row r="76" spans="1:22" ht="13.5" thickBot="1" x14ac:dyDescent="0.25">
      <c r="A76" s="137" t="s">
        <v>11</v>
      </c>
      <c r="B76" s="161" t="s">
        <v>18</v>
      </c>
      <c r="C76" s="895" t="s">
        <v>19</v>
      </c>
      <c r="D76" s="895"/>
      <c r="E76" s="895"/>
      <c r="F76" s="895"/>
      <c r="G76" s="895"/>
      <c r="H76" s="528">
        <f>H73+H67+H65+H60+H55+H50+H75</f>
        <v>4310270</v>
      </c>
      <c r="I76" s="524">
        <f>I73+I67+I65+I60+I55+I50+I75</f>
        <v>1486475</v>
      </c>
      <c r="J76" s="546">
        <f>J73+J67+J60+J65+J55+J50</f>
        <v>-2823795</v>
      </c>
      <c r="K76" s="419">
        <f>K73+K67+K60+K65+K55+K50</f>
        <v>7145417</v>
      </c>
      <c r="L76" s="419">
        <f t="shared" ref="L76:M76" si="18">L73+L67+L60+L65+L55+L50</f>
        <v>14230797</v>
      </c>
      <c r="M76" s="419">
        <f t="shared" si="18"/>
        <v>7085380</v>
      </c>
      <c r="N76" s="1003"/>
      <c r="O76" s="1005"/>
    </row>
    <row r="77" spans="1:22" ht="13.5" thickBot="1" x14ac:dyDescent="0.25">
      <c r="A77" s="174" t="s">
        <v>11</v>
      </c>
      <c r="B77" s="161" t="s">
        <v>24</v>
      </c>
      <c r="C77" s="1006" t="s">
        <v>52</v>
      </c>
      <c r="D77" s="1006"/>
      <c r="E77" s="1006"/>
      <c r="F77" s="1006"/>
      <c r="G77" s="1006"/>
      <c r="H77" s="1007"/>
      <c r="I77" s="1007"/>
      <c r="J77" s="1006"/>
      <c r="K77" s="1006"/>
      <c r="L77" s="1006"/>
      <c r="M77" s="1006"/>
      <c r="N77" s="1006"/>
      <c r="O77" s="1009"/>
    </row>
    <row r="78" spans="1:22" ht="29.25" customHeight="1" x14ac:dyDescent="0.2">
      <c r="A78" s="140" t="s">
        <v>11</v>
      </c>
      <c r="B78" s="642" t="s">
        <v>24</v>
      </c>
      <c r="C78" s="649" t="s">
        <v>11</v>
      </c>
      <c r="D78" s="1015" t="s">
        <v>49</v>
      </c>
      <c r="E78" s="19"/>
      <c r="F78" s="631" t="s">
        <v>12</v>
      </c>
      <c r="G78" s="240" t="s">
        <v>13</v>
      </c>
      <c r="H78" s="376">
        <f>2314.3/3.4528*1000</f>
        <v>670268</v>
      </c>
      <c r="I78" s="553">
        <f>2314.3/3.4528*1000</f>
        <v>670268</v>
      </c>
      <c r="J78" s="399"/>
      <c r="K78" s="376">
        <f>1300/3.4528*1000</f>
        <v>376506</v>
      </c>
      <c r="L78" s="398">
        <f>1300/3.4528*1000</f>
        <v>376506</v>
      </c>
      <c r="M78" s="399"/>
      <c r="N78" s="898" t="s">
        <v>120</v>
      </c>
      <c r="O78" s="653">
        <v>8</v>
      </c>
    </row>
    <row r="79" spans="1:22" ht="13.5" thickBot="1" x14ac:dyDescent="0.25">
      <c r="A79" s="143"/>
      <c r="B79" s="643"/>
      <c r="C79" s="650"/>
      <c r="D79" s="961"/>
      <c r="E79" s="440"/>
      <c r="F79" s="632"/>
      <c r="G79" s="441" t="s">
        <v>14</v>
      </c>
      <c r="H79" s="420">
        <f t="shared" ref="H79:M79" si="19">H78</f>
        <v>670268</v>
      </c>
      <c r="I79" s="551">
        <f t="shared" si="19"/>
        <v>670268</v>
      </c>
      <c r="J79" s="421">
        <f t="shared" si="19"/>
        <v>0</v>
      </c>
      <c r="K79" s="420">
        <f t="shared" si="19"/>
        <v>376506</v>
      </c>
      <c r="L79" s="420">
        <f t="shared" si="19"/>
        <v>376506</v>
      </c>
      <c r="M79" s="421">
        <f t="shared" si="19"/>
        <v>0</v>
      </c>
      <c r="N79" s="846"/>
      <c r="O79" s="654"/>
    </row>
    <row r="80" spans="1:22" ht="42" customHeight="1" x14ac:dyDescent="0.2">
      <c r="A80" s="882" t="s">
        <v>11</v>
      </c>
      <c r="B80" s="884" t="s">
        <v>24</v>
      </c>
      <c r="C80" s="1010" t="s">
        <v>15</v>
      </c>
      <c r="D80" s="1012" t="s">
        <v>31</v>
      </c>
      <c r="E80" s="1013"/>
      <c r="F80" s="931" t="s">
        <v>12</v>
      </c>
      <c r="G80" s="109" t="s">
        <v>13</v>
      </c>
      <c r="H80" s="351">
        <f>50/3.4528*1000</f>
        <v>14481</v>
      </c>
      <c r="I80" s="521">
        <f>50/3.4528*1000</f>
        <v>14481</v>
      </c>
      <c r="J80" s="399"/>
      <c r="K80" s="376">
        <f>50/3.4528*1000</f>
        <v>14481</v>
      </c>
      <c r="L80" s="398">
        <f>50/3.4528*1000</f>
        <v>14481</v>
      </c>
      <c r="M80" s="399"/>
      <c r="N80" s="644" t="s">
        <v>121</v>
      </c>
      <c r="O80" s="653">
        <v>20</v>
      </c>
    </row>
    <row r="81" spans="1:17" ht="13.5" thickBot="1" x14ac:dyDescent="0.25">
      <c r="A81" s="883"/>
      <c r="B81" s="885"/>
      <c r="C81" s="1011"/>
      <c r="D81" s="967"/>
      <c r="E81" s="1014"/>
      <c r="F81" s="932"/>
      <c r="G81" s="41" t="s">
        <v>14</v>
      </c>
      <c r="H81" s="355">
        <f>H80</f>
        <v>14481</v>
      </c>
      <c r="I81" s="517">
        <f>I80</f>
        <v>14481</v>
      </c>
      <c r="J81" s="421">
        <f>SUM(J80:J80)</f>
        <v>0</v>
      </c>
      <c r="K81" s="420">
        <f>SUM(K80:K80)</f>
        <v>14481</v>
      </c>
      <c r="L81" s="420">
        <f>SUM(L80:L80)</f>
        <v>14481</v>
      </c>
      <c r="M81" s="421">
        <f>SUM(M80:M80)</f>
        <v>0</v>
      </c>
      <c r="N81" s="112"/>
      <c r="O81" s="482"/>
    </row>
    <row r="82" spans="1:17" ht="13.5" thickBot="1" x14ac:dyDescent="0.25">
      <c r="A82" s="137" t="s">
        <v>11</v>
      </c>
      <c r="B82" s="161" t="s">
        <v>24</v>
      </c>
      <c r="C82" s="895" t="s">
        <v>19</v>
      </c>
      <c r="D82" s="895"/>
      <c r="E82" s="895"/>
      <c r="F82" s="895"/>
      <c r="G82" s="895"/>
      <c r="H82" s="356">
        <f>H81+H79</f>
        <v>684749</v>
      </c>
      <c r="I82" s="524">
        <f>I81+I79</f>
        <v>684749</v>
      </c>
      <c r="J82" s="556">
        <f>J79+J81</f>
        <v>0</v>
      </c>
      <c r="K82" s="356">
        <f>K81+K79</f>
        <v>390987</v>
      </c>
      <c r="L82" s="752">
        <f>L81+L79</f>
        <v>390987</v>
      </c>
      <c r="M82" s="356">
        <f>M79+M81</f>
        <v>0</v>
      </c>
      <c r="N82" s="120"/>
      <c r="O82" s="122"/>
    </row>
    <row r="83" spans="1:17" ht="13.5" thickBot="1" x14ac:dyDescent="0.25">
      <c r="A83" s="137" t="s">
        <v>11</v>
      </c>
      <c r="B83" s="1023" t="s">
        <v>32</v>
      </c>
      <c r="C83" s="1024"/>
      <c r="D83" s="1024"/>
      <c r="E83" s="1024"/>
      <c r="F83" s="1024"/>
      <c r="G83" s="1024"/>
      <c r="H83" s="378">
        <f>H82+H76+H38+H19</f>
        <v>9380133</v>
      </c>
      <c r="I83" s="559">
        <f>I82+I76+I38+I19</f>
        <v>6556338</v>
      </c>
      <c r="J83" s="557">
        <f>+J19+J38+J82+J76</f>
        <v>-2823795</v>
      </c>
      <c r="K83" s="378">
        <f>K82+K76+K38+K19</f>
        <v>11797091</v>
      </c>
      <c r="L83" s="753">
        <f>L82+L76+L38+L19</f>
        <v>18882471</v>
      </c>
      <c r="M83" s="423">
        <f>+M19+M38+M82+M76</f>
        <v>7085380</v>
      </c>
      <c r="N83" s="123"/>
      <c r="O83" s="125"/>
    </row>
    <row r="84" spans="1:17" ht="13.5" thickBot="1" x14ac:dyDescent="0.25">
      <c r="A84" s="689" t="s">
        <v>33</v>
      </c>
      <c r="B84" s="1025" t="s">
        <v>34</v>
      </c>
      <c r="C84" s="1026"/>
      <c r="D84" s="1026"/>
      <c r="E84" s="1026"/>
      <c r="F84" s="1026"/>
      <c r="G84" s="1026"/>
      <c r="H84" s="379">
        <f t="shared" ref="H84:M84" si="20">H83</f>
        <v>9380133</v>
      </c>
      <c r="I84" s="560">
        <f t="shared" si="20"/>
        <v>6556338</v>
      </c>
      <c r="J84" s="558">
        <f t="shared" si="20"/>
        <v>-2823795</v>
      </c>
      <c r="K84" s="379">
        <f t="shared" si="20"/>
        <v>11797091</v>
      </c>
      <c r="L84" s="754">
        <f t="shared" si="20"/>
        <v>18882471</v>
      </c>
      <c r="M84" s="424">
        <f t="shared" si="20"/>
        <v>7085380</v>
      </c>
      <c r="N84" s="126"/>
      <c r="O84" s="128"/>
      <c r="Q84" s="4"/>
    </row>
    <row r="85" spans="1:17" x14ac:dyDescent="0.2">
      <c r="A85" s="690"/>
      <c r="B85" s="691"/>
      <c r="C85" s="691"/>
      <c r="D85" s="235"/>
      <c r="E85" s="235"/>
      <c r="F85" s="235"/>
      <c r="G85" s="235"/>
      <c r="H85" s="380"/>
      <c r="I85" s="380"/>
      <c r="J85" s="425"/>
      <c r="K85" s="380"/>
      <c r="L85" s="380"/>
      <c r="M85" s="425"/>
      <c r="N85" s="236"/>
      <c r="O85" s="237"/>
      <c r="P85" s="238"/>
    </row>
    <row r="86" spans="1:17" ht="15" customHeight="1" thickBot="1" x14ac:dyDescent="0.25">
      <c r="A86" s="1092" t="s">
        <v>35</v>
      </c>
      <c r="B86" s="1092"/>
      <c r="C86" s="1092"/>
      <c r="D86" s="1092"/>
      <c r="E86" s="1092"/>
      <c r="F86" s="1092"/>
      <c r="G86" s="1092"/>
      <c r="H86" s="1092"/>
      <c r="I86" s="1092"/>
      <c r="J86" s="1092"/>
      <c r="K86" s="1092"/>
      <c r="L86" s="1092"/>
      <c r="M86" s="1092"/>
      <c r="N86" s="105"/>
      <c r="O86" s="101"/>
    </row>
    <row r="87" spans="1:17" ht="68.25" customHeight="1" x14ac:dyDescent="0.2">
      <c r="A87" s="1079" t="s">
        <v>36</v>
      </c>
      <c r="B87" s="1080"/>
      <c r="C87" s="1080"/>
      <c r="D87" s="1080"/>
      <c r="E87" s="1080"/>
      <c r="F87" s="1080"/>
      <c r="G87" s="1080"/>
      <c r="H87" s="510" t="s">
        <v>115</v>
      </c>
      <c r="I87" s="510" t="s">
        <v>137</v>
      </c>
      <c r="J87" s="511" t="s">
        <v>133</v>
      </c>
      <c r="K87" s="510" t="s">
        <v>149</v>
      </c>
      <c r="L87" s="510" t="s">
        <v>150</v>
      </c>
      <c r="M87" s="511" t="s">
        <v>133</v>
      </c>
      <c r="N87" s="21"/>
      <c r="O87" s="630"/>
    </row>
    <row r="88" spans="1:17" x14ac:dyDescent="0.2">
      <c r="A88" s="1076" t="s">
        <v>37</v>
      </c>
      <c r="B88" s="1077"/>
      <c r="C88" s="1077"/>
      <c r="D88" s="1077"/>
      <c r="E88" s="1077"/>
      <c r="F88" s="1077"/>
      <c r="G88" s="1078"/>
      <c r="H88" s="507">
        <f t="shared" ref="H88:M88" ca="1" si="21">SUM(H89:H94)</f>
        <v>6372429</v>
      </c>
      <c r="I88" s="507">
        <f t="shared" si="21"/>
        <v>6372429</v>
      </c>
      <c r="J88" s="512">
        <f t="shared" si="21"/>
        <v>0</v>
      </c>
      <c r="K88" s="507">
        <f t="shared" si="21"/>
        <v>5497856</v>
      </c>
      <c r="L88" s="507">
        <f t="shared" si="21"/>
        <v>7319449</v>
      </c>
      <c r="M88" s="512">
        <f t="shared" si="21"/>
        <v>1821593</v>
      </c>
      <c r="N88" s="106"/>
      <c r="O88" s="628"/>
    </row>
    <row r="89" spans="1:17" x14ac:dyDescent="0.2">
      <c r="A89" s="1031" t="s">
        <v>38</v>
      </c>
      <c r="B89" s="1032"/>
      <c r="C89" s="1032"/>
      <c r="D89" s="1032"/>
      <c r="E89" s="1032"/>
      <c r="F89" s="1032"/>
      <c r="G89" s="1074"/>
      <c r="H89" s="508">
        <f ca="1">SUMIF(G13:H80,"sb",H13:H80)</f>
        <v>5191873</v>
      </c>
      <c r="I89" s="508">
        <f>SUMIF(G13:G80,"sb",I13:I80)</f>
        <v>5191873</v>
      </c>
      <c r="J89" s="513">
        <f>SUMIF(G13:G81,"sb",J13:J81)</f>
        <v>0</v>
      </c>
      <c r="K89" s="508">
        <f>SUMIF(G13:G80,"sb",K13:K80)</f>
        <v>5158972</v>
      </c>
      <c r="L89" s="508">
        <f>SUMIF(G13:G80,"sb",L13:L80)</f>
        <v>5158972</v>
      </c>
      <c r="M89" s="513">
        <f>L89-K89</f>
        <v>0</v>
      </c>
      <c r="N89" s="108"/>
      <c r="O89" s="629"/>
    </row>
    <row r="90" spans="1:17" ht="12.75" customHeight="1" x14ac:dyDescent="0.2">
      <c r="A90" s="1062" t="s">
        <v>39</v>
      </c>
      <c r="B90" s="1063"/>
      <c r="C90" s="1063"/>
      <c r="D90" s="1063"/>
      <c r="E90" s="1063"/>
      <c r="F90" s="1063"/>
      <c r="G90" s="1075"/>
      <c r="H90" s="509">
        <f>SUMIF(G13:G80,"sb(sp)",H13:H80)</f>
        <v>240443</v>
      </c>
      <c r="I90" s="509">
        <f>SUMIF(G13:G80,"sb(sp)",I13:I80)</f>
        <v>240443</v>
      </c>
      <c r="J90" s="514">
        <f>SUMIF(G19:G79,G22,J19:J79)</f>
        <v>0</v>
      </c>
      <c r="K90" s="509">
        <f>SUMIF(G13:G80,"sb(sp)",K13:K80)</f>
        <v>223036</v>
      </c>
      <c r="L90" s="509">
        <f>SUMIF(G13:G80,"sb(sp)",L13:L80)</f>
        <v>223036</v>
      </c>
      <c r="M90" s="513">
        <f t="shared" ref="M90:M94" si="22">L90-K90</f>
        <v>0</v>
      </c>
      <c r="N90" s="108"/>
      <c r="O90" s="629"/>
    </row>
    <row r="91" spans="1:17" x14ac:dyDescent="0.2">
      <c r="A91" s="1062" t="s">
        <v>40</v>
      </c>
      <c r="B91" s="1063"/>
      <c r="C91" s="1063"/>
      <c r="D91" s="1063"/>
      <c r="E91" s="1063"/>
      <c r="F91" s="1063"/>
      <c r="G91" s="1075"/>
      <c r="H91" s="509">
        <f>SUMIF(G13:G80,"sb(p)",H13:H80)</f>
        <v>435531</v>
      </c>
      <c r="I91" s="509">
        <f>SUMIF(G13:G80,"sb(p)",I13:I80)</f>
        <v>435531</v>
      </c>
      <c r="J91" s="515">
        <f>SUMIF(G13:G79,"sb(p)",J13:J79)</f>
        <v>0</v>
      </c>
      <c r="K91" s="509">
        <f>SUMIF(G13:G80,"sb(p)",K13:K80)</f>
        <v>0</v>
      </c>
      <c r="L91" s="509">
        <f>SUMIF(G13:G80,"sb(p)",L13:L80)</f>
        <v>1062789</v>
      </c>
      <c r="M91" s="513">
        <f t="shared" si="22"/>
        <v>1062789</v>
      </c>
      <c r="N91" s="108"/>
      <c r="O91" s="629"/>
    </row>
    <row r="92" spans="1:17" x14ac:dyDescent="0.2">
      <c r="A92" s="1068" t="s">
        <v>141</v>
      </c>
      <c r="B92" s="1069"/>
      <c r="C92" s="1069"/>
      <c r="D92" s="1069"/>
      <c r="E92" s="1069"/>
      <c r="F92" s="1069"/>
      <c r="G92" s="1071"/>
      <c r="H92" s="509">
        <f>SUMIF(G13:G80,"SB(SPL)",H13:H80)</f>
        <v>68414</v>
      </c>
      <c r="I92" s="509">
        <f>SUMIF(G13:G80,"SB(SPL)",I13:I80)</f>
        <v>68414</v>
      </c>
      <c r="J92" s="605">
        <f>SUMIF(G13:G80,"SB(SPL)",J13:J80)</f>
        <v>0</v>
      </c>
      <c r="K92" s="509">
        <f>SUMIF(G13:G80,"SB(SPL)",K13:K80)</f>
        <v>0</v>
      </c>
      <c r="L92" s="509">
        <f>SUMIF(G13:G80,"SB(SPL)",L13:L80)</f>
        <v>0</v>
      </c>
      <c r="M92" s="513">
        <f t="shared" si="22"/>
        <v>0</v>
      </c>
      <c r="N92" s="108"/>
      <c r="O92" s="629"/>
    </row>
    <row r="93" spans="1:17" ht="16.5" customHeight="1" x14ac:dyDescent="0.2">
      <c r="A93" s="1062" t="s">
        <v>41</v>
      </c>
      <c r="B93" s="1063"/>
      <c r="C93" s="1063"/>
      <c r="D93" s="1063"/>
      <c r="E93" s="1063"/>
      <c r="F93" s="1063"/>
      <c r="G93" s="1075"/>
      <c r="H93" s="509">
        <f>SUMIF(G13:G80,"sb(vb)",H13:H80)</f>
        <v>436168</v>
      </c>
      <c r="I93" s="509">
        <f>SUMIF(G13:G80,"sb(vb)",I13:I80)</f>
        <v>436168</v>
      </c>
      <c r="J93" s="515">
        <f>SUMIF(G19:G79,#REF!,J19:J79)</f>
        <v>0</v>
      </c>
      <c r="K93" s="509">
        <f>SUMIF(G13:G80,"sb(vb)",K13:K80)</f>
        <v>115848</v>
      </c>
      <c r="L93" s="509">
        <f>SUMIF(G13:G80,"sb(vb)",L13:L80)</f>
        <v>874652</v>
      </c>
      <c r="M93" s="513">
        <f t="shared" si="22"/>
        <v>758804</v>
      </c>
      <c r="N93" s="108"/>
      <c r="O93" s="629"/>
    </row>
    <row r="94" spans="1:17" ht="12.75" customHeight="1" x14ac:dyDescent="0.2">
      <c r="A94" s="1062" t="s">
        <v>106</v>
      </c>
      <c r="B94" s="1063"/>
      <c r="C94" s="1063"/>
      <c r="D94" s="1063"/>
      <c r="E94" s="1063"/>
      <c r="F94" s="1063"/>
      <c r="G94" s="1075"/>
      <c r="H94" s="509">
        <f>SUMIF(G13:G80,"pf",H13:H80)</f>
        <v>0</v>
      </c>
      <c r="I94" s="509">
        <f>SUMIF(G13:G80,"pf",I13:I80)</f>
        <v>0</v>
      </c>
      <c r="J94" s="605">
        <f>SUMIF(G13:G80,"pf",J13:J80)</f>
        <v>0</v>
      </c>
      <c r="K94" s="509">
        <f>SUMIF(G13:G80,"pf",K13:K80)</f>
        <v>0</v>
      </c>
      <c r="L94" s="509">
        <f>SUMIF(H13:H80,"pf",L13:L80)</f>
        <v>0</v>
      </c>
      <c r="M94" s="513">
        <f t="shared" si="22"/>
        <v>0</v>
      </c>
      <c r="N94" s="108"/>
      <c r="O94" s="629"/>
    </row>
    <row r="95" spans="1:17" x14ac:dyDescent="0.2">
      <c r="A95" s="1065" t="s">
        <v>42</v>
      </c>
      <c r="B95" s="1066"/>
      <c r="C95" s="1066"/>
      <c r="D95" s="1066"/>
      <c r="E95" s="1066"/>
      <c r="F95" s="1066"/>
      <c r="G95" s="1066"/>
      <c r="H95" s="507">
        <f t="shared" ref="H95:M95" si="23">SUM(H96:H97)</f>
        <v>3007704</v>
      </c>
      <c r="I95" s="507">
        <f t="shared" si="23"/>
        <v>183909</v>
      </c>
      <c r="J95" s="516">
        <f t="shared" si="23"/>
        <v>-2823795</v>
      </c>
      <c r="K95" s="507">
        <f t="shared" si="23"/>
        <v>6299235</v>
      </c>
      <c r="L95" s="507">
        <f t="shared" si="23"/>
        <v>11563022</v>
      </c>
      <c r="M95" s="516">
        <f t="shared" si="23"/>
        <v>5263787</v>
      </c>
      <c r="N95" s="106"/>
      <c r="O95" s="628"/>
    </row>
    <row r="96" spans="1:17" x14ac:dyDescent="0.2">
      <c r="A96" s="1031" t="s">
        <v>43</v>
      </c>
      <c r="B96" s="1032"/>
      <c r="C96" s="1032"/>
      <c r="D96" s="1032"/>
      <c r="E96" s="1032"/>
      <c r="F96" s="1032"/>
      <c r="G96" s="1074"/>
      <c r="H96" s="508">
        <f>SUMIF(G13:G80,"es",H13:H80)</f>
        <v>2606580</v>
      </c>
      <c r="I96" s="508">
        <f>SUMIF(G13:G80,"es",I13:I80)</f>
        <v>0</v>
      </c>
      <c r="J96" s="514">
        <f>SUMIF(G19:G79,"es",J19:J79)</f>
        <v>-2606580</v>
      </c>
      <c r="K96" s="508">
        <f>SUMIF(G13:G80,"es",K13:K80)</f>
        <v>6082020</v>
      </c>
      <c r="L96" s="508">
        <f>SUMIF(G13:G80,"es",L13:L80)</f>
        <v>11128592</v>
      </c>
      <c r="M96" s="514">
        <f>L96-K96</f>
        <v>5046572</v>
      </c>
      <c r="N96" s="108"/>
      <c r="O96" s="629"/>
    </row>
    <row r="97" spans="1:15" x14ac:dyDescent="0.2">
      <c r="A97" s="1031" t="s">
        <v>44</v>
      </c>
      <c r="B97" s="1032"/>
      <c r="C97" s="1032"/>
      <c r="D97" s="1032"/>
      <c r="E97" s="1032"/>
      <c r="F97" s="1032"/>
      <c r="G97" s="1074"/>
      <c r="H97" s="508">
        <f>SUMIF(G13:G80,"kt",H13:H80)</f>
        <v>401124</v>
      </c>
      <c r="I97" s="508">
        <f>SUMIF(G13:G80,"kt",I13:I80)</f>
        <v>183909</v>
      </c>
      <c r="J97" s="514">
        <f>SUMIF(G13:G79,"kt",J13:J79)</f>
        <v>-217215</v>
      </c>
      <c r="K97" s="508">
        <f>SUMIF(G13:G80,"kt",K13:K80)</f>
        <v>217215</v>
      </c>
      <c r="L97" s="508">
        <f>SUMIF(G13:G80,"kt",L13:L80)</f>
        <v>434430</v>
      </c>
      <c r="M97" s="514">
        <f>L97-K97</f>
        <v>217215</v>
      </c>
      <c r="N97" s="108"/>
      <c r="O97" s="629"/>
    </row>
    <row r="98" spans="1:15" ht="13.5" thickBot="1" x14ac:dyDescent="0.25">
      <c r="A98" s="1051" t="s">
        <v>14</v>
      </c>
      <c r="B98" s="1052"/>
      <c r="C98" s="1052"/>
      <c r="D98" s="1052"/>
      <c r="E98" s="1052"/>
      <c r="F98" s="1052"/>
      <c r="G98" s="1052"/>
      <c r="H98" s="517">
        <f t="shared" ref="H98:M98" ca="1" si="24">H95+H88</f>
        <v>9380133</v>
      </c>
      <c r="I98" s="517">
        <f t="shared" si="24"/>
        <v>6556338</v>
      </c>
      <c r="J98" s="518">
        <f t="shared" si="24"/>
        <v>-2823795</v>
      </c>
      <c r="K98" s="517">
        <f t="shared" si="24"/>
        <v>11797091</v>
      </c>
      <c r="L98" s="517">
        <f t="shared" ref="L98" si="25">L95+L88</f>
        <v>18882471</v>
      </c>
      <c r="M98" s="518">
        <f t="shared" si="24"/>
        <v>7085380</v>
      </c>
      <c r="N98" s="107"/>
      <c r="O98" s="626"/>
    </row>
    <row r="100" spans="1:15" x14ac:dyDescent="0.2">
      <c r="N100" s="348"/>
    </row>
    <row r="112" spans="1:15" x14ac:dyDescent="0.2">
      <c r="H112" s="1"/>
      <c r="I112" s="1"/>
      <c r="J112" s="1"/>
      <c r="K112" s="1"/>
      <c r="L112" s="1"/>
      <c r="M112" s="1"/>
    </row>
    <row r="113" spans="8:13" x14ac:dyDescent="0.2">
      <c r="H113" s="1"/>
      <c r="I113" s="1"/>
      <c r="J113" s="1"/>
      <c r="K113" s="1"/>
      <c r="L113" s="1"/>
      <c r="M113" s="1"/>
    </row>
  </sheetData>
  <mergeCells count="111">
    <mergeCell ref="A86:M86"/>
    <mergeCell ref="G6:G8"/>
    <mergeCell ref="H6:H8"/>
    <mergeCell ref="J6:J8"/>
    <mergeCell ref="N6:O6"/>
    <mergeCell ref="N7:N8"/>
    <mergeCell ref="A2:P2"/>
    <mergeCell ref="A3:P3"/>
    <mergeCell ref="A4:P4"/>
    <mergeCell ref="A6:A8"/>
    <mergeCell ref="B6:B8"/>
    <mergeCell ref="C6:C8"/>
    <mergeCell ref="D6:D8"/>
    <mergeCell ref="E6:E8"/>
    <mergeCell ref="F6:F8"/>
    <mergeCell ref="K6:K8"/>
    <mergeCell ref="L6:L8"/>
    <mergeCell ref="M6:M8"/>
    <mergeCell ref="A9:O9"/>
    <mergeCell ref="A10:O10"/>
    <mergeCell ref="B11:O11"/>
    <mergeCell ref="C12:O12"/>
    <mergeCell ref="A13:A14"/>
    <mergeCell ref="B13:B14"/>
    <mergeCell ref="N13:N14"/>
    <mergeCell ref="A15:A16"/>
    <mergeCell ref="B15:B16"/>
    <mergeCell ref="C15:C16"/>
    <mergeCell ref="D15:D16"/>
    <mergeCell ref="E15:E16"/>
    <mergeCell ref="F15:F16"/>
    <mergeCell ref="C20:O20"/>
    <mergeCell ref="D21:D22"/>
    <mergeCell ref="N21:N22"/>
    <mergeCell ref="C13:C14"/>
    <mergeCell ref="D13:D14"/>
    <mergeCell ref="E13:E14"/>
    <mergeCell ref="F13:F14"/>
    <mergeCell ref="A17:A18"/>
    <mergeCell ref="B17:B18"/>
    <mergeCell ref="C17:C18"/>
    <mergeCell ref="D17:D18"/>
    <mergeCell ref="E17:E18"/>
    <mergeCell ref="F17:F18"/>
    <mergeCell ref="N23:N25"/>
    <mergeCell ref="E30:E33"/>
    <mergeCell ref="D28:D29"/>
    <mergeCell ref="D34:D35"/>
    <mergeCell ref="N17:N18"/>
    <mergeCell ref="O17:O18"/>
    <mergeCell ref="C19:G19"/>
    <mergeCell ref="N19:O19"/>
    <mergeCell ref="D51:D55"/>
    <mergeCell ref="E52:E53"/>
    <mergeCell ref="N45:N46"/>
    <mergeCell ref="E50:G50"/>
    <mergeCell ref="N47:N49"/>
    <mergeCell ref="D45:D46"/>
    <mergeCell ref="D47:D49"/>
    <mergeCell ref="D36:D37"/>
    <mergeCell ref="N36:N37"/>
    <mergeCell ref="C38:G38"/>
    <mergeCell ref="N38:O38"/>
    <mergeCell ref="C39:O39"/>
    <mergeCell ref="D66:D67"/>
    <mergeCell ref="E66:E67"/>
    <mergeCell ref="C56:C60"/>
    <mergeCell ref="D56:D60"/>
    <mergeCell ref="F56:F60"/>
    <mergeCell ref="E57:E60"/>
    <mergeCell ref="C61:C65"/>
    <mergeCell ref="D61:D65"/>
    <mergeCell ref="F61:F65"/>
    <mergeCell ref="E62:E65"/>
    <mergeCell ref="E80:E81"/>
    <mergeCell ref="F80:F81"/>
    <mergeCell ref="C76:G76"/>
    <mergeCell ref="N76:O76"/>
    <mergeCell ref="C77:O77"/>
    <mergeCell ref="D78:D79"/>
    <mergeCell ref="N78:N79"/>
    <mergeCell ref="B74:B75"/>
    <mergeCell ref="C74:C75"/>
    <mergeCell ref="D74:D75"/>
    <mergeCell ref="E74:E75"/>
    <mergeCell ref="F74:F75"/>
    <mergeCell ref="N74:N75"/>
    <mergeCell ref="A92:G92"/>
    <mergeCell ref="N1:O1"/>
    <mergeCell ref="D72:D73"/>
    <mergeCell ref="N72:N73"/>
    <mergeCell ref="O72:O73"/>
    <mergeCell ref="A97:G97"/>
    <mergeCell ref="A98:G98"/>
    <mergeCell ref="I6:I8"/>
    <mergeCell ref="A96:G96"/>
    <mergeCell ref="A93:G93"/>
    <mergeCell ref="A94:G94"/>
    <mergeCell ref="A95:G95"/>
    <mergeCell ref="A90:G90"/>
    <mergeCell ref="A91:G91"/>
    <mergeCell ref="A88:G88"/>
    <mergeCell ref="A89:G89"/>
    <mergeCell ref="C82:G82"/>
    <mergeCell ref="B83:G83"/>
    <mergeCell ref="B84:G84"/>
    <mergeCell ref="A87:G87"/>
    <mergeCell ref="A80:A81"/>
    <mergeCell ref="B80:B81"/>
    <mergeCell ref="C80:C81"/>
    <mergeCell ref="D80:D81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5" orientation="landscape" r:id="rId1"/>
  <rowBreaks count="2" manualBreakCount="2">
    <brk id="69" max="14" man="1"/>
    <brk id="85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Asignavimu valdytoju kodai</vt:lpstr>
      <vt:lpstr>11 programa</vt:lpstr>
      <vt:lpstr>Lyginamasis variantas</vt:lpstr>
      <vt:lpstr>'11 programa'!Print_Area</vt:lpstr>
      <vt:lpstr>'Lyginamasis variantas'!Print_Area</vt:lpstr>
      <vt:lpstr>'11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S.Kliaubiene</dc:creator>
  <cp:lastModifiedBy>Virginija Palaimiene</cp:lastModifiedBy>
  <cp:lastPrinted>2015-05-20T12:00:55Z</cp:lastPrinted>
  <dcterms:created xsi:type="dcterms:W3CDTF">2013-09-20T07:05:01Z</dcterms:created>
  <dcterms:modified xsi:type="dcterms:W3CDTF">2015-06-11T13:57:36Z</dcterms:modified>
</cp:coreProperties>
</file>