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8195" windowHeight="10560" firstSheet="1" activeTab="1"/>
  </bookViews>
  <sheets>
    <sheet name="Asignavimų valdytojai" sheetId="11" state="hidden" r:id="rId1"/>
    <sheet name="12 programa" sheetId="18" r:id="rId2"/>
    <sheet name="Lyginamasis variantas" sheetId="22" state="hidden" r:id="rId3"/>
  </sheets>
  <definedNames>
    <definedName name="_xlnm.Print_Area" localSheetId="1">'12 programa'!$A$1:$N$175</definedName>
    <definedName name="_xlnm.Print_Area" localSheetId="2">'Lyginamasis variantas'!$A$1:$J$161</definedName>
    <definedName name="_xlnm.Print_Titles" localSheetId="1">'12 programa'!$5:$7</definedName>
    <definedName name="_xlnm.Print_Titles" localSheetId="2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J134" i="22" l="1"/>
  <c r="H13" i="18" l="1"/>
  <c r="I14" i="22"/>
  <c r="H95" i="18"/>
  <c r="I87" i="22"/>
  <c r="H35" i="18"/>
  <c r="L13" i="18"/>
  <c r="I32" i="22"/>
  <c r="H127" i="18"/>
  <c r="J117" i="22"/>
  <c r="J116" i="22"/>
  <c r="I116" i="22"/>
  <c r="H114" i="18" l="1"/>
  <c r="I105" i="22"/>
  <c r="I97" i="22"/>
  <c r="H106" i="18"/>
  <c r="H102" i="18"/>
  <c r="I93" i="22"/>
  <c r="H12" i="18" l="1"/>
  <c r="I13" i="22"/>
  <c r="H155" i="22" l="1"/>
  <c r="H160" i="22"/>
  <c r="H143" i="22"/>
  <c r="I143" i="22"/>
  <c r="H159" i="22"/>
  <c r="H158" i="22"/>
  <c r="H157" i="22" s="1"/>
  <c r="H156" i="22"/>
  <c r="H154" i="22"/>
  <c r="H153" i="22"/>
  <c r="H152" i="22"/>
  <c r="H151" i="22"/>
  <c r="H150" i="22"/>
  <c r="H141" i="22"/>
  <c r="H139" i="22"/>
  <c r="H138" i="22"/>
  <c r="H133" i="22"/>
  <c r="H130" i="22"/>
  <c r="H131" i="22" s="1"/>
  <c r="H129" i="22"/>
  <c r="H125" i="22"/>
  <c r="H128" i="22" s="1"/>
  <c r="H124" i="22"/>
  <c r="H122" i="22"/>
  <c r="H116" i="22"/>
  <c r="H117" i="22" s="1"/>
  <c r="H115" i="22"/>
  <c r="H114" i="22"/>
  <c r="H109" i="22"/>
  <c r="H110" i="22" s="1"/>
  <c r="H108" i="22"/>
  <c r="H101" i="22"/>
  <c r="H102" i="22" s="1"/>
  <c r="H103" i="22" s="1"/>
  <c r="H100" i="22"/>
  <c r="H96" i="22"/>
  <c r="H99" i="22" s="1"/>
  <c r="H95" i="22"/>
  <c r="H88" i="22"/>
  <c r="H86" i="22"/>
  <c r="H85" i="22"/>
  <c r="H84" i="22"/>
  <c r="H82" i="22"/>
  <c r="H83" i="22" s="1"/>
  <c r="H81" i="22"/>
  <c r="H80" i="22"/>
  <c r="H77" i="22"/>
  <c r="H79" i="22" s="1"/>
  <c r="H75" i="22"/>
  <c r="H74" i="22"/>
  <c r="H73" i="22"/>
  <c r="H76" i="22" s="1"/>
  <c r="H69" i="22"/>
  <c r="H72" i="22" s="1"/>
  <c r="H67" i="22"/>
  <c r="H68" i="22" s="1"/>
  <c r="H66" i="22"/>
  <c r="H56" i="22"/>
  <c r="H64" i="22" s="1"/>
  <c r="H55" i="22"/>
  <c r="H53" i="22"/>
  <c r="H36" i="22"/>
  <c r="H35" i="22"/>
  <c r="H33" i="22"/>
  <c r="H32" i="22"/>
  <c r="H52" i="22" s="1"/>
  <c r="H28" i="22"/>
  <c r="H29" i="22" s="1"/>
  <c r="H30" i="22" s="1"/>
  <c r="H27" i="22"/>
  <c r="H26" i="22"/>
  <c r="H24" i="22"/>
  <c r="H25" i="22" s="1"/>
  <c r="H23" i="22"/>
  <c r="H22" i="22"/>
  <c r="H21" i="22"/>
  <c r="H19" i="22"/>
  <c r="H17" i="22"/>
  <c r="H15" i="22"/>
  <c r="H14" i="22"/>
  <c r="H13" i="22"/>
  <c r="H144" i="22" l="1"/>
  <c r="H145" i="22" s="1"/>
  <c r="H149" i="22"/>
  <c r="H161" i="22" s="1"/>
  <c r="J142" i="22"/>
  <c r="J143" i="22" s="1"/>
  <c r="H166" i="18"/>
  <c r="H157" i="18"/>
  <c r="H135" i="18" l="1"/>
  <c r="H169" i="18"/>
  <c r="J123" i="22"/>
  <c r="J124" i="22" s="1"/>
  <c r="I67" i="22" l="1"/>
  <c r="L72" i="18" l="1"/>
  <c r="L38" i="18"/>
  <c r="I66" i="22"/>
  <c r="I68" i="22" s="1"/>
  <c r="I75" i="18"/>
  <c r="J75" i="18"/>
  <c r="H75" i="18"/>
  <c r="J73" i="18"/>
  <c r="I73" i="18"/>
  <c r="H73" i="18"/>
  <c r="H74" i="18"/>
  <c r="J14" i="22"/>
  <c r="H170" i="18"/>
  <c r="J156" i="22"/>
  <c r="I156" i="22"/>
  <c r="J59" i="18"/>
  <c r="I59" i="18"/>
  <c r="H59" i="18"/>
  <c r="J38" i="22"/>
  <c r="I108" i="22" l="1"/>
  <c r="H117" i="18"/>
  <c r="H105" i="18"/>
  <c r="I96" i="22"/>
  <c r="J37" i="22" l="1"/>
  <c r="I154" i="22" l="1"/>
  <c r="J154" i="22" s="1"/>
  <c r="H168" i="18"/>
  <c r="H155" i="18"/>
  <c r="H24" i="18"/>
  <c r="H22" i="18"/>
  <c r="H20" i="18"/>
  <c r="H18" i="18"/>
  <c r="J70" i="22"/>
  <c r="J55" i="22" l="1"/>
  <c r="I53" i="22"/>
  <c r="J35" i="18" l="1"/>
  <c r="I35" i="18"/>
  <c r="J160" i="22" l="1"/>
  <c r="I141" i="22"/>
  <c r="I138" i="22"/>
  <c r="I133" i="22"/>
  <c r="I129" i="22"/>
  <c r="I125" i="22"/>
  <c r="I122" i="22"/>
  <c r="I124" i="22" s="1"/>
  <c r="I115" i="22"/>
  <c r="I114" i="22"/>
  <c r="I109" i="22"/>
  <c r="I110" i="22" s="1"/>
  <c r="I101" i="22"/>
  <c r="I100" i="22"/>
  <c r="I88" i="22"/>
  <c r="I85" i="22"/>
  <c r="I84" i="22"/>
  <c r="I82" i="22"/>
  <c r="I81" i="22"/>
  <c r="I152" i="22" s="1"/>
  <c r="I80" i="22"/>
  <c r="I77" i="22"/>
  <c r="I79" i="22" s="1"/>
  <c r="I75" i="22"/>
  <c r="I74" i="22"/>
  <c r="I73" i="22"/>
  <c r="I69" i="22"/>
  <c r="I72" i="22" s="1"/>
  <c r="I56" i="22"/>
  <c r="I64" i="22" s="1"/>
  <c r="I55" i="22"/>
  <c r="I36" i="22"/>
  <c r="I160" i="22" s="1"/>
  <c r="I35" i="22"/>
  <c r="I33" i="22"/>
  <c r="I52" i="22" s="1"/>
  <c r="I28" i="22"/>
  <c r="I29" i="22" s="1"/>
  <c r="I26" i="22"/>
  <c r="I24" i="22"/>
  <c r="I25" i="22" s="1"/>
  <c r="I22" i="22"/>
  <c r="I21" i="22"/>
  <c r="I19" i="22"/>
  <c r="I17" i="22"/>
  <c r="J107" i="22"/>
  <c r="J159" i="22" s="1"/>
  <c r="J106" i="22"/>
  <c r="J105" i="22"/>
  <c r="J98" i="22"/>
  <c r="J97" i="22"/>
  <c r="J99" i="22" s="1"/>
  <c r="J94" i="22"/>
  <c r="J158" i="22" s="1"/>
  <c r="J93" i="22"/>
  <c r="J92" i="22"/>
  <c r="J71" i="22"/>
  <c r="J72" i="22" s="1"/>
  <c r="J67" i="22"/>
  <c r="J68" i="22" s="1"/>
  <c r="J34" i="22"/>
  <c r="J20" i="22"/>
  <c r="J21" i="22" s="1"/>
  <c r="J108" i="22" l="1"/>
  <c r="J118" i="22" s="1"/>
  <c r="J87" i="22"/>
  <c r="J88" i="22" s="1"/>
  <c r="J152" i="22"/>
  <c r="J95" i="22"/>
  <c r="J103" i="22" s="1"/>
  <c r="J13" i="22"/>
  <c r="J15" i="22" s="1"/>
  <c r="J18" i="22"/>
  <c r="J19" i="22" s="1"/>
  <c r="I128" i="22"/>
  <c r="J125" i="22"/>
  <c r="J128" i="22" s="1"/>
  <c r="I155" i="22"/>
  <c r="J16" i="22"/>
  <c r="J17" i="22" s="1"/>
  <c r="I130" i="22"/>
  <c r="J129" i="22"/>
  <c r="J130" i="22" s="1"/>
  <c r="J131" i="22" s="1"/>
  <c r="I151" i="22"/>
  <c r="I153" i="22"/>
  <c r="I150" i="22"/>
  <c r="I86" i="22"/>
  <c r="J32" i="22"/>
  <c r="J52" i="22" s="1"/>
  <c r="J89" i="22" s="1"/>
  <c r="I159" i="22"/>
  <c r="I158" i="22"/>
  <c r="I23" i="22"/>
  <c r="I27" i="22"/>
  <c r="I99" i="22"/>
  <c r="I139" i="22"/>
  <c r="I15" i="22"/>
  <c r="J157" i="22"/>
  <c r="I76" i="22"/>
  <c r="I83" i="22"/>
  <c r="I95" i="22"/>
  <c r="I117" i="22"/>
  <c r="I102" i="22"/>
  <c r="J30" i="22" l="1"/>
  <c r="J119" i="22"/>
  <c r="I131" i="22"/>
  <c r="I149" i="22"/>
  <c r="J155" i="22"/>
  <c r="J151" i="22"/>
  <c r="J153" i="22"/>
  <c r="J150" i="22"/>
  <c r="I118" i="22"/>
  <c r="H118" i="22"/>
  <c r="I157" i="22"/>
  <c r="I103" i="22"/>
  <c r="I89" i="22"/>
  <c r="I144" i="22"/>
  <c r="J144" i="22" s="1"/>
  <c r="I30" i="22"/>
  <c r="H89" i="22"/>
  <c r="J145" i="22" l="1"/>
  <c r="J146" i="22" s="1"/>
  <c r="J149" i="22"/>
  <c r="J161" i="22" s="1"/>
  <c r="H119" i="22"/>
  <c r="H146" i="22" s="1"/>
  <c r="I161" i="22"/>
  <c r="I119" i="22"/>
  <c r="I145" i="22" s="1"/>
  <c r="I146" i="22" s="1"/>
  <c r="J29" i="18" l="1"/>
  <c r="I29" i="18"/>
  <c r="H29" i="18"/>
  <c r="H110" i="18" l="1"/>
  <c r="H109" i="18"/>
  <c r="H111" i="18" s="1"/>
  <c r="H80" i="18"/>
  <c r="J13" i="18"/>
  <c r="J18" i="18" s="1"/>
  <c r="I13" i="18"/>
  <c r="I18" i="18" l="1"/>
  <c r="J19" i="18" l="1"/>
  <c r="I19" i="18"/>
  <c r="I38" i="18"/>
  <c r="H136" i="18"/>
  <c r="J151" i="18"/>
  <c r="I151" i="18"/>
  <c r="J146" i="18"/>
  <c r="I146" i="18"/>
  <c r="J142" i="18"/>
  <c r="I142" i="18"/>
  <c r="J141" i="18"/>
  <c r="I141" i="18"/>
  <c r="J138" i="18"/>
  <c r="I138" i="18"/>
  <c r="J137" i="18"/>
  <c r="I137" i="18"/>
  <c r="I125" i="18"/>
  <c r="J122" i="18"/>
  <c r="I122" i="18"/>
  <c r="J121" i="18"/>
  <c r="I121" i="18"/>
  <c r="J84" i="18"/>
  <c r="I84" i="18"/>
  <c r="J82" i="18"/>
  <c r="I82" i="18"/>
  <c r="J81" i="18"/>
  <c r="I81" i="18"/>
  <c r="J80" i="18"/>
  <c r="I80" i="18"/>
  <c r="J78" i="18"/>
  <c r="I78" i="18"/>
  <c r="J76" i="18"/>
  <c r="I76" i="18"/>
  <c r="H76" i="18"/>
  <c r="J63" i="18"/>
  <c r="I63" i="18"/>
  <c r="J60" i="18"/>
  <c r="I60" i="18"/>
  <c r="J39" i="18"/>
  <c r="I39" i="18"/>
  <c r="J38" i="18"/>
  <c r="J36" i="18"/>
  <c r="I36" i="18"/>
  <c r="J31" i="18"/>
  <c r="I31" i="18"/>
  <c r="J27" i="18"/>
  <c r="I27" i="18"/>
  <c r="J25" i="18"/>
  <c r="I25" i="18"/>
  <c r="H79" i="18" l="1"/>
  <c r="H151" i="18"/>
  <c r="H146" i="18"/>
  <c r="H140" i="18"/>
  <c r="H133" i="18"/>
  <c r="H125" i="18"/>
  <c r="H124" i="18"/>
  <c r="H118" i="18"/>
  <c r="H93" i="18"/>
  <c r="H92" i="18"/>
  <c r="H90" i="18"/>
  <c r="H89" i="18"/>
  <c r="H88" i="18"/>
  <c r="H84" i="18"/>
  <c r="H82" i="18"/>
  <c r="H81" i="18"/>
  <c r="H83" i="18" s="1"/>
  <c r="H63" i="18"/>
  <c r="H71" i="18" s="1"/>
  <c r="H60" i="18"/>
  <c r="H62" i="18" s="1"/>
  <c r="H39" i="18"/>
  <c r="H174" i="18" s="1"/>
  <c r="H38" i="18"/>
  <c r="H36" i="18"/>
  <c r="H31" i="18"/>
  <c r="H164" i="18" s="1"/>
  <c r="H27" i="18"/>
  <c r="H28" i="18" s="1"/>
  <c r="H25" i="18"/>
  <c r="H26" i="18" s="1"/>
  <c r="H94" i="18" l="1"/>
  <c r="H165" i="18"/>
  <c r="H167" i="18"/>
  <c r="H104" i="18"/>
  <c r="H91" i="18"/>
  <c r="H128" i="18"/>
  <c r="H108" i="18"/>
  <c r="H112" i="18" s="1"/>
  <c r="H153" i="18"/>
  <c r="H173" i="18"/>
  <c r="H172" i="18"/>
  <c r="H163" i="18" l="1"/>
  <c r="H171" i="18"/>
  <c r="H175" i="18" l="1"/>
  <c r="H143" i="18" l="1"/>
  <c r="H139" i="18"/>
  <c r="H144" i="18"/>
  <c r="H120" i="18"/>
  <c r="H129" i="18" s="1"/>
  <c r="H130" i="18" s="1"/>
  <c r="H97" i="18"/>
  <c r="H86" i="18"/>
  <c r="H98" i="18" l="1"/>
  <c r="H158" i="18"/>
  <c r="H32" i="18"/>
  <c r="H33" i="18" s="1"/>
  <c r="H30" i="18"/>
  <c r="H159" i="18" l="1"/>
  <c r="H160" i="18" s="1"/>
  <c r="I128" i="18" l="1"/>
  <c r="J128" i="18"/>
  <c r="I71" i="18"/>
  <c r="J71" i="18"/>
  <c r="J174" i="18" l="1"/>
  <c r="I174" i="18"/>
  <c r="J173" i="18"/>
  <c r="I173" i="18"/>
  <c r="J172" i="18"/>
  <c r="I172" i="18"/>
  <c r="J166" i="18"/>
  <c r="I166" i="18"/>
  <c r="J165" i="18"/>
  <c r="I165" i="18"/>
  <c r="I164" i="18"/>
  <c r="J153" i="18"/>
  <c r="I153" i="18"/>
  <c r="J143" i="18"/>
  <c r="I143" i="18"/>
  <c r="J139" i="18"/>
  <c r="I139" i="18"/>
  <c r="J123" i="18"/>
  <c r="J129" i="18" s="1"/>
  <c r="J130" i="18" s="1"/>
  <c r="I123" i="18"/>
  <c r="I129" i="18" s="1"/>
  <c r="I130" i="18" s="1"/>
  <c r="J86" i="18"/>
  <c r="I86" i="18"/>
  <c r="J83" i="18"/>
  <c r="I83" i="18"/>
  <c r="J79" i="18"/>
  <c r="I79" i="18"/>
  <c r="J62" i="18"/>
  <c r="I62" i="18"/>
  <c r="J32" i="18"/>
  <c r="I32" i="18"/>
  <c r="J30" i="18"/>
  <c r="I30" i="18"/>
  <c r="J28" i="18"/>
  <c r="I28" i="18"/>
  <c r="J26" i="18"/>
  <c r="I26" i="18"/>
  <c r="J24" i="18"/>
  <c r="I24" i="18"/>
  <c r="J22" i="18"/>
  <c r="I22" i="18"/>
  <c r="J20" i="18"/>
  <c r="I20" i="18"/>
  <c r="I98" i="18" l="1"/>
  <c r="J98" i="18"/>
  <c r="I171" i="18"/>
  <c r="J171" i="18"/>
  <c r="I144" i="18"/>
  <c r="I158" i="18" s="1"/>
  <c r="I33" i="18"/>
  <c r="J144" i="18"/>
  <c r="J158" i="18" s="1"/>
  <c r="I163" i="18"/>
  <c r="J33" i="18"/>
  <c r="J164" i="18"/>
  <c r="J163" i="18" s="1"/>
  <c r="J175" i="18" s="1"/>
  <c r="I175" i="18" l="1"/>
  <c r="I159" i="18"/>
  <c r="I160" i="18" s="1"/>
  <c r="J159" i="18"/>
  <c r="J160" i="18" s="1"/>
</calcChain>
</file>

<file path=xl/sharedStrings.xml><?xml version="1.0" encoding="utf-8"?>
<sst xmlns="http://schemas.openxmlformats.org/spreadsheetml/2006/main" count="711" uniqueCount="205">
  <si>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</si>
  <si>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</si>
  <si>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</si>
  <si>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</si>
  <si>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</si>
  <si>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</si>
  <si>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</si>
  <si>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12 Socialinės atskirties mažinimo programa</t>
  </si>
  <si>
    <t>01</t>
  </si>
  <si>
    <t>Įgyvendinti socialinės paramos politiką siekiant sumažinti socialinę atskirtį Klaipėdos mieste</t>
  </si>
  <si>
    <t>Užtikrinti Lietuvos Respublikos įstatymais, Vyriausybės nutarimais ir kitais teisės aktais numatytų socialinių išmokų ir kompensacijų mokėjimą</t>
  </si>
  <si>
    <t>10</t>
  </si>
  <si>
    <t>SB(VB)</t>
  </si>
  <si>
    <t>Iš viso:</t>
  </si>
  <si>
    <t>02</t>
  </si>
  <si>
    <t xml:space="preserve">Tikslinių kompensacijų ir išmokų skaičiavimas ir mokėjimas, siekiant neįgaliesiems kompensuoti specialiųjų poreikių tenkinimo išlaidas </t>
  </si>
  <si>
    <t>LRVB</t>
  </si>
  <si>
    <t>03</t>
  </si>
  <si>
    <t>Išmokų vaikams skaičiavimas ir mokėjimas</t>
  </si>
  <si>
    <t>04</t>
  </si>
  <si>
    <t>Vienkartinių išmokų socialiai pažeidžiamiems žmonėms išmokėjimas</t>
  </si>
  <si>
    <t>3</t>
  </si>
  <si>
    <t>SB</t>
  </si>
  <si>
    <t>05</t>
  </si>
  <si>
    <t>Mokinių iš mažas pajamas gaunančių šeimų nemokamo maitinimo gamybos išlaidų padengimas</t>
  </si>
  <si>
    <t>Iš viso uždaviniui:</t>
  </si>
  <si>
    <t xml:space="preserve">Teikti visuomenės poreikius atitinkančias socialines paslaugas įvairioms gyventojų grupėms </t>
  </si>
  <si>
    <t>SB(SP)</t>
  </si>
  <si>
    <t>Nevyriausybinių organizacijų socialinių projektų dalinis finansavimas</t>
  </si>
  <si>
    <t>Aplinkos pritaikymas neįgaliesiems</t>
  </si>
  <si>
    <t>6</t>
  </si>
  <si>
    <t>06</t>
  </si>
  <si>
    <t>Socialinės reabilitacijos paslaugų neįgaliesiems bendruomenėje projektų dalinis finansavimas</t>
  </si>
  <si>
    <t>07</t>
  </si>
  <si>
    <t>Plėtoti socialinių paslaugų infrastruktūrą, įrengiant  naujus ir modernizuojant esamus socialines paslaugas teikiančių įstaigų pastatus</t>
  </si>
  <si>
    <t>Nestacionarių socialinių paslaugų infrastruktūros plėtros projektų įgyvendinimas:</t>
  </si>
  <si>
    <t>ES</t>
  </si>
  <si>
    <t>Kt</t>
  </si>
  <si>
    <t>Teikiamų socialinių paslaugų infrastruktūros tobulinimas siekiant atitikti keliamus reikalavimus:</t>
  </si>
  <si>
    <t>Iš viso tikslui:</t>
  </si>
  <si>
    <t>12</t>
  </si>
  <si>
    <t xml:space="preserve">Iš viso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</si>
  <si>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</si>
  <si>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</si>
  <si>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</si>
  <si>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</si>
  <si>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</si>
  <si>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SB(P)</t>
  </si>
  <si>
    <t>1</t>
  </si>
  <si>
    <t>Socialinės globos paslaugų teikimas senyvo amžiaus asmenims ir asmenims su negalia ne savivaldybės institucijose</t>
  </si>
  <si>
    <t>Dienos socialinės globos, trumpalaikės socialinės globos ir socialinės priežiūros paslaugų teikimo organizavimas miesto gyventojams ne savivaldybės institucijose:</t>
  </si>
  <si>
    <t>Socialinių paslaugų teikimas socialinėse įstaigose:</t>
  </si>
  <si>
    <t>I</t>
  </si>
  <si>
    <t>2015-ieji metai</t>
  </si>
  <si>
    <t xml:space="preserve">Piniginės socialinės paramos nepasiturinčioms šeimoms ir vieniems gyvenantiems asmenims bei paramos mirties atveju teikimas, išmokant pašalpas ir kompensacijas </t>
  </si>
  <si>
    <t>Asmenims su sunkia negalia teikiamų socialinės globos paslaugų apmokėjimas</t>
  </si>
  <si>
    <t>Socialinių darbuotojų, dirbančių su socialinės rizikos šeimomis, darbo apmokėjimas</t>
  </si>
  <si>
    <t>Darbuotojų, dirbančių su socialinės rizikos šeimomis, skaičius</t>
  </si>
  <si>
    <t>Mokinių nemokamo maitinimo ir aprūpinimo mokinio reikmenimis organizavimas</t>
  </si>
  <si>
    <t>Išmokų gavėjų skaičius, žm.</t>
  </si>
  <si>
    <t>08</t>
  </si>
  <si>
    <t>2</t>
  </si>
  <si>
    <t>Suaugusių asmenų su protine negalia dienos socialinės globos centre (2 spec. mokykla, III a.)</t>
  </si>
  <si>
    <t>Laikinai neišnuomotų gyvenamųjų patalpų priežiūra</t>
  </si>
  <si>
    <t>Savivaldybės gyvenamųjų patalpų techninės būklės vertinimas ir remontas</t>
  </si>
  <si>
    <t>Apmokėjimas savivaldybei tenkančia dalimi už daugiabučių namų bendrosios  nuosavybės objektų atnaujinimą ir renovaciją</t>
  </si>
  <si>
    <t>Rezervo naudojimas nenumatytiems darbams apmokėti ir avarinėms situacijoms likviduoti</t>
  </si>
  <si>
    <t>Savivaldybės gyvenamųjų patalpų nuomos administravimas</t>
  </si>
  <si>
    <t>Savininkams grąžintų nuomotų patalpų vertės įskaičiavimas į nuompinigius</t>
  </si>
  <si>
    <t>Suremontuotų butų skaičius</t>
  </si>
  <si>
    <t xml:space="preserve">Politinių kalinių ir tremtinių bei jų šeimų narių sugrįžimo į Lietuvą programos įgyvendinimas: </t>
  </si>
  <si>
    <t xml:space="preserve">Butų pirkimas politinių kalinių ir tremtiniams bei jų šeimų nariams </t>
  </si>
  <si>
    <t>SOCIALINĖS ATSKIRTIES MAŽINIMO PROGRAMOS (NR. 12)</t>
  </si>
  <si>
    <t>09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</si>
  <si>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</si>
  <si>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</si>
  <si>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</si>
  <si>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</si>
  <si>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</si>
  <si>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</si>
  <si>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</si>
  <si>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</si>
  <si>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</si>
  <si>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 xml:space="preserve">I   </t>
  </si>
  <si>
    <t>5</t>
  </si>
  <si>
    <t xml:space="preserve">Užtikrinti Klaipėdos miesto socialinio būsto fondo plėtrą ir valstybės politikos, padedančios apsirūpinti būstu, įgyvendinimą </t>
  </si>
  <si>
    <t>Savivaldybės gyvenamųjų patalpų  tinkamos fizinės būklės užtikrinimas ir nuomos administravimas: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</si>
  <si>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</si>
  <si>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</si>
  <si>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</si>
  <si>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r>
      <t>Paskolos lėšos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</si>
  <si>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</si>
  <si>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</si>
  <si>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 xml:space="preserve">Vidutinis vienkartinių išmokų socialiai pažeidžiamiems asmenims skaičius per mėn. </t>
  </si>
  <si>
    <t xml:space="preserve">Surinkta  nuomos mokesčio  proc. nuo priskaičiuoto 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</si>
  <si>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</si>
  <si>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>2016-ieji metai</t>
  </si>
  <si>
    <t>Vidutinis išmokamų kompensacijų skaičius per mėn.</t>
  </si>
  <si>
    <t xml:space="preserve">Vidutinis išmokamų socialinių pašalpų skaičius per mėn. </t>
  </si>
  <si>
    <t>BĮ Klaipėdos miesto socialinės paramos centre, iš jų:</t>
  </si>
  <si>
    <t>SB(L)</t>
  </si>
  <si>
    <t>Sutrumpėjo nuomininkų pasirinktos garantijos įvykdymo terminas, mėn.</t>
  </si>
  <si>
    <t>Parengtas techninis projektas, vnt.</t>
  </si>
  <si>
    <t>NVO projektų, gaunančių dalinį finansavimą iš savivaldybės biudžeto, skaičius</t>
  </si>
  <si>
    <t>Daugiabučių namų, kuriuose vykdomi atnaujinimo darbai, skaičius</t>
  </si>
  <si>
    <t>Objektų, kuriuose  pašalintos galimų avarijų grėsmės ir likviduotos avarijos, skaičius</t>
  </si>
  <si>
    <t>Vidutinškai per mėn. išmokamų laidojimo pašalpų skaičius</t>
  </si>
  <si>
    <t xml:space="preserve">Asmenų su sunkia negalia, kuriems teikiamos socialinės globos paslaugos, skaičius </t>
  </si>
  <si>
    <t xml:space="preserve">Paramą gaunančių mokinių skaičius </t>
  </si>
  <si>
    <t>BĮ Klaipėdos miesto globos namuose;</t>
  </si>
  <si>
    <t>Planinis vietų skaičius stacioanarias paslaugas teikiančiose įstaigose</t>
  </si>
  <si>
    <t>Paslaugų gavėjų skaičius</t>
  </si>
  <si>
    <t xml:space="preserve"> - senyvo amžiaus asmenims ir suaugusiems asmenims su negalia asmens namuose teikiamų paslaugų (pagalba į namus) plėtra;</t>
  </si>
  <si>
    <t>BĮ Neįgaliųjų centre „Klaipėdos lakštutė“;</t>
  </si>
  <si>
    <t>BĮ Klaipėdos miesto nakvynės namuose;</t>
  </si>
  <si>
    <t>BĮ Klaipėdos vaikų globos namuose „Smiltelė“;</t>
  </si>
  <si>
    <t>BĮ Klaipėdos vaikų globos namuose „Rytas“;</t>
  </si>
  <si>
    <t>Senyvo amžiaus asmenų dienos socialinės globos centre (Kretingos g. 44);</t>
  </si>
  <si>
    <t>Dienos socialinės globos paslaugų teikimas asmenims su psichine negalia dienos socialinės globos centre;</t>
  </si>
  <si>
    <t>Dienos socialinės globos paslaugų teikimas vaikams su negalia dienos socialinės globos centre;</t>
  </si>
  <si>
    <t>Dienos socialinės priežiūros paslauga vaikams iš socialinės rizikos šeimų vaikų dienos centruose;</t>
  </si>
  <si>
    <t>Nemokamo maitinimo organizavimas labdaros valgykloje Klaipėdos mieste gyvenantiems asmenims, nepajėgiantiems maitintis savo namuose;</t>
  </si>
  <si>
    <t>Dienos socialinę globą per mėn. gaunančių asmenų skaičius</t>
  </si>
  <si>
    <t>Vidutiniškai per dieną maitinimo ir apnakvindinimo paslaugas gaunančių asmenų skaičius</t>
  </si>
  <si>
    <t>03 Strateginis tikslas. Užtikrinti gyventojams aukštą švietimo, kultūros, socialinių, sporto ir sveikatos apsaugos paslaugų kokybę ir prieinamumą</t>
  </si>
  <si>
    <t>Asmenų su sunkia negalia, kuriems teikiamos socialinės globos paslaugos, skaičius (BĮ Neįgaliųjų centras „Klaipėdos lakštutė“)</t>
  </si>
  <si>
    <t>Rekonstruota ir kapitališkai suremontuota patalpų, kv. m</t>
  </si>
  <si>
    <t>Parengtų remontuoti butų skaičius</t>
  </si>
  <si>
    <t>Iš viso priemonei:</t>
  </si>
  <si>
    <t xml:space="preserve"> TIKSLŲ, UŽDAVINIŲ, PRIEMONIŲ, PRIEMONIŲ IŠLAIDŲ IR PRODUKTO KRITERIJŲ SUVESTINĖ</t>
  </si>
  <si>
    <t>Produkto kriterijaus</t>
  </si>
  <si>
    <t>2015-ųjų metų asignavimų planas</t>
  </si>
  <si>
    <t>2017-ieji metai</t>
  </si>
  <si>
    <t>Asmenų su sunkia negalia, kuriems teikiamos socialinės globos paslaugos, skaičius (BĮ Klaipėdos miesto socialines paramos centras)</t>
  </si>
  <si>
    <t>Įrengta tvora,  m</t>
  </si>
  <si>
    <t>BĮ Neįgaliųjų centro „Klaipėdos laikštutė“ (Suaugusių asmenų su protine negalia dienos socialinės globos centras, Panevėžio g. 2) tvoros įrengimas</t>
  </si>
  <si>
    <t>Socialinio būsto fondo plėtra:</t>
  </si>
  <si>
    <t>Savarankiško gyvenimo namų steigimas socialinės rizikos asmenims (perkeliant iš Šilutės pl. į Viršutinę g.)</t>
  </si>
  <si>
    <t>Savivaldybės socialinio būsto fondo gyvenamojo namo statyba žemės sklype Irklų g. 1</t>
  </si>
  <si>
    <t>P1.3.5.2</t>
  </si>
  <si>
    <t>P1.3.5.3</t>
  </si>
  <si>
    <t>Savivaldybės socialinio būsto fondo gyvenamojo namo statyba žemės sklype Rambyno g. 14</t>
  </si>
  <si>
    <t xml:space="preserve">Parengtas investicijų projektas, vnt.
</t>
  </si>
  <si>
    <t>Atlikta statybos darbų, proc.</t>
  </si>
  <si>
    <t>Pritaikytos patalpos, proc.</t>
  </si>
  <si>
    <t>Laikinai benamių asmenų, piktnaudžiaujančių alkoholiu ir psichotropinėmis medžiagomis, apgyvendinamas, esant krizinei situacijai (priemonę finansuoti, jei bus sutaupyta lėšų mokant pašalpas)</t>
  </si>
  <si>
    <t xml:space="preserve">Senjorų metų paminėjimas Klaipėdoje </t>
  </si>
  <si>
    <t>Išleistas informacinis leidinys</t>
  </si>
  <si>
    <t xml:space="preserve">BĮ Klaipėdos miesto globos namų statinio konstrukcijos pažeidimų pašalinimas </t>
  </si>
  <si>
    <t>Socialinių butų pirkimas</t>
  </si>
  <si>
    <t>Vidutinis išmokamų kompensacijų nepriklausomybes gynejams skaičius per mėn.</t>
  </si>
  <si>
    <t>BĮ Klaipėdos socialinių paslaugų centre „Danė“;</t>
  </si>
  <si>
    <t>Suaugusių asmenų su psichine negalia dienos socialinės globos centre (Kretingos g. 44);</t>
  </si>
  <si>
    <t>BĮ Klaipėdos miesto šeimos ir vaiko gerovės centre, iš jų:</t>
  </si>
  <si>
    <t xml:space="preserve"> - projekto „Kompleksinė pagalba Klaipėdos miesto socialinės grupės vaikams ir jaunimui“ įgyvendinimas;</t>
  </si>
  <si>
    <t>2015 m. asignavimų planas</t>
  </si>
  <si>
    <t>2016 m. lėšų projektas</t>
  </si>
  <si>
    <t>2016-ųjų metų lėšų projektas</t>
  </si>
  <si>
    <t>2017-ųjų metų lėšų projektas</t>
  </si>
  <si>
    <t>2017 m. lėšų projektas</t>
  </si>
  <si>
    <t>Socialinių projektų dalinis finansavimas:</t>
  </si>
  <si>
    <t>Atliktas pastato sniego gaudytuvų (apsauginių tvorelių) ir lietvamzdžių remontas, %</t>
  </si>
  <si>
    <t>BĮ Neįgaliųjų centro „Klaipėdos lakštutė“ rūsio rekonstrukcijos techninio projekto parengimas</t>
  </si>
  <si>
    <t xml:space="preserve">Įrengtas liftas </t>
  </si>
  <si>
    <t>Užbaigtumas, proc.</t>
  </si>
  <si>
    <t>Sukauptas prisidėjimas prie socialinio būsto fondo gyvenamųjų namų statybos, proc.</t>
  </si>
  <si>
    <t>Nemokamą maitinimą gaunančių bei aprūpinamų mokinio reikmenimis mokinių skaičius</t>
  </si>
  <si>
    <t>Senyvo amžiaus asmenų bei asmenų su negalia, apgyvendintų globos institucijose per metus, skaičius</t>
  </si>
  <si>
    <t>Pritaikyta butų neįgaliesiems, skaičius</t>
  </si>
  <si>
    <t>Iš dalies finansuota projektų, skaičius</t>
  </si>
  <si>
    <t>Asmenų su sunkia negalia, kuriems teikiamos socialinės globos paslaugos, skaičius</t>
  </si>
  <si>
    <t>Teikiamos socialinės paslaugos neįgaliesiems, asmenų skaičius</t>
  </si>
  <si>
    <t xml:space="preserve">Atliktas socialinių paslaugų teikimo įstaigose  auditas </t>
  </si>
  <si>
    <t>Rekonstruota dalis pastato – 802,22 kv. m.
Įsigyta visa reikalinga įranga bei baldai socialinės globos centro įrengimui.
Užbaigtumas, proc.</t>
  </si>
  <si>
    <t>Rekonstruota dalis pastato – 636,58 kv. m.
Įsigyta visa reikalinga įranga bei baldai socialinės globos centro įrengimui.
Užbaigtumas, proc.</t>
  </si>
  <si>
    <t>Rekonstruota dalis pastato – 1373,64 kv. m
Užbaigtumas, proc.</t>
  </si>
  <si>
    <t>Eur</t>
  </si>
  <si>
    <t>Planas</t>
  </si>
  <si>
    <t>Patalpų pritaikymas BĮ Klaipėdos miesto šeimos ir vaiko gerovės centro veiklai patalpose, adresu Debreceno g. 48</t>
  </si>
  <si>
    <r>
      <rPr>
        <b/>
        <sz val="10"/>
        <rFont val="Times New Roman"/>
        <family val="1"/>
        <charset val="186"/>
      </rPr>
      <t>Vietos bendruomenių savivaldos 2015 m. programos</t>
    </r>
    <r>
      <rPr>
        <sz val="10"/>
        <rFont val="Times New Roman"/>
        <family val="1"/>
        <charset val="186"/>
      </rPr>
      <t xml:space="preserve"> įgyvendinimas </t>
    </r>
  </si>
  <si>
    <r>
      <t>Projekto „</t>
    </r>
    <r>
      <rPr>
        <b/>
        <sz val="10"/>
        <rFont val="Times New Roman"/>
        <family val="1"/>
      </rPr>
      <t>Integralios socialinės globos paslaugų teikimas Klaipėdos mieste</t>
    </r>
    <r>
      <rPr>
        <sz val="10"/>
        <rFont val="Times New Roman"/>
        <family val="1"/>
      </rPr>
      <t xml:space="preserve">“ įgyvendinimas (dienos socialinės globos ir slaugos paslaugos į namus)                   </t>
    </r>
  </si>
  <si>
    <r>
      <t xml:space="preserve">Projekto </t>
    </r>
    <r>
      <rPr>
        <b/>
        <sz val="10"/>
        <rFont val="Times New Roman"/>
        <family val="1"/>
        <charset val="186"/>
      </rPr>
      <t>„Ilgalaikės socialinės globos paslaugų infrastruktūros plėtra Klaipėdos mieste“</t>
    </r>
    <r>
      <rPr>
        <sz val="10"/>
        <rFont val="Times New Roman"/>
        <family val="1"/>
      </rPr>
      <t xml:space="preserve"> įgyvendinimas</t>
    </r>
  </si>
  <si>
    <r>
      <t xml:space="preserve">Projekto </t>
    </r>
    <r>
      <rPr>
        <b/>
        <sz val="10"/>
        <rFont val="Times New Roman"/>
        <family val="1"/>
        <charset val="186"/>
      </rPr>
      <t>„Senyvo amžiaus asmenų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</si>
  <si>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>Projekto</t>
    </r>
    <r>
      <rPr>
        <b/>
        <sz val="10"/>
        <rFont val="Times New Roman"/>
        <family val="1"/>
        <charset val="186"/>
      </rPr>
      <t xml:space="preserve"> „Suaugusių asmenų su psichine negalia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</si>
  <si>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 xml:space="preserve">Projekto </t>
    </r>
    <r>
      <rPr>
        <b/>
        <sz val="10"/>
        <rFont val="Times New Roman"/>
        <family val="1"/>
        <charset val="186"/>
      </rPr>
      <t xml:space="preserve">„Suaugusių asmenų su proto negalia dienos socialinės globos centras (2 spec. mokykla, III a.)“ </t>
    </r>
    <r>
      <rPr>
        <sz val="10"/>
        <rFont val="Times New Roman"/>
        <family val="1"/>
        <charset val="186"/>
      </rPr>
      <t>įgyvendinimas</t>
    </r>
  </si>
  <si>
    <t>2015–2017 M. KLAIPĖDOS MIESTO SAVIVALDYBĖS</t>
  </si>
  <si>
    <t>Skirtumas</t>
  </si>
  <si>
    <t>Siūlomas keisti 2015 m. asignavimų planas</t>
  </si>
  <si>
    <t>Būsto nuomos ar išperkamosios būsto nuomos mokesčių dalies kompensacija gavusių asmenų sk.</t>
  </si>
  <si>
    <t>SB(PBL)</t>
  </si>
  <si>
    <r>
      <t xml:space="preserve">Lėšų likutis už privatizuotus butus </t>
    </r>
    <r>
      <rPr>
        <b/>
        <sz val="10"/>
        <rFont val="Times New Roman"/>
        <family val="1"/>
        <charset val="186"/>
      </rPr>
      <t xml:space="preserve">SB(PBL) </t>
    </r>
  </si>
  <si>
    <t>Siūlomas keisti 2015-ųjų m. asignavimų planas</t>
  </si>
  <si>
    <t>Ne savivaldybės įsteigtų įstaigų, teikiančių ilgalaikės socialinės globos paslaugas senyvo amžiaus ir suaugusiems asmenims, projektų, skirtų socialinių paslaugų infrastruktūros gerinimui, dalinis finansavimas</t>
  </si>
  <si>
    <r>
      <t>Ne savivaldybės įsteigtų įstaigų, teikiančių ilgalaikės socialinės globos paslaugas senyvo amžiaus</t>
    </r>
    <r>
      <rPr>
        <b/>
        <sz val="10"/>
        <rFont val="Times New Roman"/>
        <family val="1"/>
        <charset val="186"/>
      </rPr>
      <t xml:space="preserve"> ir suaugusiems </t>
    </r>
    <r>
      <rPr>
        <sz val="10"/>
        <rFont val="Times New Roman"/>
        <family val="1"/>
      </rPr>
      <t>asmenims, projektų, skirtų socialinių paslaugų infrastruktūros gerinimui, dalinis finansavimas</t>
    </r>
  </si>
  <si>
    <r>
      <t xml:space="preserve">Apyvartinių lėšų likutis </t>
    </r>
    <r>
      <rPr>
        <b/>
        <sz val="10"/>
        <rFont val="Times New Roman"/>
        <family val="1"/>
        <charset val="186"/>
      </rPr>
      <t>SB(L)</t>
    </r>
  </si>
  <si>
    <r>
      <t>Apyvartinių lėšų likutis</t>
    </r>
    <r>
      <rPr>
        <b/>
        <sz val="10"/>
        <rFont val="Times New Roman"/>
        <family val="1"/>
        <charset val="186"/>
      </rPr>
      <t xml:space="preserve"> SB(L)</t>
    </r>
  </si>
  <si>
    <t>Lyginamasis variantas</t>
  </si>
  <si>
    <t>SB(SPL)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</si>
  <si>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</si>
  <si>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r>
      <t>Pajamų imokų likutis</t>
    </r>
    <r>
      <rPr>
        <b/>
        <sz val="10"/>
        <rFont val="Times New Roman"/>
        <family val="1"/>
        <charset val="186"/>
      </rPr>
      <t xml:space="preserve"> SB(SPL)</t>
    </r>
  </si>
  <si>
    <t>Nupirkta butų, asm. sk.</t>
  </si>
  <si>
    <t>Parengtas investicijų projektas, vnt.</t>
  </si>
  <si>
    <r>
      <rPr>
        <b/>
        <strike/>
        <sz val="10"/>
        <rFont val="Times New Roman"/>
        <family val="1"/>
        <charset val="186"/>
      </rPr>
      <t>1</t>
    </r>
    <r>
      <rPr>
        <b/>
        <sz val="10"/>
        <rFont val="Times New Roman"/>
        <family val="1"/>
      </rPr>
      <t xml:space="preserve"> 3</t>
    </r>
  </si>
  <si>
    <r>
      <rPr>
        <b/>
        <sz val="10"/>
        <color rgb="FFFF0000"/>
        <rFont val="Times New Roman"/>
        <family val="1"/>
        <charset val="186"/>
      </rPr>
      <t xml:space="preserve">Pastato Kretingos g. 44, Klaipėdoje, I–IV aukštų rekonstrukcija, pritaikant Klaipėdos vaikų globos namams „Danė“ </t>
    </r>
    <r>
      <rPr>
        <sz val="10"/>
        <color rgb="FFFF000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</si>
  <si>
    <r>
      <rPr>
        <b/>
        <sz val="10"/>
        <rFont val="Times New Roman"/>
        <family val="1"/>
        <charset val="186"/>
      </rPr>
      <t xml:space="preserve">Pastato  Kretingos g. 44, Klaipėdoje, I–IV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</si>
</sst>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  <charset val="186"/>
    </font>
    <font>
      <b/>
      <u/>
      <sz val="10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0"/>
      <name val="Calibri"/>
      <family val="2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trike/>
      <sz val="1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116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6" fillId="0" borderId="56" xfId="0" applyFont="1" applyFill="1" applyBorder="1" applyAlignment="1">
      <alignment horizontal="center" vertical="top"/>
    </xf>
    <xf numFmtId="0" fontId="6" fillId="0" borderId="28" xfId="0" applyFont="1" applyBorder="1" applyAlignment="1">
      <alignment vertical="top"/>
    </xf>
    <xf numFmtId="49" fontId="9" fillId="2" borderId="17" xfId="0" applyNumberFormat="1" applyFont="1" applyFill="1" applyBorder="1" applyAlignment="1">
      <alignment vertical="top" wrapText="1"/>
    </xf>
    <xf numFmtId="49" fontId="9" fillId="3" borderId="19" xfId="0" applyNumberFormat="1" applyFont="1" applyFill="1" applyBorder="1" applyAlignment="1">
      <alignment vertical="top" wrapText="1"/>
    </xf>
    <xf numFmtId="49" fontId="9" fillId="0" borderId="19" xfId="0" applyNumberFormat="1" applyFont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2" fillId="0" borderId="0" xfId="0" applyFont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49" fontId="9" fillId="2" borderId="3" xfId="0" applyNumberFormat="1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top"/>
    </xf>
    <xf numFmtId="49" fontId="9" fillId="3" borderId="4" xfId="0" applyNumberFormat="1" applyFont="1" applyFill="1" applyBorder="1" applyAlignment="1">
      <alignment horizontal="center" vertical="top"/>
    </xf>
    <xf numFmtId="49" fontId="9" fillId="3" borderId="6" xfId="0" applyNumberFormat="1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49" fontId="9" fillId="3" borderId="11" xfId="0" applyNumberFormat="1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49" fontId="9" fillId="3" borderId="18" xfId="0" applyNumberFormat="1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49" fontId="9" fillId="0" borderId="7" xfId="0" applyNumberFormat="1" applyFont="1" applyBorder="1" applyAlignment="1">
      <alignment vertical="top"/>
    </xf>
    <xf numFmtId="0" fontId="6" fillId="0" borderId="9" xfId="0" applyFont="1" applyFill="1" applyBorder="1" applyAlignment="1">
      <alignment horizontal="center" vertical="top" wrapText="1"/>
    </xf>
    <xf numFmtId="49" fontId="9" fillId="0" borderId="19" xfId="0" applyNumberFormat="1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49" fontId="8" fillId="0" borderId="11" xfId="0" applyNumberFormat="1" applyFont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/>
    </xf>
    <xf numFmtId="49" fontId="9" fillId="2" borderId="27" xfId="0" applyNumberFormat="1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8" fillId="0" borderId="21" xfId="0" applyNumberFormat="1" applyFont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0" fontId="2" fillId="0" borderId="0" xfId="0" applyFont="1" applyBorder="1"/>
    <xf numFmtId="49" fontId="9" fillId="3" borderId="29" xfId="0" applyNumberFormat="1" applyFont="1" applyFill="1" applyBorder="1" applyAlignment="1">
      <alignment horizontal="center" vertical="top"/>
    </xf>
    <xf numFmtId="49" fontId="9" fillId="2" borderId="10" xfId="0" applyNumberFormat="1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49" fontId="9" fillId="2" borderId="5" xfId="0" applyNumberFormat="1" applyFont="1" applyFill="1" applyBorder="1" applyAlignment="1">
      <alignment vertical="top"/>
    </xf>
    <xf numFmtId="49" fontId="9" fillId="3" borderId="7" xfId="0" applyNumberFormat="1" applyFont="1" applyFill="1" applyBorder="1" applyAlignment="1">
      <alignment vertical="top"/>
    </xf>
    <xf numFmtId="49" fontId="9" fillId="2" borderId="18" xfId="0" applyNumberFormat="1" applyFont="1" applyFill="1" applyBorder="1" applyAlignment="1">
      <alignment horizontal="center" vertical="top"/>
    </xf>
    <xf numFmtId="49" fontId="9" fillId="5" borderId="3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8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vertical="top" wrapText="1"/>
    </xf>
    <xf numFmtId="0" fontId="8" fillId="0" borderId="28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vertical="center" textRotation="90" wrapText="1"/>
    </xf>
    <xf numFmtId="0" fontId="9" fillId="0" borderId="17" xfId="0" applyFont="1" applyFill="1" applyBorder="1" applyAlignment="1">
      <alignment vertical="center" textRotation="90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8" fillId="0" borderId="34" xfId="0" applyNumberFormat="1" applyFont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top" wrapText="1"/>
    </xf>
    <xf numFmtId="0" fontId="8" fillId="0" borderId="34" xfId="0" applyNumberFormat="1" applyFont="1" applyBorder="1" applyAlignment="1">
      <alignment vertical="center"/>
    </xf>
    <xf numFmtId="49" fontId="9" fillId="0" borderId="10" xfId="0" applyNumberFormat="1" applyFont="1" applyBorder="1" applyAlignment="1">
      <alignment vertical="center" textRotation="90"/>
    </xf>
    <xf numFmtId="0" fontId="9" fillId="0" borderId="0" xfId="0" applyFont="1" applyBorder="1" applyAlignment="1">
      <alignment vertical="center" textRotation="90"/>
    </xf>
    <xf numFmtId="164" fontId="2" fillId="0" borderId="0" xfId="0" applyNumberFormat="1" applyFont="1"/>
    <xf numFmtId="0" fontId="9" fillId="0" borderId="5" xfId="0" applyFont="1" applyFill="1" applyBorder="1" applyAlignment="1">
      <alignment vertical="center" textRotation="90" wrapText="1"/>
    </xf>
    <xf numFmtId="49" fontId="9" fillId="2" borderId="28" xfId="0" applyNumberFormat="1" applyFont="1" applyFill="1" applyBorder="1" applyAlignment="1">
      <alignment vertical="top"/>
    </xf>
    <xf numFmtId="49" fontId="8" fillId="0" borderId="31" xfId="0" applyNumberFormat="1" applyFont="1" applyBorder="1" applyAlignment="1">
      <alignment vertical="top"/>
    </xf>
    <xf numFmtId="49" fontId="9" fillId="4" borderId="9" xfId="0" applyNumberFormat="1" applyFont="1" applyFill="1" applyBorder="1" applyAlignment="1">
      <alignment vertical="top" wrapText="1"/>
    </xf>
    <xf numFmtId="49" fontId="8" fillId="0" borderId="55" xfId="0" applyNumberFormat="1" applyFont="1" applyBorder="1" applyAlignment="1">
      <alignment horizontal="center" vertical="top"/>
    </xf>
    <xf numFmtId="49" fontId="9" fillId="0" borderId="52" xfId="0" applyNumberFormat="1" applyFont="1" applyBorder="1" applyAlignment="1">
      <alignment vertical="center" textRotation="90"/>
    </xf>
    <xf numFmtId="0" fontId="6" fillId="7" borderId="9" xfId="0" applyFont="1" applyFill="1" applyBorder="1" applyAlignment="1">
      <alignment vertical="top" wrapText="1"/>
    </xf>
    <xf numFmtId="49" fontId="9" fillId="2" borderId="67" xfId="0" applyNumberFormat="1" applyFont="1" applyFill="1" applyBorder="1" applyAlignment="1">
      <alignment horizontal="center" vertical="top"/>
    </xf>
    <xf numFmtId="0" fontId="9" fillId="8" borderId="62" xfId="0" applyFont="1" applyFill="1" applyBorder="1" applyAlignment="1">
      <alignment horizontal="center" vertical="top"/>
    </xf>
    <xf numFmtId="0" fontId="9" fillId="8" borderId="40" xfId="0" applyFont="1" applyFill="1" applyBorder="1" applyAlignment="1">
      <alignment horizontal="center" vertical="top"/>
    </xf>
    <xf numFmtId="0" fontId="8" fillId="8" borderId="62" xfId="0" applyFont="1" applyFill="1" applyBorder="1" applyAlignment="1">
      <alignment horizontal="center" vertical="top" wrapText="1"/>
    </xf>
    <xf numFmtId="0" fontId="8" fillId="8" borderId="62" xfId="0" applyFont="1" applyFill="1" applyBorder="1" applyAlignment="1">
      <alignment horizontal="center" vertical="top"/>
    </xf>
    <xf numFmtId="0" fontId="6" fillId="0" borderId="15" xfId="0" applyFont="1" applyBorder="1" applyAlignment="1">
      <alignment horizontal="center" vertical="top" wrapText="1"/>
    </xf>
    <xf numFmtId="0" fontId="6" fillId="0" borderId="15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textRotation="180" wrapText="1"/>
    </xf>
    <xf numFmtId="0" fontId="8" fillId="0" borderId="0" xfId="0" applyFont="1" applyFill="1" applyBorder="1" applyAlignment="1">
      <alignment horizontal="center" vertical="top" textRotation="180" wrapText="1"/>
    </xf>
    <xf numFmtId="0" fontId="10" fillId="4" borderId="13" xfId="0" applyFont="1" applyFill="1" applyBorder="1" applyAlignment="1">
      <alignment horizontal="center" vertical="top" wrapText="1"/>
    </xf>
    <xf numFmtId="164" fontId="6" fillId="0" borderId="0" xfId="0" applyNumberFormat="1" applyFont="1" applyBorder="1" applyAlignment="1">
      <alignment vertical="top"/>
    </xf>
    <xf numFmtId="0" fontId="6" fillId="7" borderId="15" xfId="0" applyFont="1" applyFill="1" applyBorder="1" applyAlignment="1">
      <alignment horizontal="center" vertical="top" wrapText="1"/>
    </xf>
    <xf numFmtId="1" fontId="6" fillId="0" borderId="0" xfId="0" applyNumberFormat="1" applyFont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49" fontId="9" fillId="0" borderId="34" xfId="0" applyNumberFormat="1" applyFont="1" applyBorder="1" applyAlignment="1">
      <alignment horizontal="center" vertical="top" wrapText="1"/>
    </xf>
    <xf numFmtId="0" fontId="8" fillId="0" borderId="35" xfId="0" applyNumberFormat="1" applyFont="1" applyBorder="1" applyAlignment="1">
      <alignment horizontal="center" vertical="top"/>
    </xf>
    <xf numFmtId="49" fontId="8" fillId="4" borderId="6" xfId="0" applyNumberFormat="1" applyFont="1" applyFill="1" applyBorder="1" applyAlignment="1">
      <alignment vertical="top"/>
    </xf>
    <xf numFmtId="49" fontId="8" fillId="4" borderId="11" xfId="0" applyNumberFormat="1" applyFont="1" applyFill="1" applyBorder="1" applyAlignment="1">
      <alignment vertical="top"/>
    </xf>
    <xf numFmtId="0" fontId="8" fillId="7" borderId="34" xfId="0" applyNumberFormat="1" applyFont="1" applyFill="1" applyBorder="1" applyAlignment="1">
      <alignment horizontal="center" vertical="top"/>
    </xf>
    <xf numFmtId="0" fontId="9" fillId="0" borderId="28" xfId="0" applyFont="1" applyBorder="1" applyAlignment="1">
      <alignment vertical="center" textRotation="90"/>
    </xf>
    <xf numFmtId="0" fontId="9" fillId="0" borderId="67" xfId="0" applyFont="1" applyBorder="1" applyAlignment="1">
      <alignment horizontal="center" vertical="center" textRotation="90"/>
    </xf>
    <xf numFmtId="0" fontId="8" fillId="8" borderId="15" xfId="0" applyFont="1" applyFill="1" applyBorder="1" applyAlignment="1">
      <alignment horizontal="center" vertical="top" wrapText="1"/>
    </xf>
    <xf numFmtId="0" fontId="8" fillId="8" borderId="13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49" fontId="8" fillId="4" borderId="34" xfId="0" applyNumberFormat="1" applyFont="1" applyFill="1" applyBorder="1" applyAlignment="1">
      <alignment vertical="top"/>
    </xf>
    <xf numFmtId="0" fontId="6" fillId="0" borderId="69" xfId="0" applyFont="1" applyFill="1" applyBorder="1" applyAlignment="1">
      <alignment vertical="top" wrapText="1"/>
    </xf>
    <xf numFmtId="49" fontId="9" fillId="0" borderId="34" xfId="0" applyNumberFormat="1" applyFont="1" applyBorder="1" applyAlignment="1">
      <alignment vertical="top"/>
    </xf>
    <xf numFmtId="49" fontId="8" fillId="4" borderId="18" xfId="0" applyNumberFormat="1" applyFont="1" applyFill="1" applyBorder="1" applyAlignment="1">
      <alignment vertical="top"/>
    </xf>
    <xf numFmtId="0" fontId="6" fillId="0" borderId="9" xfId="0" applyFont="1" applyFill="1" applyBorder="1" applyAlignment="1">
      <alignment vertical="top" wrapText="1"/>
    </xf>
    <xf numFmtId="49" fontId="9" fillId="0" borderId="35" xfId="0" applyNumberFormat="1" applyFont="1" applyBorder="1" applyAlignment="1">
      <alignment vertical="top"/>
    </xf>
    <xf numFmtId="0" fontId="6" fillId="4" borderId="16" xfId="0" applyFont="1" applyFill="1" applyBorder="1" applyAlignment="1">
      <alignment horizontal="center" vertical="top" wrapText="1"/>
    </xf>
    <xf numFmtId="49" fontId="9" fillId="4" borderId="34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 textRotation="90"/>
    </xf>
    <xf numFmtId="0" fontId="1" fillId="0" borderId="42" xfId="0" applyFont="1" applyBorder="1" applyAlignment="1">
      <alignment horizontal="center" vertical="center" textRotation="90"/>
    </xf>
    <xf numFmtId="0" fontId="6" fillId="0" borderId="32" xfId="0" applyFont="1" applyFill="1" applyBorder="1" applyAlignment="1">
      <alignment horizontal="center" vertical="top"/>
    </xf>
    <xf numFmtId="3" fontId="6" fillId="8" borderId="32" xfId="0" applyNumberFormat="1" applyFont="1" applyFill="1" applyBorder="1" applyAlignment="1">
      <alignment horizontal="center" vertical="top"/>
    </xf>
    <xf numFmtId="3" fontId="6" fillId="7" borderId="32" xfId="0" applyNumberFormat="1" applyFont="1" applyFill="1" applyBorder="1" applyAlignment="1">
      <alignment horizontal="center" vertical="top"/>
    </xf>
    <xf numFmtId="1" fontId="6" fillId="0" borderId="24" xfId="0" applyNumberFormat="1" applyFont="1" applyFill="1" applyBorder="1" applyAlignment="1">
      <alignment horizontal="center" vertical="top"/>
    </xf>
    <xf numFmtId="1" fontId="6" fillId="0" borderId="47" xfId="0" applyNumberFormat="1" applyFont="1" applyFill="1" applyBorder="1" applyAlignment="1">
      <alignment horizontal="center" vertical="top"/>
    </xf>
    <xf numFmtId="1" fontId="6" fillId="0" borderId="22" xfId="0" applyNumberFormat="1" applyFont="1" applyFill="1" applyBorder="1" applyAlignment="1">
      <alignment horizontal="center" vertical="top"/>
    </xf>
    <xf numFmtId="49" fontId="9" fillId="0" borderId="34" xfId="0" applyNumberFormat="1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top"/>
    </xf>
    <xf numFmtId="3" fontId="6" fillId="8" borderId="28" xfId="0" applyNumberFormat="1" applyFont="1" applyFill="1" applyBorder="1" applyAlignment="1">
      <alignment horizontal="center" vertical="top"/>
    </xf>
    <xf numFmtId="3" fontId="6" fillId="7" borderId="28" xfId="0" applyNumberFormat="1" applyFont="1" applyFill="1" applyBorder="1" applyAlignment="1">
      <alignment horizontal="center" vertical="top"/>
    </xf>
    <xf numFmtId="3" fontId="6" fillId="7" borderId="15" xfId="0" applyNumberFormat="1" applyFont="1" applyFill="1" applyBorder="1" applyAlignment="1">
      <alignment horizontal="center" vertical="top"/>
    </xf>
    <xf numFmtId="1" fontId="6" fillId="0" borderId="54" xfId="0" applyNumberFormat="1" applyFont="1" applyFill="1" applyBorder="1" applyAlignment="1">
      <alignment horizontal="center" vertical="top"/>
    </xf>
    <xf numFmtId="1" fontId="6" fillId="0" borderId="37" xfId="0" applyNumberFormat="1" applyFont="1" applyFill="1" applyBorder="1" applyAlignment="1">
      <alignment horizontal="center" vertical="top"/>
    </xf>
    <xf numFmtId="0" fontId="6" fillId="0" borderId="39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6" fillId="0" borderId="28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vertical="top" wrapText="1"/>
    </xf>
    <xf numFmtId="1" fontId="6" fillId="0" borderId="52" xfId="0" applyNumberFormat="1" applyFont="1" applyFill="1" applyBorder="1" applyAlignment="1">
      <alignment horizontal="center" vertical="top"/>
    </xf>
    <xf numFmtId="0" fontId="6" fillId="0" borderId="25" xfId="0" applyFont="1" applyFill="1" applyBorder="1" applyAlignment="1">
      <alignment vertical="top" wrapText="1"/>
    </xf>
    <xf numFmtId="3" fontId="6" fillId="4" borderId="15" xfId="0" applyNumberFormat="1" applyFont="1" applyFill="1" applyBorder="1" applyAlignment="1">
      <alignment horizontal="center" vertical="top"/>
    </xf>
    <xf numFmtId="3" fontId="6" fillId="4" borderId="0" xfId="0" applyNumberFormat="1" applyFont="1" applyFill="1" applyBorder="1" applyAlignment="1">
      <alignment horizontal="center" vertical="top"/>
    </xf>
    <xf numFmtId="3" fontId="9" fillId="8" borderId="40" xfId="0" applyNumberFormat="1" applyFont="1" applyFill="1" applyBorder="1" applyAlignment="1">
      <alignment horizontal="center" vertical="top"/>
    </xf>
    <xf numFmtId="3" fontId="9" fillId="8" borderId="62" xfId="0" applyNumberFormat="1" applyFont="1" applyFill="1" applyBorder="1" applyAlignment="1">
      <alignment horizontal="center" vertical="top"/>
    </xf>
    <xf numFmtId="1" fontId="6" fillId="0" borderId="17" xfId="0" applyNumberFormat="1" applyFont="1" applyFill="1" applyBorder="1" applyAlignment="1">
      <alignment horizontal="center" vertical="top"/>
    </xf>
    <xf numFmtId="1" fontId="6" fillId="0" borderId="19" xfId="0" applyNumberFormat="1" applyFont="1" applyFill="1" applyBorder="1" applyAlignment="1">
      <alignment horizontal="center" vertical="top"/>
    </xf>
    <xf numFmtId="1" fontId="6" fillId="0" borderId="31" xfId="0" applyNumberFormat="1" applyFont="1" applyFill="1" applyBorder="1" applyAlignment="1">
      <alignment horizontal="center" vertical="top"/>
    </xf>
    <xf numFmtId="3" fontId="6" fillId="8" borderId="79" xfId="0" applyNumberFormat="1" applyFont="1" applyFill="1" applyBorder="1" applyAlignment="1">
      <alignment horizontal="center" vertical="top"/>
    </xf>
    <xf numFmtId="3" fontId="6" fillId="0" borderId="16" xfId="0" applyNumberFormat="1" applyFont="1" applyFill="1" applyBorder="1" applyAlignment="1">
      <alignment horizontal="center" vertical="top"/>
    </xf>
    <xf numFmtId="0" fontId="6" fillId="7" borderId="5" xfId="0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 wrapText="1"/>
    </xf>
    <xf numFmtId="0" fontId="6" fillId="7" borderId="35" xfId="0" applyFont="1" applyFill="1" applyBorder="1" applyAlignment="1">
      <alignment horizontal="center" vertical="top" wrapText="1"/>
    </xf>
    <xf numFmtId="3" fontId="9" fillId="8" borderId="41" xfId="0" applyNumberFormat="1" applyFont="1" applyFill="1" applyBorder="1" applyAlignment="1">
      <alignment horizontal="center" vertical="top"/>
    </xf>
    <xf numFmtId="0" fontId="6" fillId="0" borderId="44" xfId="0" applyFont="1" applyFill="1" applyBorder="1" applyAlignment="1">
      <alignment horizontal="center" vertical="top" wrapText="1"/>
    </xf>
    <xf numFmtId="3" fontId="9" fillId="8" borderId="59" xfId="0" applyNumberFormat="1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/>
    </xf>
    <xf numFmtId="3" fontId="6" fillId="8" borderId="24" xfId="0" applyNumberFormat="1" applyFont="1" applyFill="1" applyBorder="1" applyAlignment="1">
      <alignment horizontal="center" vertical="top"/>
    </xf>
    <xf numFmtId="3" fontId="6" fillId="7" borderId="24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35" xfId="0" applyFont="1" applyFill="1" applyBorder="1" applyAlignment="1">
      <alignment horizontal="center" vertical="top"/>
    </xf>
    <xf numFmtId="0" fontId="6" fillId="0" borderId="50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center" vertical="top"/>
    </xf>
    <xf numFmtId="49" fontId="9" fillId="0" borderId="35" xfId="0" applyNumberFormat="1" applyFont="1" applyBorder="1" applyAlignment="1">
      <alignment horizontal="center" vertical="top" wrapText="1"/>
    </xf>
    <xf numFmtId="3" fontId="6" fillId="8" borderId="24" xfId="0" applyNumberFormat="1" applyFont="1" applyFill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/>
    </xf>
    <xf numFmtId="3" fontId="1" fillId="8" borderId="28" xfId="0" applyNumberFormat="1" applyFont="1" applyFill="1" applyBorder="1" applyAlignment="1">
      <alignment horizontal="center" vertical="top"/>
    </xf>
    <xf numFmtId="0" fontId="6" fillId="7" borderId="15" xfId="0" applyFont="1" applyFill="1" applyBorder="1" applyAlignment="1">
      <alignment vertical="top" wrapText="1"/>
    </xf>
    <xf numFmtId="3" fontId="6" fillId="7" borderId="24" xfId="0" applyNumberFormat="1" applyFont="1" applyFill="1" applyBorder="1" applyAlignment="1">
      <alignment horizontal="center" vertical="top" wrapText="1"/>
    </xf>
    <xf numFmtId="0" fontId="8" fillId="0" borderId="31" xfId="0" applyNumberFormat="1" applyFont="1" applyBorder="1" applyAlignment="1">
      <alignment horizontal="center" vertical="top"/>
    </xf>
    <xf numFmtId="3" fontId="8" fillId="8" borderId="54" xfId="0" applyNumberFormat="1" applyFont="1" applyFill="1" applyBorder="1" applyAlignment="1">
      <alignment horizontal="center" vertical="top" wrapText="1"/>
    </xf>
    <xf numFmtId="3" fontId="9" fillId="8" borderId="54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3" fontId="8" fillId="3" borderId="72" xfId="0" applyNumberFormat="1" applyFont="1" applyFill="1" applyBorder="1" applyAlignment="1">
      <alignment horizontal="center" vertical="top"/>
    </xf>
    <xf numFmtId="3" fontId="9" fillId="3" borderId="72" xfId="0" applyNumberFormat="1" applyFont="1" applyFill="1" applyBorder="1" applyAlignment="1">
      <alignment horizontal="center" vertical="top"/>
    </xf>
    <xf numFmtId="3" fontId="9" fillId="3" borderId="23" xfId="0" applyNumberFormat="1" applyFont="1" applyFill="1" applyBorder="1" applyAlignment="1">
      <alignment horizontal="center" vertical="top"/>
    </xf>
    <xf numFmtId="49" fontId="8" fillId="0" borderId="6" xfId="0" applyNumberFormat="1" applyFont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 textRotation="180" wrapText="1"/>
    </xf>
    <xf numFmtId="0" fontId="6" fillId="0" borderId="79" xfId="0" applyFont="1" applyFill="1" applyBorder="1" applyAlignment="1">
      <alignment horizontal="center" vertical="top"/>
    </xf>
    <xf numFmtId="3" fontId="6" fillId="4" borderId="16" xfId="0" applyNumberFormat="1" applyFont="1" applyFill="1" applyBorder="1" applyAlignment="1">
      <alignment horizontal="center" vertical="top" wrapText="1"/>
    </xf>
    <xf numFmtId="0" fontId="6" fillId="4" borderId="7" xfId="0" applyNumberFormat="1" applyFont="1" applyFill="1" applyBorder="1" applyAlignment="1">
      <alignment horizontal="center" vertical="top" wrapText="1"/>
    </xf>
    <xf numFmtId="0" fontId="6" fillId="4" borderId="35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Border="1" applyAlignment="1">
      <alignment vertical="top"/>
    </xf>
    <xf numFmtId="0" fontId="6" fillId="0" borderId="0" xfId="0" applyNumberFormat="1" applyFont="1" applyFill="1" applyBorder="1" applyAlignment="1">
      <alignment horizontal="center" vertical="top"/>
    </xf>
    <xf numFmtId="3" fontId="6" fillId="8" borderId="15" xfId="0" applyNumberFormat="1" applyFont="1" applyFill="1" applyBorder="1" applyAlignment="1">
      <alignment horizontal="center" vertical="top"/>
    </xf>
    <xf numFmtId="3" fontId="6" fillId="4" borderId="26" xfId="0" applyNumberFormat="1" applyFont="1" applyFill="1" applyBorder="1" applyAlignment="1">
      <alignment horizontal="center" vertical="top" wrapText="1"/>
    </xf>
    <xf numFmtId="0" fontId="6" fillId="4" borderId="28" xfId="0" applyNumberFormat="1" applyFont="1" applyFill="1" applyBorder="1" applyAlignment="1">
      <alignment horizontal="center" vertical="top" wrapText="1"/>
    </xf>
    <xf numFmtId="0" fontId="8" fillId="4" borderId="15" xfId="0" applyFont="1" applyFill="1" applyBorder="1" applyAlignment="1">
      <alignment vertical="top" wrapText="1"/>
    </xf>
    <xf numFmtId="0" fontId="6" fillId="0" borderId="54" xfId="0" applyFont="1" applyFill="1" applyBorder="1" applyAlignment="1">
      <alignment horizontal="center" vertical="top"/>
    </xf>
    <xf numFmtId="3" fontId="6" fillId="8" borderId="25" xfId="0" applyNumberFormat="1" applyFont="1" applyFill="1" applyBorder="1" applyAlignment="1">
      <alignment horizontal="center" vertical="top"/>
    </xf>
    <xf numFmtId="3" fontId="6" fillId="4" borderId="13" xfId="0" applyNumberFormat="1" applyFont="1" applyFill="1" applyBorder="1" applyAlignment="1">
      <alignment horizontal="center" vertical="top"/>
    </xf>
    <xf numFmtId="0" fontId="6" fillId="0" borderId="12" xfId="0" applyFont="1" applyBorder="1" applyAlignment="1">
      <alignment vertical="top"/>
    </xf>
    <xf numFmtId="0" fontId="6" fillId="0" borderId="21" xfId="0" applyFont="1" applyBorder="1" applyAlignment="1">
      <alignment horizontal="center" vertical="top"/>
    </xf>
    <xf numFmtId="0" fontId="6" fillId="0" borderId="56" xfId="0" applyFont="1" applyFill="1" applyBorder="1" applyAlignment="1">
      <alignment horizontal="center" vertical="top" wrapText="1"/>
    </xf>
    <xf numFmtId="3" fontId="6" fillId="8" borderId="13" xfId="0" applyNumberFormat="1" applyFont="1" applyFill="1" applyBorder="1" applyAlignment="1">
      <alignment horizontal="center" vertical="top" wrapText="1"/>
    </xf>
    <xf numFmtId="3" fontId="6" fillId="0" borderId="15" xfId="0" applyNumberFormat="1" applyFont="1" applyFill="1" applyBorder="1" applyAlignment="1">
      <alignment horizontal="center" vertical="top" wrapText="1"/>
    </xf>
    <xf numFmtId="0" fontId="6" fillId="4" borderId="54" xfId="0" applyNumberFormat="1" applyFont="1" applyFill="1" applyBorder="1" applyAlignment="1">
      <alignment vertical="top" wrapText="1"/>
    </xf>
    <xf numFmtId="0" fontId="6" fillId="4" borderId="54" xfId="0" applyNumberFormat="1" applyFont="1" applyFill="1" applyBorder="1" applyAlignment="1">
      <alignment horizontal="center" vertical="top" wrapText="1"/>
    </xf>
    <xf numFmtId="3" fontId="6" fillId="0" borderId="60" xfId="0" applyNumberFormat="1" applyFont="1" applyFill="1" applyBorder="1" applyAlignment="1">
      <alignment horizontal="center" vertical="top" wrapText="1"/>
    </xf>
    <xf numFmtId="3" fontId="6" fillId="0" borderId="25" xfId="0" applyNumberFormat="1" applyFont="1" applyFill="1" applyBorder="1" applyAlignment="1">
      <alignment horizontal="center" vertical="top" wrapText="1"/>
    </xf>
    <xf numFmtId="0" fontId="6" fillId="4" borderId="28" xfId="0" applyNumberFormat="1" applyFont="1" applyFill="1" applyBorder="1" applyAlignment="1">
      <alignment vertical="top" wrapText="1"/>
    </xf>
    <xf numFmtId="0" fontId="6" fillId="4" borderId="34" xfId="0" applyNumberFormat="1" applyFont="1" applyFill="1" applyBorder="1" applyAlignment="1">
      <alignment vertical="top" wrapText="1"/>
    </xf>
    <xf numFmtId="3" fontId="6" fillId="0" borderId="0" xfId="0" applyNumberFormat="1" applyFont="1" applyBorder="1" applyAlignment="1">
      <alignment vertical="top"/>
    </xf>
    <xf numFmtId="2" fontId="6" fillId="0" borderId="28" xfId="0" applyNumberFormat="1" applyFont="1" applyFill="1" applyBorder="1" applyAlignment="1">
      <alignment vertical="top" wrapText="1"/>
    </xf>
    <xf numFmtId="164" fontId="6" fillId="0" borderId="28" xfId="0" applyNumberFormat="1" applyFont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3" fontId="6" fillId="8" borderId="15" xfId="0" applyNumberFormat="1" applyFont="1" applyFill="1" applyBorder="1" applyAlignment="1">
      <alignment horizontal="center" vertical="top" wrapText="1"/>
    </xf>
    <xf numFmtId="3" fontId="6" fillId="0" borderId="28" xfId="0" applyNumberFormat="1" applyFont="1" applyFill="1" applyBorder="1" applyAlignment="1">
      <alignment horizontal="center" vertical="top" wrapText="1"/>
    </xf>
    <xf numFmtId="2" fontId="1" fillId="0" borderId="28" xfId="0" applyNumberFormat="1" applyFont="1" applyFill="1" applyBorder="1" applyAlignment="1">
      <alignment vertical="top" wrapText="1"/>
    </xf>
    <xf numFmtId="0" fontId="1" fillId="7" borderId="10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3" fontId="6" fillId="4" borderId="28" xfId="0" applyNumberFormat="1" applyFont="1" applyFill="1" applyBorder="1" applyAlignment="1">
      <alignment horizontal="center" vertical="top" wrapText="1"/>
    </xf>
    <xf numFmtId="3" fontId="6" fillId="4" borderId="15" xfId="0" applyNumberFormat="1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/>
    </xf>
    <xf numFmtId="0" fontId="6" fillId="4" borderId="21" xfId="0" applyFont="1" applyFill="1" applyBorder="1" applyAlignment="1">
      <alignment horizontal="center" vertical="top"/>
    </xf>
    <xf numFmtId="3" fontId="6" fillId="0" borderId="15" xfId="0" applyNumberFormat="1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top"/>
    </xf>
    <xf numFmtId="0" fontId="6" fillId="0" borderId="28" xfId="0" applyNumberFormat="1" applyFont="1" applyFill="1" applyBorder="1" applyAlignment="1">
      <alignment horizontal="center" vertical="top"/>
    </xf>
    <xf numFmtId="0" fontId="6" fillId="0" borderId="11" xfId="0" applyNumberFormat="1" applyFont="1" applyFill="1" applyBorder="1" applyAlignment="1">
      <alignment horizontal="center" vertical="top"/>
    </xf>
    <xf numFmtId="2" fontId="6" fillId="0" borderId="28" xfId="0" applyNumberFormat="1" applyFont="1" applyFill="1" applyBorder="1" applyAlignment="1">
      <alignment horizontal="left" vertical="top" wrapText="1"/>
    </xf>
    <xf numFmtId="49" fontId="9" fillId="0" borderId="11" xfId="0" applyNumberFormat="1" applyFont="1" applyBorder="1" applyAlignment="1">
      <alignment horizontal="center" vertical="top"/>
    </xf>
    <xf numFmtId="0" fontId="9" fillId="0" borderId="34" xfId="0" applyNumberFormat="1" applyFont="1" applyBorder="1" applyAlignment="1">
      <alignment horizontal="center" vertical="top"/>
    </xf>
    <xf numFmtId="3" fontId="6" fillId="0" borderId="15" xfId="0" applyNumberFormat="1" applyFont="1" applyBorder="1" applyAlignment="1">
      <alignment horizontal="center" vertical="top"/>
    </xf>
    <xf numFmtId="49" fontId="9" fillId="0" borderId="11" xfId="0" applyNumberFormat="1" applyFont="1" applyFill="1" applyBorder="1" applyAlignment="1">
      <alignment horizontal="center" vertical="top"/>
    </xf>
    <xf numFmtId="0" fontId="6" fillId="7" borderId="10" xfId="0" applyFont="1" applyFill="1" applyBorder="1" applyAlignment="1">
      <alignment horizontal="center" vertical="top"/>
    </xf>
    <xf numFmtId="49" fontId="9" fillId="2" borderId="38" xfId="0" applyNumberFormat="1" applyFont="1" applyFill="1" applyBorder="1" applyAlignment="1">
      <alignment horizontal="center" vertical="top"/>
    </xf>
    <xf numFmtId="49" fontId="9" fillId="3" borderId="39" xfId="0" applyNumberFormat="1" applyFont="1" applyFill="1" applyBorder="1" applyAlignment="1">
      <alignment horizontal="center" vertical="top"/>
    </xf>
    <xf numFmtId="0" fontId="8" fillId="0" borderId="77" xfId="0" applyFont="1" applyFill="1" applyBorder="1" applyAlignment="1">
      <alignment horizontal="center" vertical="top" wrapText="1"/>
    </xf>
    <xf numFmtId="0" fontId="8" fillId="0" borderId="36" xfId="0" applyNumberFormat="1" applyFont="1" applyBorder="1" applyAlignment="1">
      <alignment horizontal="center" vertical="top"/>
    </xf>
    <xf numFmtId="3" fontId="6" fillId="8" borderId="26" xfId="0" applyNumberFormat="1" applyFont="1" applyFill="1" applyBorder="1" applyAlignment="1">
      <alignment horizontal="center" vertical="top"/>
    </xf>
    <xf numFmtId="49" fontId="6" fillId="0" borderId="38" xfId="0" applyNumberFormat="1" applyFont="1" applyFill="1" applyBorder="1" applyAlignment="1">
      <alignment horizontal="center" vertical="top"/>
    </xf>
    <xf numFmtId="1" fontId="6" fillId="0" borderId="39" xfId="0" applyNumberFormat="1" applyFont="1" applyFill="1" applyBorder="1" applyAlignment="1">
      <alignment horizontal="center" vertical="top"/>
    </xf>
    <xf numFmtId="1" fontId="6" fillId="0" borderId="36" xfId="0" applyNumberFormat="1" applyFont="1" applyFill="1" applyBorder="1" applyAlignment="1">
      <alignment horizontal="center" vertical="top"/>
    </xf>
    <xf numFmtId="164" fontId="6" fillId="0" borderId="28" xfId="0" applyNumberFormat="1" applyFont="1" applyFill="1" applyBorder="1" applyAlignment="1">
      <alignment vertical="top" wrapText="1"/>
    </xf>
    <xf numFmtId="49" fontId="6" fillId="0" borderId="10" xfId="0" applyNumberFormat="1" applyFont="1" applyFill="1" applyBorder="1" applyAlignment="1">
      <alignment vertical="top"/>
    </xf>
    <xf numFmtId="1" fontId="6" fillId="0" borderId="12" xfId="0" applyNumberFormat="1" applyFont="1" applyFill="1" applyBorder="1" applyAlignment="1">
      <alignment vertical="top"/>
    </xf>
    <xf numFmtId="1" fontId="6" fillId="0" borderId="34" xfId="0" applyNumberFormat="1" applyFont="1" applyFill="1" applyBorder="1" applyAlignment="1">
      <alignment vertical="top"/>
    </xf>
    <xf numFmtId="3" fontId="6" fillId="8" borderId="9" xfId="0" applyNumberFormat="1" applyFont="1" applyFill="1" applyBorder="1" applyAlignment="1">
      <alignment horizontal="center" vertical="top" wrapText="1"/>
    </xf>
    <xf numFmtId="3" fontId="6" fillId="7" borderId="9" xfId="0" applyNumberFormat="1" applyFont="1" applyFill="1" applyBorder="1" applyAlignment="1">
      <alignment horizontal="center" vertical="top" wrapText="1"/>
    </xf>
    <xf numFmtId="0" fontId="6" fillId="0" borderId="24" xfId="0" applyNumberFormat="1" applyFont="1" applyFill="1" applyBorder="1" applyAlignment="1">
      <alignment horizontal="center" vertical="top" wrapText="1"/>
    </xf>
    <xf numFmtId="0" fontId="6" fillId="0" borderId="7" xfId="0" applyNumberFormat="1" applyFont="1" applyFill="1" applyBorder="1" applyAlignment="1">
      <alignment horizontal="center" vertical="top" wrapText="1"/>
    </xf>
    <xf numFmtId="0" fontId="6" fillId="0" borderId="22" xfId="0" applyNumberFormat="1" applyFont="1" applyFill="1" applyBorder="1" applyAlignment="1">
      <alignment horizontal="center" vertical="top"/>
    </xf>
    <xf numFmtId="3" fontId="9" fillId="8" borderId="61" xfId="0" applyNumberFormat="1" applyFont="1" applyFill="1" applyBorder="1" applyAlignment="1">
      <alignment horizontal="center" vertical="top"/>
    </xf>
    <xf numFmtId="0" fontId="1" fillId="0" borderId="67" xfId="0" applyNumberFormat="1" applyFont="1" applyFill="1" applyBorder="1" applyAlignment="1">
      <alignment horizontal="center" vertical="top"/>
    </xf>
    <xf numFmtId="0" fontId="1" fillId="0" borderId="19" xfId="0" applyNumberFormat="1" applyFont="1" applyFill="1" applyBorder="1" applyAlignment="1">
      <alignment horizontal="center" vertical="top"/>
    </xf>
    <xf numFmtId="0" fontId="1" fillId="0" borderId="44" xfId="0" applyNumberFormat="1" applyFont="1" applyFill="1" applyBorder="1" applyAlignment="1">
      <alignment horizontal="center" vertical="top"/>
    </xf>
    <xf numFmtId="0" fontId="9" fillId="0" borderId="24" xfId="0" applyFont="1" applyFill="1" applyBorder="1" applyAlignment="1">
      <alignment vertical="center" textRotation="90" wrapText="1"/>
    </xf>
    <xf numFmtId="3" fontId="6" fillId="4" borderId="24" xfId="0" applyNumberFormat="1" applyFont="1" applyFill="1" applyBorder="1" applyAlignment="1">
      <alignment horizontal="center" vertical="top" wrapText="1"/>
    </xf>
    <xf numFmtId="0" fontId="6" fillId="0" borderId="8" xfId="0" applyNumberFormat="1" applyFont="1" applyFill="1" applyBorder="1" applyAlignment="1">
      <alignment horizontal="center" vertical="top" wrapText="1"/>
    </xf>
    <xf numFmtId="0" fontId="6" fillId="0" borderId="22" xfId="0" applyNumberFormat="1" applyFont="1" applyFill="1" applyBorder="1" applyAlignment="1">
      <alignment horizontal="center" vertical="top" wrapText="1"/>
    </xf>
    <xf numFmtId="0" fontId="9" fillId="0" borderId="28" xfId="0" applyFont="1" applyFill="1" applyBorder="1" applyAlignment="1">
      <alignment vertical="center" textRotation="90" wrapText="1"/>
    </xf>
    <xf numFmtId="0" fontId="6" fillId="0" borderId="60" xfId="0" applyNumberFormat="1" applyFont="1" applyFill="1" applyBorder="1" applyAlignment="1">
      <alignment horizontal="center" vertical="top" wrapText="1"/>
    </xf>
    <xf numFmtId="0" fontId="6" fillId="0" borderId="43" xfId="0" applyNumberFormat="1" applyFont="1" applyFill="1" applyBorder="1" applyAlignment="1">
      <alignment horizontal="center" vertical="top" wrapText="1"/>
    </xf>
    <xf numFmtId="0" fontId="6" fillId="0" borderId="37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top" wrapText="1"/>
    </xf>
    <xf numFmtId="0" fontId="6" fillId="0" borderId="12" xfId="0" applyNumberFormat="1" applyFont="1" applyFill="1" applyBorder="1" applyAlignment="1">
      <alignment horizontal="center" vertical="top" wrapText="1"/>
    </xf>
    <xf numFmtId="0" fontId="6" fillId="0" borderId="34" xfId="0" applyNumberFormat="1" applyFont="1" applyFill="1" applyBorder="1" applyAlignment="1">
      <alignment horizontal="center" vertical="top" wrapText="1"/>
    </xf>
    <xf numFmtId="0" fontId="6" fillId="0" borderId="50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3" fontId="1" fillId="4" borderId="65" xfId="0" applyNumberFormat="1" applyFont="1" applyFill="1" applyBorder="1" applyAlignment="1">
      <alignment horizontal="center" vertical="top" wrapText="1"/>
    </xf>
    <xf numFmtId="3" fontId="1" fillId="4" borderId="26" xfId="0" applyNumberFormat="1" applyFont="1" applyFill="1" applyBorder="1" applyAlignment="1">
      <alignment horizontal="center" vertical="top" wrapText="1"/>
    </xf>
    <xf numFmtId="0" fontId="9" fillId="0" borderId="67" xfId="0" applyFont="1" applyFill="1" applyBorder="1" applyAlignment="1">
      <alignment vertical="center" textRotation="90" wrapText="1"/>
    </xf>
    <xf numFmtId="0" fontId="6" fillId="0" borderId="17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31" xfId="0" applyFont="1" applyFill="1" applyBorder="1" applyAlignment="1">
      <alignment vertical="top" wrapText="1"/>
    </xf>
    <xf numFmtId="0" fontId="8" fillId="0" borderId="9" xfId="0" applyFont="1" applyBorder="1" applyAlignment="1">
      <alignment horizontal="left" vertical="top" wrapText="1"/>
    </xf>
    <xf numFmtId="3" fontId="6" fillId="4" borderId="9" xfId="0" applyNumberFormat="1" applyFont="1" applyFill="1" applyBorder="1" applyAlignment="1">
      <alignment horizontal="center" vertical="top"/>
    </xf>
    <xf numFmtId="0" fontId="6" fillId="0" borderId="13" xfId="0" applyFont="1" applyBorder="1" applyAlignment="1">
      <alignment horizontal="center" vertical="top" wrapText="1"/>
    </xf>
    <xf numFmtId="3" fontId="6" fillId="4" borderId="75" xfId="0" applyNumberFormat="1" applyFont="1" applyFill="1" applyBorder="1" applyAlignment="1">
      <alignment horizontal="center" vertical="top"/>
    </xf>
    <xf numFmtId="3" fontId="8" fillId="8" borderId="62" xfId="0" applyNumberFormat="1" applyFont="1" applyFill="1" applyBorder="1" applyAlignment="1">
      <alignment horizontal="center" vertical="top" wrapText="1"/>
    </xf>
    <xf numFmtId="3" fontId="9" fillId="8" borderId="66" xfId="0" applyNumberFormat="1" applyFont="1" applyFill="1" applyBorder="1" applyAlignment="1">
      <alignment horizontal="center" vertical="top"/>
    </xf>
    <xf numFmtId="49" fontId="8" fillId="0" borderId="35" xfId="0" applyNumberFormat="1" applyFont="1" applyFill="1" applyBorder="1" applyAlignment="1">
      <alignment horizontal="center" vertical="top" wrapText="1"/>
    </xf>
    <xf numFmtId="3" fontId="6" fillId="8" borderId="16" xfId="0" applyNumberFormat="1" applyFont="1" applyFill="1" applyBorder="1" applyAlignment="1">
      <alignment horizontal="center" vertical="top" wrapText="1"/>
    </xf>
    <xf numFmtId="3" fontId="6" fillId="7" borderId="16" xfId="0" applyNumberFormat="1" applyFont="1" applyFill="1" applyBorder="1" applyAlignment="1">
      <alignment horizontal="center" vertical="top" wrapText="1"/>
    </xf>
    <xf numFmtId="49" fontId="8" fillId="0" borderId="34" xfId="0" applyNumberFormat="1" applyFont="1" applyFill="1" applyBorder="1" applyAlignment="1">
      <alignment horizontal="center" vertical="top" wrapText="1"/>
    </xf>
    <xf numFmtId="3" fontId="6" fillId="7" borderId="15" xfId="0" applyNumberFormat="1" applyFont="1" applyFill="1" applyBorder="1" applyAlignment="1">
      <alignment horizontal="center" vertical="top" wrapText="1"/>
    </xf>
    <xf numFmtId="0" fontId="6" fillId="0" borderId="28" xfId="0" applyNumberFormat="1" applyFont="1" applyFill="1" applyBorder="1" applyAlignment="1">
      <alignment horizontal="left" vertical="top" wrapText="1"/>
    </xf>
    <xf numFmtId="0" fontId="6" fillId="0" borderId="67" xfId="0" applyNumberFormat="1" applyFont="1" applyFill="1" applyBorder="1" applyAlignment="1">
      <alignment horizontal="center" vertical="top" wrapText="1"/>
    </xf>
    <xf numFmtId="0" fontId="6" fillId="0" borderId="19" xfId="0" applyNumberFormat="1" applyFont="1" applyFill="1" applyBorder="1" applyAlignment="1">
      <alignment horizontal="center" vertical="top" wrapText="1"/>
    </xf>
    <xf numFmtId="0" fontId="6" fillId="0" borderId="44" xfId="0" applyNumberFormat="1" applyFont="1" applyFill="1" applyBorder="1" applyAlignment="1">
      <alignment horizontal="center" vertical="top" wrapText="1"/>
    </xf>
    <xf numFmtId="3" fontId="1" fillId="8" borderId="26" xfId="0" applyNumberFormat="1" applyFont="1" applyFill="1" applyBorder="1" applyAlignment="1">
      <alignment horizontal="center" vertical="top" wrapText="1"/>
    </xf>
    <xf numFmtId="3" fontId="6" fillId="7" borderId="26" xfId="0" applyNumberFormat="1" applyFont="1" applyFill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top" wrapText="1"/>
    </xf>
    <xf numFmtId="0" fontId="6" fillId="0" borderId="28" xfId="0" applyNumberFormat="1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center" vertical="top" wrapText="1"/>
    </xf>
    <xf numFmtId="3" fontId="6" fillId="4" borderId="25" xfId="0" applyNumberFormat="1" applyFont="1" applyFill="1" applyBorder="1" applyAlignment="1">
      <alignment horizontal="center" vertical="top"/>
    </xf>
    <xf numFmtId="0" fontId="8" fillId="0" borderId="31" xfId="0" applyFont="1" applyBorder="1" applyAlignment="1">
      <alignment horizontal="center" vertical="top" wrapText="1"/>
    </xf>
    <xf numFmtId="3" fontId="8" fillId="8" borderId="62" xfId="0" applyNumberFormat="1" applyFont="1" applyFill="1" applyBorder="1" applyAlignment="1">
      <alignment horizontal="center" vertical="top"/>
    </xf>
    <xf numFmtId="0" fontId="6" fillId="0" borderId="67" xfId="0" applyNumberFormat="1" applyFont="1" applyFill="1" applyBorder="1" applyAlignment="1">
      <alignment horizontal="left" vertical="top" wrapText="1"/>
    </xf>
    <xf numFmtId="0" fontId="8" fillId="0" borderId="51" xfId="0" applyFont="1" applyBorder="1" applyAlignment="1">
      <alignment horizontal="center" vertical="top" wrapText="1"/>
    </xf>
    <xf numFmtId="3" fontId="6" fillId="0" borderId="26" xfId="0" applyNumberFormat="1" applyFont="1" applyFill="1" applyBorder="1" applyAlignment="1">
      <alignment horizontal="center" vertical="top"/>
    </xf>
    <xf numFmtId="3" fontId="6" fillId="8" borderId="13" xfId="0" applyNumberFormat="1" applyFont="1" applyFill="1" applyBorder="1" applyAlignment="1">
      <alignment horizontal="center" vertical="top"/>
    </xf>
    <xf numFmtId="3" fontId="6" fillId="0" borderId="13" xfId="0" applyNumberFormat="1" applyFont="1" applyFill="1" applyBorder="1" applyAlignment="1">
      <alignment horizontal="center" vertical="top"/>
    </xf>
    <xf numFmtId="0" fontId="6" fillId="0" borderId="45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52" xfId="0" applyFont="1" applyFill="1" applyBorder="1" applyAlignment="1">
      <alignment horizontal="center" vertical="top" wrapText="1"/>
    </xf>
    <xf numFmtId="0" fontId="6" fillId="0" borderId="43" xfId="0" applyFont="1" applyFill="1" applyBorder="1" applyAlignment="1">
      <alignment horizontal="center" vertical="top" wrapText="1"/>
    </xf>
    <xf numFmtId="3" fontId="9" fillId="8" borderId="25" xfId="0" applyNumberFormat="1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31" xfId="0" applyFont="1" applyFill="1" applyBorder="1" applyAlignment="1">
      <alignment horizontal="center" vertical="top"/>
    </xf>
    <xf numFmtId="3" fontId="6" fillId="4" borderId="32" xfId="0" applyNumberFormat="1" applyFont="1" applyFill="1" applyBorder="1" applyAlignment="1">
      <alignment horizontal="center" vertical="top" wrapText="1"/>
    </xf>
    <xf numFmtId="164" fontId="6" fillId="0" borderId="9" xfId="0" applyNumberFormat="1" applyFont="1" applyFill="1" applyBorder="1" applyAlignment="1">
      <alignment vertical="top" wrapText="1"/>
    </xf>
    <xf numFmtId="2" fontId="6" fillId="0" borderId="5" xfId="0" applyNumberFormat="1" applyFont="1" applyFill="1" applyBorder="1" applyAlignment="1">
      <alignment vertical="top"/>
    </xf>
    <xf numFmtId="2" fontId="6" fillId="0" borderId="7" xfId="0" applyNumberFormat="1" applyFont="1" applyFill="1" applyBorder="1" applyAlignment="1">
      <alignment vertical="top"/>
    </xf>
    <xf numFmtId="2" fontId="6" fillId="0" borderId="35" xfId="0" applyNumberFormat="1" applyFont="1" applyFill="1" applyBorder="1" applyAlignment="1">
      <alignment vertical="top"/>
    </xf>
    <xf numFmtId="3" fontId="6" fillId="8" borderId="56" xfId="0" applyNumberFormat="1" applyFont="1" applyFill="1" applyBorder="1" applyAlignment="1">
      <alignment horizontal="center" vertical="top"/>
    </xf>
    <xf numFmtId="0" fontId="9" fillId="8" borderId="67" xfId="0" applyFont="1" applyFill="1" applyBorder="1" applyAlignment="1">
      <alignment horizontal="center" vertical="top"/>
    </xf>
    <xf numFmtId="3" fontId="9" fillId="8" borderId="67" xfId="0" applyNumberFormat="1" applyFont="1" applyFill="1" applyBorder="1" applyAlignment="1">
      <alignment horizontal="center" vertical="top"/>
    </xf>
    <xf numFmtId="3" fontId="6" fillId="8" borderId="9" xfId="0" applyNumberFormat="1" applyFont="1" applyFill="1" applyBorder="1" applyAlignment="1">
      <alignment horizontal="center" vertical="top"/>
    </xf>
    <xf numFmtId="3" fontId="6" fillId="4" borderId="9" xfId="0" applyNumberFormat="1" applyFont="1" applyFill="1" applyBorder="1" applyAlignment="1">
      <alignment horizontal="center" vertical="top" wrapText="1"/>
    </xf>
    <xf numFmtId="3" fontId="6" fillId="4" borderId="22" xfId="0" applyNumberFormat="1" applyFont="1" applyFill="1" applyBorder="1" applyAlignment="1">
      <alignment horizontal="center" vertical="top" wrapText="1"/>
    </xf>
    <xf numFmtId="0" fontId="6" fillId="0" borderId="16" xfId="0" applyNumberFormat="1" applyFont="1" applyFill="1" applyBorder="1" applyAlignment="1">
      <alignment horizontal="left" vertical="top"/>
    </xf>
    <xf numFmtId="0" fontId="6" fillId="0" borderId="47" xfId="0" applyNumberFormat="1" applyFont="1" applyFill="1" applyBorder="1" applyAlignment="1">
      <alignment horizontal="center" vertical="top"/>
    </xf>
    <xf numFmtId="0" fontId="6" fillId="0" borderId="48" xfId="0" applyNumberFormat="1" applyFont="1" applyFill="1" applyBorder="1" applyAlignment="1">
      <alignment horizontal="center" vertical="top"/>
    </xf>
    <xf numFmtId="3" fontId="6" fillId="4" borderId="21" xfId="0" applyNumberFormat="1" applyFont="1" applyFill="1" applyBorder="1" applyAlignment="1">
      <alignment horizontal="center" vertical="top" wrapText="1"/>
    </xf>
    <xf numFmtId="0" fontId="6" fillId="0" borderId="43" xfId="0" applyNumberFormat="1" applyFont="1" applyFill="1" applyBorder="1" applyAlignment="1">
      <alignment horizontal="center" vertical="top"/>
    </xf>
    <xf numFmtId="0" fontId="6" fillId="0" borderId="55" xfId="0" applyNumberFormat="1" applyFont="1" applyFill="1" applyBorder="1" applyAlignment="1">
      <alignment horizontal="center" vertical="top"/>
    </xf>
    <xf numFmtId="0" fontId="8" fillId="4" borderId="16" xfId="0" applyFont="1" applyFill="1" applyBorder="1" applyAlignment="1">
      <alignment vertical="top" wrapText="1"/>
    </xf>
    <xf numFmtId="0" fontId="8" fillId="0" borderId="33" xfId="0" applyFont="1" applyFill="1" applyBorder="1" applyAlignment="1">
      <alignment horizontal="center" vertical="top" textRotation="180" wrapText="1"/>
    </xf>
    <xf numFmtId="0" fontId="8" fillId="0" borderId="48" xfId="0" applyNumberFormat="1" applyFont="1" applyBorder="1" applyAlignment="1">
      <alignment horizontal="center" vertical="center"/>
    </xf>
    <xf numFmtId="3" fontId="6" fillId="8" borderId="32" xfId="0" applyNumberFormat="1" applyFont="1" applyFill="1" applyBorder="1" applyAlignment="1">
      <alignment horizontal="center" vertical="top" wrapText="1"/>
    </xf>
    <xf numFmtId="3" fontId="6" fillId="4" borderId="76" xfId="0" applyNumberFormat="1" applyFont="1" applyFill="1" applyBorder="1" applyAlignment="1">
      <alignment horizontal="center" vertical="top" wrapText="1"/>
    </xf>
    <xf numFmtId="0" fontId="6" fillId="4" borderId="32" xfId="0" applyNumberFormat="1" applyFont="1" applyFill="1" applyBorder="1" applyAlignment="1">
      <alignment horizontal="left" vertical="top" wrapText="1"/>
    </xf>
    <xf numFmtId="0" fontId="6" fillId="4" borderId="32" xfId="0" applyNumberFormat="1" applyFont="1" applyFill="1" applyBorder="1" applyAlignment="1">
      <alignment horizontal="center" vertical="top" wrapText="1"/>
    </xf>
    <xf numFmtId="0" fontId="6" fillId="4" borderId="47" xfId="0" applyNumberFormat="1" applyFont="1" applyFill="1" applyBorder="1" applyAlignment="1">
      <alignment horizontal="center" vertical="top" wrapText="1"/>
    </xf>
    <xf numFmtId="0" fontId="6" fillId="4" borderId="76" xfId="0" applyNumberFormat="1" applyFont="1" applyFill="1" applyBorder="1" applyAlignment="1">
      <alignment horizontal="center" vertical="top" wrapText="1"/>
    </xf>
    <xf numFmtId="0" fontId="8" fillId="0" borderId="50" xfId="0" applyFont="1" applyFill="1" applyBorder="1" applyAlignment="1">
      <alignment horizontal="center" vertical="top" wrapText="1"/>
    </xf>
    <xf numFmtId="3" fontId="6" fillId="8" borderId="79" xfId="0" applyNumberFormat="1" applyFont="1" applyFill="1" applyBorder="1" applyAlignment="1">
      <alignment horizontal="center" vertical="top" wrapText="1"/>
    </xf>
    <xf numFmtId="3" fontId="6" fillId="4" borderId="78" xfId="0" applyNumberFormat="1" applyFont="1" applyFill="1" applyBorder="1" applyAlignment="1">
      <alignment horizontal="center" vertical="top" wrapText="1"/>
    </xf>
    <xf numFmtId="3" fontId="6" fillId="8" borderId="56" xfId="0" applyNumberFormat="1" applyFont="1" applyFill="1" applyBorder="1" applyAlignment="1">
      <alignment horizontal="center" vertical="top" wrapText="1"/>
    </xf>
    <xf numFmtId="3" fontId="6" fillId="8" borderId="28" xfId="0" applyNumberFormat="1" applyFont="1" applyFill="1" applyBorder="1" applyAlignment="1">
      <alignment horizontal="center" vertical="top" wrapText="1"/>
    </xf>
    <xf numFmtId="3" fontId="6" fillId="4" borderId="13" xfId="0" applyNumberFormat="1" applyFont="1" applyFill="1" applyBorder="1" applyAlignment="1">
      <alignment horizontal="center" vertical="top" wrapText="1"/>
    </xf>
    <xf numFmtId="3" fontId="6" fillId="4" borderId="75" xfId="0" applyNumberFormat="1" applyFont="1" applyFill="1" applyBorder="1" applyAlignment="1">
      <alignment horizontal="center" vertical="top" wrapText="1"/>
    </xf>
    <xf numFmtId="0" fontId="8" fillId="0" borderId="71" xfId="0" applyFont="1" applyFill="1" applyBorder="1" applyAlignment="1">
      <alignment horizontal="center" vertical="top" wrapText="1"/>
    </xf>
    <xf numFmtId="3" fontId="8" fillId="8" borderId="56" xfId="0" applyNumberFormat="1" applyFont="1" applyFill="1" applyBorder="1" applyAlignment="1">
      <alignment horizontal="center" vertical="top" wrapText="1"/>
    </xf>
    <xf numFmtId="3" fontId="9" fillId="8" borderId="26" xfId="0" applyNumberFormat="1" applyFont="1" applyFill="1" applyBorder="1" applyAlignment="1">
      <alignment horizontal="center" vertical="top" wrapText="1"/>
    </xf>
    <xf numFmtId="3" fontId="9" fillId="8" borderId="78" xfId="0" applyNumberFormat="1" applyFont="1" applyFill="1" applyBorder="1" applyAlignment="1">
      <alignment horizontal="center" vertical="top" wrapText="1"/>
    </xf>
    <xf numFmtId="0" fontId="6" fillId="4" borderId="79" xfId="0" applyNumberFormat="1" applyFont="1" applyFill="1" applyBorder="1" applyAlignment="1">
      <alignment horizontal="center" vertical="top" wrapText="1"/>
    </xf>
    <xf numFmtId="0" fontId="6" fillId="4" borderId="39" xfId="0" applyNumberFormat="1" applyFont="1" applyFill="1" applyBorder="1" applyAlignment="1">
      <alignment horizontal="center" vertical="top" wrapText="1"/>
    </xf>
    <xf numFmtId="0" fontId="6" fillId="4" borderId="78" xfId="0" applyNumberFormat="1" applyFont="1" applyFill="1" applyBorder="1" applyAlignment="1">
      <alignment horizontal="center" vertical="top" wrapText="1"/>
    </xf>
    <xf numFmtId="0" fontId="9" fillId="0" borderId="50" xfId="0" applyFont="1" applyFill="1" applyBorder="1" applyAlignment="1">
      <alignment horizontal="center" vertical="top" wrapText="1"/>
    </xf>
    <xf numFmtId="3" fontId="9" fillId="8" borderId="15" xfId="0" applyNumberFormat="1" applyFont="1" applyFill="1" applyBorder="1" applyAlignment="1">
      <alignment horizontal="center" vertical="top" wrapText="1"/>
    </xf>
    <xf numFmtId="3" fontId="9" fillId="8" borderId="21" xfId="0" applyNumberFormat="1" applyFont="1" applyFill="1" applyBorder="1" applyAlignment="1">
      <alignment horizontal="center" vertical="top" wrapText="1"/>
    </xf>
    <xf numFmtId="0" fontId="9" fillId="0" borderId="52" xfId="0" applyFont="1" applyFill="1" applyBorder="1" applyAlignment="1">
      <alignment horizontal="center" vertical="top" wrapText="1"/>
    </xf>
    <xf numFmtId="0" fontId="8" fillId="0" borderId="37" xfId="0" applyNumberFormat="1" applyFont="1" applyBorder="1" applyAlignment="1">
      <alignment horizontal="center" vertical="top"/>
    </xf>
    <xf numFmtId="3" fontId="6" fillId="8" borderId="54" xfId="0" applyNumberFormat="1" applyFont="1" applyFill="1" applyBorder="1" applyAlignment="1">
      <alignment horizontal="center" vertical="top" wrapText="1"/>
    </xf>
    <xf numFmtId="0" fontId="6" fillId="7" borderId="25" xfId="0" applyNumberFormat="1" applyFont="1" applyFill="1" applyBorder="1" applyAlignment="1">
      <alignment vertical="top" wrapText="1"/>
    </xf>
    <xf numFmtId="0" fontId="6" fillId="7" borderId="15" xfId="0" applyNumberFormat="1" applyFont="1" applyFill="1" applyBorder="1" applyAlignment="1">
      <alignment vertical="top" wrapText="1"/>
    </xf>
    <xf numFmtId="3" fontId="9" fillId="8" borderId="13" xfId="0" applyNumberFormat="1" applyFont="1" applyFill="1" applyBorder="1" applyAlignment="1">
      <alignment horizontal="center" vertical="top" wrapText="1"/>
    </xf>
    <xf numFmtId="3" fontId="9" fillId="8" borderId="75" xfId="0" applyNumberFormat="1" applyFont="1" applyFill="1" applyBorder="1" applyAlignment="1">
      <alignment horizontal="center" vertical="top" wrapText="1"/>
    </xf>
    <xf numFmtId="49" fontId="9" fillId="2" borderId="17" xfId="0" applyNumberFormat="1" applyFont="1" applyFill="1" applyBorder="1" applyAlignment="1">
      <alignment vertical="top"/>
    </xf>
    <xf numFmtId="0" fontId="6" fillId="7" borderId="69" xfId="0" applyNumberFormat="1" applyFont="1" applyFill="1" applyBorder="1" applyAlignment="1">
      <alignment vertical="top" wrapText="1"/>
    </xf>
    <xf numFmtId="0" fontId="6" fillId="7" borderId="17" xfId="0" applyNumberFormat="1" applyFont="1" applyFill="1" applyBorder="1" applyAlignment="1">
      <alignment horizontal="center" vertical="top" wrapText="1"/>
    </xf>
    <xf numFmtId="0" fontId="6" fillId="7" borderId="19" xfId="0" applyNumberFormat="1" applyFont="1" applyFill="1" applyBorder="1" applyAlignment="1">
      <alignment vertical="top" wrapText="1"/>
    </xf>
    <xf numFmtId="0" fontId="6" fillId="7" borderId="31" xfId="0" applyNumberFormat="1" applyFont="1" applyFill="1" applyBorder="1" applyAlignment="1">
      <alignment vertical="top" wrapText="1"/>
    </xf>
    <xf numFmtId="0" fontId="8" fillId="0" borderId="35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top" wrapText="1"/>
    </xf>
    <xf numFmtId="3" fontId="6" fillId="8" borderId="8" xfId="0" applyNumberFormat="1" applyFont="1" applyFill="1" applyBorder="1" applyAlignment="1">
      <alignment horizontal="center" vertical="top" wrapText="1"/>
    </xf>
    <xf numFmtId="3" fontId="6" fillId="7" borderId="5" xfId="0" applyNumberFormat="1" applyFont="1" applyFill="1" applyBorder="1" applyAlignment="1">
      <alignment horizontal="center" vertical="top" wrapText="1"/>
    </xf>
    <xf numFmtId="0" fontId="6" fillId="4" borderId="9" xfId="0" applyNumberFormat="1" applyFont="1" applyFill="1" applyBorder="1" applyAlignment="1">
      <alignment vertical="top" wrapText="1"/>
    </xf>
    <xf numFmtId="3" fontId="6" fillId="7" borderId="13" xfId="0" applyNumberFormat="1" applyFont="1" applyFill="1" applyBorder="1" applyAlignment="1">
      <alignment horizontal="center" vertical="top" wrapText="1"/>
    </xf>
    <xf numFmtId="0" fontId="6" fillId="4" borderId="25" xfId="0" applyNumberFormat="1" applyFont="1" applyFill="1" applyBorder="1" applyAlignment="1">
      <alignment vertical="top" wrapText="1"/>
    </xf>
    <xf numFmtId="0" fontId="8" fillId="0" borderId="50" xfId="0" applyFont="1" applyFill="1" applyBorder="1" applyAlignment="1">
      <alignment horizontal="center" vertical="center" wrapText="1"/>
    </xf>
    <xf numFmtId="3" fontId="6" fillId="8" borderId="60" xfId="0" applyNumberFormat="1" applyFont="1" applyFill="1" applyBorder="1" applyAlignment="1">
      <alignment horizontal="center" vertical="top" wrapText="1"/>
    </xf>
    <xf numFmtId="0" fontId="8" fillId="8" borderId="75" xfId="0" applyFont="1" applyFill="1" applyBorder="1" applyAlignment="1">
      <alignment horizontal="center" vertical="top" wrapText="1"/>
    </xf>
    <xf numFmtId="3" fontId="8" fillId="8" borderId="68" xfId="0" applyNumberFormat="1" applyFont="1" applyFill="1" applyBorder="1" applyAlignment="1">
      <alignment horizontal="center" vertical="top" wrapText="1"/>
    </xf>
    <xf numFmtId="0" fontId="6" fillId="4" borderId="26" xfId="0" applyNumberFormat="1" applyFont="1" applyFill="1" applyBorder="1" applyAlignment="1">
      <alignment vertical="top" wrapText="1"/>
    </xf>
    <xf numFmtId="0" fontId="6" fillId="0" borderId="78" xfId="0" applyFont="1" applyBorder="1" applyAlignment="1">
      <alignment vertical="top"/>
    </xf>
    <xf numFmtId="3" fontId="6" fillId="4" borderId="25" xfId="0" applyNumberFormat="1" applyFont="1" applyFill="1" applyBorder="1" applyAlignment="1">
      <alignment horizontal="center" vertical="top" wrapText="1"/>
    </xf>
    <xf numFmtId="3" fontId="6" fillId="4" borderId="37" xfId="0" applyNumberFormat="1" applyFont="1" applyFill="1" applyBorder="1" applyAlignment="1">
      <alignment horizontal="center" vertical="top" wrapText="1"/>
    </xf>
    <xf numFmtId="0" fontId="8" fillId="0" borderId="50" xfId="0" applyFont="1" applyFill="1" applyBorder="1" applyAlignment="1">
      <alignment vertical="center" wrapText="1"/>
    </xf>
    <xf numFmtId="0" fontId="8" fillId="0" borderId="71" xfId="0" applyFont="1" applyFill="1" applyBorder="1" applyAlignment="1">
      <alignment vertical="center" wrapText="1"/>
    </xf>
    <xf numFmtId="0" fontId="8" fillId="0" borderId="36" xfId="0" applyNumberFormat="1" applyFont="1" applyBorder="1" applyAlignment="1">
      <alignment vertical="center"/>
    </xf>
    <xf numFmtId="49" fontId="9" fillId="0" borderId="57" xfId="0" applyNumberFormat="1" applyFont="1" applyBorder="1" applyAlignment="1">
      <alignment vertical="center" textRotation="90"/>
    </xf>
    <xf numFmtId="49" fontId="8" fillId="7" borderId="55" xfId="0" applyNumberFormat="1" applyFont="1" applyFill="1" applyBorder="1" applyAlignment="1">
      <alignment horizontal="center" vertical="top"/>
    </xf>
    <xf numFmtId="0" fontId="6" fillId="0" borderId="75" xfId="0" applyFont="1" applyFill="1" applyBorder="1" applyAlignment="1">
      <alignment horizontal="center" vertical="top"/>
    </xf>
    <xf numFmtId="3" fontId="6" fillId="8" borderId="68" xfId="0" applyNumberFormat="1" applyFont="1" applyFill="1" applyBorder="1" applyAlignment="1">
      <alignment horizontal="center" vertical="top"/>
    </xf>
    <xf numFmtId="0" fontId="6" fillId="4" borderId="21" xfId="0" applyFont="1" applyFill="1" applyBorder="1" applyAlignment="1">
      <alignment horizontal="center" vertical="top" wrapText="1"/>
    </xf>
    <xf numFmtId="3" fontId="6" fillId="8" borderId="0" xfId="0" applyNumberFormat="1" applyFont="1" applyFill="1" applyBorder="1" applyAlignment="1">
      <alignment horizontal="center" vertical="top" wrapText="1"/>
    </xf>
    <xf numFmtId="3" fontId="6" fillId="7" borderId="21" xfId="0" applyNumberFormat="1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/>
    </xf>
    <xf numFmtId="3" fontId="1" fillId="4" borderId="13" xfId="0" applyNumberFormat="1" applyFont="1" applyFill="1" applyBorder="1" applyAlignment="1">
      <alignment horizontal="center" vertical="top" wrapText="1"/>
    </xf>
    <xf numFmtId="3" fontId="1" fillId="4" borderId="75" xfId="0" applyNumberFormat="1" applyFont="1" applyFill="1" applyBorder="1" applyAlignment="1">
      <alignment horizontal="center" vertical="top" wrapText="1"/>
    </xf>
    <xf numFmtId="0" fontId="8" fillId="8" borderId="25" xfId="0" applyFont="1" applyFill="1" applyBorder="1" applyAlignment="1">
      <alignment horizontal="center" vertical="top" wrapText="1"/>
    </xf>
    <xf numFmtId="3" fontId="8" fillId="8" borderId="54" xfId="0" applyNumberFormat="1" applyFont="1" applyFill="1" applyBorder="1" applyAlignment="1">
      <alignment horizontal="center" vertical="top"/>
    </xf>
    <xf numFmtId="49" fontId="8" fillId="4" borderId="31" xfId="0" applyNumberFormat="1" applyFont="1" applyFill="1" applyBorder="1" applyAlignment="1">
      <alignment vertical="top"/>
    </xf>
    <xf numFmtId="3" fontId="8" fillId="8" borderId="40" xfId="0" applyNumberFormat="1" applyFont="1" applyFill="1" applyBorder="1" applyAlignment="1">
      <alignment horizontal="center" vertical="top"/>
    </xf>
    <xf numFmtId="3" fontId="9" fillId="3" borderId="20" xfId="0" applyNumberFormat="1" applyFont="1" applyFill="1" applyBorder="1" applyAlignment="1">
      <alignment horizontal="center" vertical="top"/>
    </xf>
    <xf numFmtId="3" fontId="8" fillId="3" borderId="67" xfId="0" applyNumberFormat="1" applyFont="1" applyFill="1" applyBorder="1" applyAlignment="1">
      <alignment horizontal="center" vertical="top"/>
    </xf>
    <xf numFmtId="0" fontId="8" fillId="0" borderId="9" xfId="0" applyFont="1" applyBorder="1" applyAlignment="1">
      <alignment vertical="top" wrapText="1"/>
    </xf>
    <xf numFmtId="49" fontId="9" fillId="0" borderId="64" xfId="0" applyNumberFormat="1" applyFont="1" applyBorder="1" applyAlignment="1">
      <alignment vertical="center" textRotation="90"/>
    </xf>
    <xf numFmtId="49" fontId="9" fillId="0" borderId="35" xfId="0" applyNumberFormat="1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49" fontId="9" fillId="0" borderId="55" xfId="0" applyNumberFormat="1" applyFont="1" applyBorder="1" applyAlignment="1">
      <alignment horizontal="center" vertical="top" wrapText="1"/>
    </xf>
    <xf numFmtId="3" fontId="6" fillId="4" borderId="56" xfId="0" applyNumberFormat="1" applyFont="1" applyFill="1" applyBorder="1" applyAlignment="1">
      <alignment horizontal="center" vertical="top" wrapText="1"/>
    </xf>
    <xf numFmtId="0" fontId="6" fillId="0" borderId="54" xfId="0" applyNumberFormat="1" applyFont="1" applyBorder="1" applyAlignment="1">
      <alignment horizontal="center" vertical="top" wrapText="1"/>
    </xf>
    <xf numFmtId="0" fontId="6" fillId="0" borderId="43" xfId="0" applyNumberFormat="1" applyFont="1" applyBorder="1" applyAlignment="1">
      <alignment horizontal="center" vertical="top" wrapText="1"/>
    </xf>
    <xf numFmtId="0" fontId="6" fillId="0" borderId="37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vertical="top" wrapText="1"/>
    </xf>
    <xf numFmtId="49" fontId="9" fillId="0" borderId="50" xfId="0" applyNumberFormat="1" applyFont="1" applyBorder="1" applyAlignment="1">
      <alignment vertical="center" textRotation="90"/>
    </xf>
    <xf numFmtId="49" fontId="9" fillId="0" borderId="34" xfId="0" applyNumberFormat="1" applyFont="1" applyBorder="1" applyAlignment="1">
      <alignment vertical="top" wrapText="1"/>
    </xf>
    <xf numFmtId="0" fontId="6" fillId="0" borderId="28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6" fillId="0" borderId="21" xfId="0" applyNumberFormat="1" applyFont="1" applyBorder="1" applyAlignment="1">
      <alignment horizontal="center" vertical="top" wrapText="1"/>
    </xf>
    <xf numFmtId="0" fontId="9" fillId="8" borderId="25" xfId="0" applyFont="1" applyFill="1" applyBorder="1" applyAlignment="1">
      <alignment horizontal="center" vertical="top" wrapText="1"/>
    </xf>
    <xf numFmtId="3" fontId="9" fillId="8" borderId="54" xfId="0" applyNumberFormat="1" applyFont="1" applyFill="1" applyBorder="1" applyAlignment="1">
      <alignment horizontal="center" vertical="top" wrapText="1"/>
    </xf>
    <xf numFmtId="0" fontId="9" fillId="0" borderId="28" xfId="0" applyNumberFormat="1" applyFont="1" applyFill="1" applyBorder="1" applyAlignment="1">
      <alignment horizontal="center" vertical="top"/>
    </xf>
    <xf numFmtId="0" fontId="9" fillId="0" borderId="12" xfId="0" applyNumberFormat="1" applyFont="1" applyFill="1" applyBorder="1" applyAlignment="1">
      <alignment horizontal="center" vertical="top"/>
    </xf>
    <xf numFmtId="0" fontId="1" fillId="0" borderId="21" xfId="0" applyNumberFormat="1" applyFont="1" applyFill="1" applyBorder="1" applyAlignment="1">
      <alignment horizontal="center" vertical="top"/>
    </xf>
    <xf numFmtId="49" fontId="9" fillId="0" borderId="63" xfId="0" applyNumberFormat="1" applyFont="1" applyBorder="1" applyAlignment="1">
      <alignment horizontal="center" vertical="center"/>
    </xf>
    <xf numFmtId="3" fontId="6" fillId="4" borderId="54" xfId="0" applyNumberFormat="1" applyFont="1" applyFill="1" applyBorder="1" applyAlignment="1">
      <alignment horizontal="center" vertical="top" wrapText="1"/>
    </xf>
    <xf numFmtId="1" fontId="6" fillId="0" borderId="79" xfId="0" applyNumberFormat="1" applyFont="1" applyFill="1" applyBorder="1" applyAlignment="1">
      <alignment horizontal="center" vertical="top"/>
    </xf>
    <xf numFmtId="1" fontId="6" fillId="0" borderId="78" xfId="0" applyNumberFormat="1" applyFont="1" applyFill="1" applyBorder="1" applyAlignment="1">
      <alignment horizontal="center" vertical="top"/>
    </xf>
    <xf numFmtId="3" fontId="8" fillId="8" borderId="25" xfId="0" applyNumberFormat="1" applyFont="1" applyFill="1" applyBorder="1" applyAlignment="1">
      <alignment horizontal="center" vertical="top" wrapText="1"/>
    </xf>
    <xf numFmtId="0" fontId="6" fillId="0" borderId="79" xfId="0" applyNumberFormat="1" applyFont="1" applyBorder="1" applyAlignment="1">
      <alignment horizontal="center" vertical="top" wrapText="1"/>
    </xf>
    <xf numFmtId="0" fontId="6" fillId="0" borderId="39" xfId="0" applyNumberFormat="1" applyFont="1" applyBorder="1" applyAlignment="1">
      <alignment horizontal="center" vertical="top" wrapText="1"/>
    </xf>
    <xf numFmtId="0" fontId="6" fillId="0" borderId="78" xfId="0" applyNumberFormat="1" applyFont="1" applyBorder="1" applyAlignment="1">
      <alignment horizontal="center" vertical="top" wrapText="1"/>
    </xf>
    <xf numFmtId="49" fontId="9" fillId="0" borderId="71" xfId="0" applyNumberFormat="1" applyFont="1" applyBorder="1" applyAlignment="1">
      <alignment vertical="center" textRotation="90"/>
    </xf>
    <xf numFmtId="49" fontId="9" fillId="0" borderId="36" xfId="0" applyNumberFormat="1" applyFont="1" applyBorder="1" applyAlignment="1">
      <alignment vertical="top" wrapText="1"/>
    </xf>
    <xf numFmtId="3" fontId="9" fillId="8" borderId="41" xfId="0" applyNumberFormat="1" applyFont="1" applyFill="1" applyBorder="1" applyAlignment="1">
      <alignment horizontal="center" vertical="top" wrapText="1"/>
    </xf>
    <xf numFmtId="0" fontId="9" fillId="7" borderId="67" xfId="0" applyNumberFormat="1" applyFont="1" applyFill="1" applyBorder="1" applyAlignment="1">
      <alignment horizontal="center" vertical="top"/>
    </xf>
    <xf numFmtId="0" fontId="9" fillId="7" borderId="19" xfId="0" applyNumberFormat="1" applyFont="1" applyFill="1" applyBorder="1" applyAlignment="1">
      <alignment horizontal="center" vertical="top"/>
    </xf>
    <xf numFmtId="0" fontId="9" fillId="7" borderId="44" xfId="0" applyNumberFormat="1" applyFont="1" applyFill="1" applyBorder="1" applyAlignment="1">
      <alignment horizontal="center" vertical="top"/>
    </xf>
    <xf numFmtId="1" fontId="6" fillId="0" borderId="10" xfId="0" applyNumberFormat="1" applyFont="1" applyFill="1" applyBorder="1" applyAlignment="1">
      <alignment horizontal="center" vertical="top"/>
    </xf>
    <xf numFmtId="49" fontId="9" fillId="2" borderId="38" xfId="0" applyNumberFormat="1" applyFont="1" applyFill="1" applyBorder="1" applyAlignment="1">
      <alignment vertical="top"/>
    </xf>
    <xf numFmtId="0" fontId="6" fillId="0" borderId="77" xfId="0" applyFont="1" applyFill="1" applyBorder="1" applyAlignment="1">
      <alignment vertical="top" wrapText="1"/>
    </xf>
    <xf numFmtId="1" fontId="6" fillId="0" borderId="38" xfId="0" applyNumberFormat="1" applyFont="1" applyFill="1" applyBorder="1" applyAlignment="1">
      <alignment horizontal="center" vertical="top"/>
    </xf>
    <xf numFmtId="3" fontId="6" fillId="8" borderId="54" xfId="0" applyNumberFormat="1" applyFont="1" applyFill="1" applyBorder="1" applyAlignment="1">
      <alignment horizontal="center" vertical="top"/>
    </xf>
    <xf numFmtId="3" fontId="6" fillId="0" borderId="25" xfId="0" applyNumberFormat="1" applyFont="1" applyFill="1" applyBorder="1" applyAlignment="1">
      <alignment horizontal="center" vertical="top"/>
    </xf>
    <xf numFmtId="1" fontId="6" fillId="0" borderId="10" xfId="0" applyNumberFormat="1" applyFont="1" applyFill="1" applyBorder="1" applyAlignment="1">
      <alignment vertical="top"/>
    </xf>
    <xf numFmtId="49" fontId="9" fillId="2" borderId="79" xfId="0" applyNumberFormat="1" applyFont="1" applyFill="1" applyBorder="1" applyAlignment="1">
      <alignment horizontal="center" vertical="top"/>
    </xf>
    <xf numFmtId="0" fontId="9" fillId="0" borderId="79" xfId="0" applyFont="1" applyBorder="1" applyAlignment="1">
      <alignment horizontal="center" vertical="center" textRotation="90"/>
    </xf>
    <xf numFmtId="0" fontId="9" fillId="8" borderId="13" xfId="0" applyFont="1" applyFill="1" applyBorder="1" applyAlignment="1">
      <alignment horizontal="center" vertical="top"/>
    </xf>
    <xf numFmtId="3" fontId="9" fillId="8" borderId="56" xfId="0" applyNumberFormat="1" applyFont="1" applyFill="1" applyBorder="1" applyAlignment="1">
      <alignment horizontal="center" vertical="top"/>
    </xf>
    <xf numFmtId="3" fontId="9" fillId="8" borderId="13" xfId="0" applyNumberFormat="1" applyFont="1" applyFill="1" applyBorder="1" applyAlignment="1">
      <alignment horizontal="center" vertical="top"/>
    </xf>
    <xf numFmtId="3" fontId="9" fillId="8" borderId="63" xfId="0" applyNumberFormat="1" applyFont="1" applyFill="1" applyBorder="1" applyAlignment="1">
      <alignment horizontal="center" vertical="top"/>
    </xf>
    <xf numFmtId="1" fontId="6" fillId="0" borderId="38" xfId="0" applyNumberFormat="1" applyFont="1" applyFill="1" applyBorder="1" applyAlignment="1">
      <alignment vertical="top"/>
    </xf>
    <xf numFmtId="1" fontId="6" fillId="0" borderId="39" xfId="0" applyNumberFormat="1" applyFont="1" applyFill="1" applyBorder="1" applyAlignment="1">
      <alignment vertical="top"/>
    </xf>
    <xf numFmtId="1" fontId="6" fillId="0" borderId="36" xfId="0" applyNumberFormat="1" applyFont="1" applyFill="1" applyBorder="1" applyAlignment="1">
      <alignment vertical="top"/>
    </xf>
    <xf numFmtId="1" fontId="6" fillId="7" borderId="10" xfId="0" applyNumberFormat="1" applyFont="1" applyFill="1" applyBorder="1" applyAlignment="1">
      <alignment horizontal="center" vertical="top"/>
    </xf>
    <xf numFmtId="1" fontId="6" fillId="7" borderId="12" xfId="0" applyNumberFormat="1" applyFont="1" applyFill="1" applyBorder="1" applyAlignment="1">
      <alignment horizontal="center" vertical="top"/>
    </xf>
    <xf numFmtId="1" fontId="6" fillId="7" borderId="34" xfId="0" applyNumberFormat="1" applyFont="1" applyFill="1" applyBorder="1" applyAlignment="1">
      <alignment horizontal="center" vertical="top"/>
    </xf>
    <xf numFmtId="1" fontId="6" fillId="0" borderId="17" xfId="0" applyNumberFormat="1" applyFont="1" applyFill="1" applyBorder="1" applyAlignment="1">
      <alignment vertical="top"/>
    </xf>
    <xf numFmtId="1" fontId="6" fillId="0" borderId="19" xfId="0" applyNumberFormat="1" applyFont="1" applyFill="1" applyBorder="1" applyAlignment="1">
      <alignment vertical="top"/>
    </xf>
    <xf numFmtId="1" fontId="6" fillId="0" borderId="31" xfId="0" applyNumberFormat="1" applyFont="1" applyFill="1" applyBorder="1" applyAlignment="1">
      <alignment vertical="top"/>
    </xf>
    <xf numFmtId="3" fontId="8" fillId="3" borderId="3" xfId="0" applyNumberFormat="1" applyFont="1" applyFill="1" applyBorder="1" applyAlignment="1">
      <alignment horizontal="center" vertical="top"/>
    </xf>
    <xf numFmtId="3" fontId="9" fillId="2" borderId="69" xfId="0" applyNumberFormat="1" applyFont="1" applyFill="1" applyBorder="1" applyAlignment="1">
      <alignment horizontal="center" vertical="top"/>
    </xf>
    <xf numFmtId="3" fontId="9" fillId="2" borderId="3" xfId="0" applyNumberFormat="1" applyFont="1" applyFill="1" applyBorder="1" applyAlignment="1">
      <alignment horizontal="center" vertical="top"/>
    </xf>
    <xf numFmtId="3" fontId="9" fillId="5" borderId="69" xfId="0" applyNumberFormat="1" applyFont="1" applyFill="1" applyBorder="1" applyAlignment="1">
      <alignment horizontal="center" vertical="center"/>
    </xf>
    <xf numFmtId="3" fontId="9" fillId="5" borderId="17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72" xfId="0" applyNumberFormat="1" applyFont="1" applyBorder="1" applyAlignment="1">
      <alignment horizontal="center" vertical="center" wrapText="1"/>
    </xf>
    <xf numFmtId="3" fontId="9" fillId="5" borderId="23" xfId="0" applyNumberFormat="1" applyFont="1" applyFill="1" applyBorder="1" applyAlignment="1">
      <alignment horizontal="center" vertical="top" wrapText="1"/>
    </xf>
    <xf numFmtId="3" fontId="8" fillId="5" borderId="72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center" vertical="top" wrapText="1"/>
    </xf>
    <xf numFmtId="3" fontId="6" fillId="0" borderId="68" xfId="0" applyNumberFormat="1" applyFont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 wrapText="1"/>
    </xf>
    <xf numFmtId="3" fontId="1" fillId="0" borderId="15" xfId="0" applyNumberFormat="1" applyFont="1" applyFill="1" applyBorder="1" applyAlignment="1">
      <alignment horizontal="center" vertical="top" wrapText="1"/>
    </xf>
    <xf numFmtId="3" fontId="6" fillId="0" borderId="41" xfId="0" applyNumberFormat="1" applyFont="1" applyFill="1" applyBorder="1" applyAlignment="1">
      <alignment horizontal="center" vertical="top" wrapText="1"/>
    </xf>
    <xf numFmtId="3" fontId="6" fillId="4" borderId="0" xfId="0" applyNumberFormat="1" applyFont="1" applyFill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horizontal="center" vertical="top"/>
    </xf>
    <xf numFmtId="3" fontId="9" fillId="8" borderId="23" xfId="0" applyNumberFormat="1" applyFont="1" applyFill="1" applyBorder="1" applyAlignment="1">
      <alignment horizontal="center" vertical="top" wrapText="1"/>
    </xf>
    <xf numFmtId="3" fontId="8" fillId="8" borderId="72" xfId="0" applyNumberFormat="1" applyFont="1" applyFill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left"/>
    </xf>
    <xf numFmtId="1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6" fillId="7" borderId="12" xfId="0" applyNumberFormat="1" applyFont="1" applyFill="1" applyBorder="1" applyAlignment="1">
      <alignment horizontal="center" vertical="top" wrapText="1"/>
    </xf>
    <xf numFmtId="0" fontId="6" fillId="7" borderId="1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49" fontId="8" fillId="0" borderId="36" xfId="0" applyNumberFormat="1" applyFont="1" applyBorder="1" applyAlignment="1">
      <alignment horizontal="center" vertical="top"/>
    </xf>
    <xf numFmtId="3" fontId="8" fillId="8" borderId="13" xfId="0" applyNumberFormat="1" applyFont="1" applyFill="1" applyBorder="1" applyAlignment="1">
      <alignment horizontal="center" vertical="top" wrapText="1"/>
    </xf>
    <xf numFmtId="49" fontId="9" fillId="2" borderId="52" xfId="0" applyNumberFormat="1" applyFont="1" applyFill="1" applyBorder="1" applyAlignment="1">
      <alignment horizontal="center" vertical="top"/>
    </xf>
    <xf numFmtId="49" fontId="9" fillId="3" borderId="43" xfId="0" applyNumberFormat="1" applyFont="1" applyFill="1" applyBorder="1" applyAlignment="1">
      <alignment horizontal="center" vertical="top"/>
    </xf>
    <xf numFmtId="49" fontId="8" fillId="0" borderId="53" xfId="0" applyNumberFormat="1" applyFont="1" applyBorder="1" applyAlignment="1">
      <alignment horizontal="center" vertical="top"/>
    </xf>
    <xf numFmtId="0" fontId="8" fillId="0" borderId="60" xfId="0" applyFont="1" applyFill="1" applyBorder="1" applyAlignment="1">
      <alignment horizontal="center" vertical="top" wrapText="1"/>
    </xf>
    <xf numFmtId="0" fontId="8" fillId="0" borderId="55" xfId="0" applyNumberFormat="1" applyFont="1" applyBorder="1" applyAlignment="1">
      <alignment horizontal="center" vertical="top"/>
    </xf>
    <xf numFmtId="49" fontId="8" fillId="0" borderId="18" xfId="0" applyNumberFormat="1" applyFont="1" applyBorder="1" applyAlignment="1">
      <alignment horizontal="center" vertical="top"/>
    </xf>
    <xf numFmtId="0" fontId="8" fillId="0" borderId="20" xfId="0" applyFont="1" applyFill="1" applyBorder="1" applyAlignment="1">
      <alignment horizontal="center" vertical="top" wrapText="1"/>
    </xf>
    <xf numFmtId="0" fontId="8" fillId="8" borderId="40" xfId="0" applyFont="1" applyFill="1" applyBorder="1" applyAlignment="1">
      <alignment horizontal="center" vertical="top"/>
    </xf>
    <xf numFmtId="49" fontId="6" fillId="7" borderId="17" xfId="0" applyNumberFormat="1" applyFont="1" applyFill="1" applyBorder="1" applyAlignment="1">
      <alignment vertical="top"/>
    </xf>
    <xf numFmtId="1" fontId="6" fillId="7" borderId="19" xfId="0" applyNumberFormat="1" applyFont="1" applyFill="1" applyBorder="1" applyAlignment="1">
      <alignment vertical="top"/>
    </xf>
    <xf numFmtId="1" fontId="6" fillId="7" borderId="31" xfId="0" applyNumberFormat="1" applyFont="1" applyFill="1" applyBorder="1" applyAlignment="1">
      <alignment vertical="top"/>
    </xf>
    <xf numFmtId="0" fontId="8" fillId="8" borderId="40" xfId="0" applyFont="1" applyFill="1" applyBorder="1" applyAlignment="1">
      <alignment horizontal="center" vertical="top" wrapText="1"/>
    </xf>
    <xf numFmtId="3" fontId="9" fillId="3" borderId="27" xfId="0" applyNumberFormat="1" applyFont="1" applyFill="1" applyBorder="1" applyAlignment="1">
      <alignment horizontal="center" vertical="top"/>
    </xf>
    <xf numFmtId="3" fontId="9" fillId="2" borderId="67" xfId="0" applyNumberFormat="1" applyFont="1" applyFill="1" applyBorder="1" applyAlignment="1">
      <alignment horizontal="center" vertical="top"/>
    </xf>
    <xf numFmtId="3" fontId="9" fillId="5" borderId="67" xfId="0" applyNumberFormat="1" applyFont="1" applyFill="1" applyBorder="1" applyAlignment="1">
      <alignment horizontal="center" vertical="center"/>
    </xf>
    <xf numFmtId="3" fontId="6" fillId="7" borderId="0" xfId="0" applyNumberFormat="1" applyFont="1" applyFill="1" applyBorder="1" applyAlignment="1">
      <alignment horizontal="center" vertical="top"/>
    </xf>
    <xf numFmtId="3" fontId="6" fillId="7" borderId="77" xfId="0" applyNumberFormat="1" applyFont="1" applyFill="1" applyBorder="1" applyAlignment="1">
      <alignment horizontal="center" vertical="top" wrapText="1"/>
    </xf>
    <xf numFmtId="3" fontId="8" fillId="3" borderId="74" xfId="0" applyNumberFormat="1" applyFont="1" applyFill="1" applyBorder="1" applyAlignment="1">
      <alignment horizontal="center" vertical="top"/>
    </xf>
    <xf numFmtId="3" fontId="6" fillId="7" borderId="12" xfId="0" applyNumberFormat="1" applyFont="1" applyFill="1" applyBorder="1" applyAlignment="1">
      <alignment horizontal="center" vertical="top"/>
    </xf>
    <xf numFmtId="3" fontId="9" fillId="8" borderId="2" xfId="0" applyNumberFormat="1" applyFont="1" applyFill="1" applyBorder="1" applyAlignment="1">
      <alignment horizontal="center" vertical="top"/>
    </xf>
    <xf numFmtId="3" fontId="6" fillId="7" borderId="39" xfId="0" applyNumberFormat="1" applyFont="1" applyFill="1" applyBorder="1" applyAlignment="1">
      <alignment horizontal="center" vertical="top"/>
    </xf>
    <xf numFmtId="3" fontId="6" fillId="7" borderId="7" xfId="0" applyNumberFormat="1" applyFont="1" applyFill="1" applyBorder="1" applyAlignment="1">
      <alignment horizontal="center" vertical="top"/>
    </xf>
    <xf numFmtId="3" fontId="6" fillId="7" borderId="7" xfId="0" applyNumberFormat="1" applyFont="1" applyFill="1" applyBorder="1" applyAlignment="1">
      <alignment horizontal="center" vertical="top" wrapText="1"/>
    </xf>
    <xf numFmtId="3" fontId="1" fillId="7" borderId="12" xfId="0" applyNumberFormat="1" applyFont="1" applyFill="1" applyBorder="1" applyAlignment="1">
      <alignment horizontal="center" vertical="top"/>
    </xf>
    <xf numFmtId="3" fontId="8" fillId="8" borderId="43" xfId="0" applyNumberFormat="1" applyFont="1" applyFill="1" applyBorder="1" applyAlignment="1">
      <alignment horizontal="center" vertical="top" wrapText="1"/>
    </xf>
    <xf numFmtId="3" fontId="8" fillId="3" borderId="4" xfId="0" applyNumberFormat="1" applyFont="1" applyFill="1" applyBorder="1" applyAlignment="1">
      <alignment horizontal="center" vertical="top"/>
    </xf>
    <xf numFmtId="3" fontId="6" fillId="7" borderId="22" xfId="0" applyNumberFormat="1" applyFont="1" applyFill="1" applyBorder="1" applyAlignment="1">
      <alignment horizontal="center" vertical="top" wrapText="1"/>
    </xf>
    <xf numFmtId="3" fontId="6" fillId="7" borderId="75" xfId="0" applyNumberFormat="1" applyFont="1" applyFill="1" applyBorder="1" applyAlignment="1">
      <alignment horizontal="center" vertical="top" wrapText="1"/>
    </xf>
    <xf numFmtId="3" fontId="8" fillId="8" borderId="66" xfId="0" applyNumberFormat="1" applyFont="1" applyFill="1" applyBorder="1" applyAlignment="1">
      <alignment horizontal="center" vertical="top" wrapText="1"/>
    </xf>
    <xf numFmtId="3" fontId="6" fillId="7" borderId="76" xfId="0" applyNumberFormat="1" applyFont="1" applyFill="1" applyBorder="1" applyAlignment="1">
      <alignment horizontal="center" vertical="top" wrapText="1"/>
    </xf>
    <xf numFmtId="3" fontId="1" fillId="7" borderId="78" xfId="0" applyNumberFormat="1" applyFont="1" applyFill="1" applyBorder="1" applyAlignment="1">
      <alignment horizontal="center" vertical="top" wrapText="1"/>
    </xf>
    <xf numFmtId="3" fontId="6" fillId="7" borderId="21" xfId="0" applyNumberFormat="1" applyFont="1" applyFill="1" applyBorder="1" applyAlignment="1">
      <alignment horizontal="center" vertical="top"/>
    </xf>
    <xf numFmtId="3" fontId="6" fillId="7" borderId="37" xfId="0" applyNumberFormat="1" applyFont="1" applyFill="1" applyBorder="1" applyAlignment="1">
      <alignment horizontal="center" vertical="top"/>
    </xf>
    <xf numFmtId="3" fontId="8" fillId="8" borderId="66" xfId="0" applyNumberFormat="1" applyFont="1" applyFill="1" applyBorder="1" applyAlignment="1">
      <alignment horizontal="center" vertical="top"/>
    </xf>
    <xf numFmtId="3" fontId="6" fillId="7" borderId="78" xfId="0" applyNumberFormat="1" applyFont="1" applyFill="1" applyBorder="1" applyAlignment="1">
      <alignment horizontal="center" vertical="top"/>
    </xf>
    <xf numFmtId="3" fontId="6" fillId="7" borderId="22" xfId="0" applyNumberFormat="1" applyFont="1" applyFill="1" applyBorder="1" applyAlignment="1">
      <alignment horizontal="center" vertical="top"/>
    </xf>
    <xf numFmtId="3" fontId="6" fillId="7" borderId="43" xfId="0" applyNumberFormat="1" applyFont="1" applyFill="1" applyBorder="1" applyAlignment="1">
      <alignment horizontal="center" vertical="top"/>
    </xf>
    <xf numFmtId="3" fontId="6" fillId="7" borderId="1" xfId="0" applyNumberFormat="1" applyFont="1" applyFill="1" applyBorder="1" applyAlignment="1">
      <alignment horizontal="center" vertical="top" wrapText="1"/>
    </xf>
    <xf numFmtId="3" fontId="6" fillId="7" borderId="12" xfId="0" applyNumberFormat="1" applyFont="1" applyFill="1" applyBorder="1" applyAlignment="1">
      <alignment horizontal="center" vertical="top" wrapText="1"/>
    </xf>
    <xf numFmtId="3" fontId="6" fillId="7" borderId="47" xfId="0" applyNumberFormat="1" applyFont="1" applyFill="1" applyBorder="1" applyAlignment="1">
      <alignment horizontal="center" vertical="top" wrapText="1"/>
    </xf>
    <xf numFmtId="3" fontId="6" fillId="7" borderId="1" xfId="0" applyNumberFormat="1" applyFont="1" applyFill="1" applyBorder="1" applyAlignment="1">
      <alignment horizontal="center" vertical="top"/>
    </xf>
    <xf numFmtId="3" fontId="9" fillId="8" borderId="19" xfId="0" applyNumberFormat="1" applyFont="1" applyFill="1" applyBorder="1" applyAlignment="1">
      <alignment horizontal="center" vertical="top"/>
    </xf>
    <xf numFmtId="3" fontId="9" fillId="3" borderId="4" xfId="0" applyNumberFormat="1" applyFont="1" applyFill="1" applyBorder="1" applyAlignment="1">
      <alignment horizontal="center" vertical="top"/>
    </xf>
    <xf numFmtId="3" fontId="6" fillId="7" borderId="39" xfId="0" applyNumberFormat="1" applyFont="1" applyFill="1" applyBorder="1" applyAlignment="1">
      <alignment horizontal="center" vertical="top" wrapText="1"/>
    </xf>
    <xf numFmtId="3" fontId="6" fillId="7" borderId="43" xfId="0" applyNumberFormat="1" applyFont="1" applyFill="1" applyBorder="1" applyAlignment="1">
      <alignment horizontal="center" vertical="top" wrapText="1"/>
    </xf>
    <xf numFmtId="3" fontId="9" fillId="3" borderId="19" xfId="0" applyNumberFormat="1" applyFont="1" applyFill="1" applyBorder="1" applyAlignment="1">
      <alignment horizontal="center" vertical="top"/>
    </xf>
    <xf numFmtId="3" fontId="9" fillId="8" borderId="43" xfId="0" applyNumberFormat="1" applyFont="1" applyFill="1" applyBorder="1" applyAlignment="1">
      <alignment horizontal="center" vertical="top" wrapText="1"/>
    </xf>
    <xf numFmtId="3" fontId="9" fillId="8" borderId="2" xfId="0" applyNumberFormat="1" applyFont="1" applyFill="1" applyBorder="1" applyAlignment="1">
      <alignment horizontal="center" vertical="top" wrapText="1"/>
    </xf>
    <xf numFmtId="3" fontId="9" fillId="8" borderId="1" xfId="0" applyNumberFormat="1" applyFont="1" applyFill="1" applyBorder="1" applyAlignment="1">
      <alignment horizontal="center" vertical="top"/>
    </xf>
    <xf numFmtId="3" fontId="9" fillId="2" borderId="19" xfId="0" applyNumberFormat="1" applyFont="1" applyFill="1" applyBorder="1" applyAlignment="1">
      <alignment horizontal="center" vertical="top"/>
    </xf>
    <xf numFmtId="3" fontId="9" fillId="5" borderId="19" xfId="0" applyNumberFormat="1" applyFont="1" applyFill="1" applyBorder="1" applyAlignment="1">
      <alignment horizontal="center" vertical="center"/>
    </xf>
    <xf numFmtId="3" fontId="6" fillId="7" borderId="51" xfId="0" applyNumberFormat="1" applyFont="1" applyFill="1" applyBorder="1" applyAlignment="1">
      <alignment horizontal="center" vertical="top" wrapText="1"/>
    </xf>
    <xf numFmtId="3" fontId="6" fillId="7" borderId="51" xfId="0" applyNumberFormat="1" applyFont="1" applyFill="1" applyBorder="1" applyAlignment="1">
      <alignment horizontal="center" vertical="top"/>
    </xf>
    <xf numFmtId="3" fontId="6" fillId="7" borderId="76" xfId="0" applyNumberFormat="1" applyFont="1" applyFill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 wrapText="1"/>
    </xf>
    <xf numFmtId="3" fontId="6" fillId="0" borderId="12" xfId="0" applyNumberFormat="1" applyFont="1" applyFill="1" applyBorder="1" applyAlignment="1">
      <alignment horizontal="center" vertical="top" wrapText="1"/>
    </xf>
    <xf numFmtId="3" fontId="9" fillId="3" borderId="30" xfId="0" applyNumberFormat="1" applyFont="1" applyFill="1" applyBorder="1" applyAlignment="1">
      <alignment horizontal="center" vertical="top"/>
    </xf>
    <xf numFmtId="3" fontId="6" fillId="7" borderId="78" xfId="0" applyNumberFormat="1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3" fontId="9" fillId="8" borderId="12" xfId="0" applyNumberFormat="1" applyFont="1" applyFill="1" applyBorder="1" applyAlignment="1">
      <alignment horizontal="center" vertical="top" wrapText="1"/>
    </xf>
    <xf numFmtId="3" fontId="9" fillId="8" borderId="1" xfId="0" applyNumberFormat="1" applyFont="1" applyFill="1" applyBorder="1" applyAlignment="1">
      <alignment horizontal="center" vertical="top" wrapText="1"/>
    </xf>
    <xf numFmtId="3" fontId="9" fillId="8" borderId="44" xfId="0" applyNumberFormat="1" applyFont="1" applyFill="1" applyBorder="1" applyAlignment="1">
      <alignment horizontal="center" vertical="top"/>
    </xf>
    <xf numFmtId="3" fontId="9" fillId="3" borderId="74" xfId="0" applyNumberFormat="1" applyFont="1" applyFill="1" applyBorder="1" applyAlignment="1">
      <alignment horizontal="center" vertical="top"/>
    </xf>
    <xf numFmtId="3" fontId="9" fillId="8" borderId="37" xfId="0" applyNumberFormat="1" applyFont="1" applyFill="1" applyBorder="1" applyAlignment="1">
      <alignment horizontal="center" vertical="top" wrapText="1"/>
    </xf>
    <xf numFmtId="3" fontId="8" fillId="8" borderId="21" xfId="0" applyNumberFormat="1" applyFont="1" applyFill="1" applyBorder="1" applyAlignment="1">
      <alignment horizontal="center" vertical="top" wrapText="1"/>
    </xf>
    <xf numFmtId="3" fontId="6" fillId="0" borderId="43" xfId="0" applyNumberFormat="1" applyFont="1" applyBorder="1" applyAlignment="1">
      <alignment horizontal="center" vertical="top" wrapText="1"/>
    </xf>
    <xf numFmtId="3" fontId="6" fillId="0" borderId="68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3" fontId="9" fillId="5" borderId="12" xfId="0" applyNumberFormat="1" applyFont="1" applyFill="1" applyBorder="1" applyAlignment="1">
      <alignment horizontal="center" vertical="top" wrapText="1"/>
    </xf>
    <xf numFmtId="3" fontId="9" fillId="8" borderId="19" xfId="0" applyNumberFormat="1" applyFont="1" applyFill="1" applyBorder="1" applyAlignment="1">
      <alignment horizontal="center" vertical="top" wrapText="1"/>
    </xf>
    <xf numFmtId="3" fontId="9" fillId="5" borderId="43" xfId="0" applyNumberFormat="1" applyFont="1" applyFill="1" applyBorder="1" applyAlignment="1">
      <alignment horizontal="center" vertical="top" wrapText="1"/>
    </xf>
    <xf numFmtId="3" fontId="6" fillId="0" borderId="39" xfId="0" applyNumberFormat="1" applyFont="1" applyBorder="1" applyAlignment="1">
      <alignment horizontal="center" vertical="top" wrapText="1"/>
    </xf>
    <xf numFmtId="3" fontId="7" fillId="0" borderId="7" xfId="0" applyNumberFormat="1" applyFont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vertical="top" wrapText="1"/>
    </xf>
    <xf numFmtId="49" fontId="9" fillId="2" borderId="10" xfId="0" applyNumberFormat="1" applyFont="1" applyFill="1" applyBorder="1" applyAlignment="1">
      <alignment vertical="top" wrapText="1"/>
    </xf>
    <xf numFmtId="49" fontId="9" fillId="3" borderId="7" xfId="0" applyNumberFormat="1" applyFont="1" applyFill="1" applyBorder="1" applyAlignment="1">
      <alignment vertical="top" wrapText="1"/>
    </xf>
    <xf numFmtId="49" fontId="9" fillId="3" borderId="12" xfId="0" applyNumberFormat="1" applyFont="1" applyFill="1" applyBorder="1" applyAlignment="1">
      <alignment vertical="top" wrapText="1"/>
    </xf>
    <xf numFmtId="49" fontId="9" fillId="0" borderId="31" xfId="0" applyNumberFormat="1" applyFont="1" applyBorder="1" applyAlignment="1">
      <alignment vertical="top" wrapText="1"/>
    </xf>
    <xf numFmtId="49" fontId="8" fillId="0" borderId="35" xfId="0" applyNumberFormat="1" applyFont="1" applyBorder="1" applyAlignment="1">
      <alignment vertical="top" wrapText="1"/>
    </xf>
    <xf numFmtId="49" fontId="8" fillId="0" borderId="34" xfId="0" applyNumberFormat="1" applyFont="1" applyBorder="1" applyAlignment="1">
      <alignment vertical="top" wrapText="1"/>
    </xf>
    <xf numFmtId="49" fontId="8" fillId="0" borderId="31" xfId="0" applyNumberFormat="1" applyFont="1" applyBorder="1" applyAlignment="1">
      <alignment vertical="top" wrapText="1"/>
    </xf>
    <xf numFmtId="0" fontId="6" fillId="0" borderId="78" xfId="0" applyFont="1" applyFill="1" applyBorder="1" applyAlignment="1">
      <alignment horizontal="center" vertical="top"/>
    </xf>
    <xf numFmtId="0" fontId="9" fillId="0" borderId="24" xfId="0" applyFont="1" applyBorder="1" applyAlignment="1">
      <alignment vertical="center" textRotation="90"/>
    </xf>
    <xf numFmtId="49" fontId="8" fillId="4" borderId="35" xfId="0" applyNumberFormat="1" applyFont="1" applyFill="1" applyBorder="1" applyAlignment="1">
      <alignment vertical="top"/>
    </xf>
    <xf numFmtId="0" fontId="9" fillId="0" borderId="57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vertical="center" textRotation="90"/>
    </xf>
    <xf numFmtId="3" fontId="6" fillId="7" borderId="37" xfId="0" applyNumberFormat="1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center" vertical="top"/>
    </xf>
    <xf numFmtId="49" fontId="9" fillId="2" borderId="45" xfId="0" applyNumberFormat="1" applyFont="1" applyFill="1" applyBorder="1" applyAlignment="1">
      <alignment horizontal="center" vertical="top" wrapText="1"/>
    </xf>
    <xf numFmtId="3" fontId="13" fillId="7" borderId="21" xfId="0" applyNumberFormat="1" applyFont="1" applyFill="1" applyBorder="1" applyAlignment="1">
      <alignment horizontal="center" vertical="top" wrapText="1"/>
    </xf>
    <xf numFmtId="3" fontId="6" fillId="0" borderId="56" xfId="0" applyNumberFormat="1" applyFont="1" applyFill="1" applyBorder="1" applyAlignment="1">
      <alignment horizontal="center" vertical="top" wrapText="1"/>
    </xf>
    <xf numFmtId="3" fontId="6" fillId="0" borderId="13" xfId="0" applyNumberFormat="1" applyFont="1" applyFill="1" applyBorder="1" applyAlignment="1">
      <alignment horizontal="center" vertical="top" wrapText="1"/>
    </xf>
    <xf numFmtId="3" fontId="7" fillId="0" borderId="2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3" fontId="2" fillId="0" borderId="0" xfId="0" applyNumberFormat="1" applyFont="1" applyBorder="1"/>
    <xf numFmtId="3" fontId="1" fillId="0" borderId="13" xfId="0" applyNumberFormat="1" applyFont="1" applyFill="1" applyBorder="1" applyAlignment="1">
      <alignment horizontal="center" vertical="top" wrapText="1"/>
    </xf>
    <xf numFmtId="3" fontId="13" fillId="7" borderId="1" xfId="0" applyNumberFormat="1" applyFont="1" applyFill="1" applyBorder="1" applyAlignment="1">
      <alignment horizontal="center" vertical="top" wrapText="1"/>
    </xf>
    <xf numFmtId="0" fontId="6" fillId="0" borderId="54" xfId="0" applyFont="1" applyBorder="1" applyAlignment="1">
      <alignment horizontal="center" vertical="top"/>
    </xf>
    <xf numFmtId="3" fontId="6" fillId="0" borderId="25" xfId="0" applyNumberFormat="1" applyFont="1" applyBorder="1" applyAlignment="1">
      <alignment vertical="top"/>
    </xf>
    <xf numFmtId="3" fontId="6" fillId="7" borderId="0" xfId="0" applyNumberFormat="1" applyFont="1" applyFill="1" applyAlignment="1">
      <alignment vertical="top"/>
    </xf>
    <xf numFmtId="0" fontId="6" fillId="7" borderId="0" xfId="0" applyFont="1" applyFill="1" applyAlignment="1">
      <alignment vertical="top"/>
    </xf>
    <xf numFmtId="3" fontId="10" fillId="7" borderId="47" xfId="0" applyNumberFormat="1" applyFont="1" applyFill="1" applyBorder="1" applyAlignment="1">
      <alignment horizontal="center" vertical="top"/>
    </xf>
    <xf numFmtId="3" fontId="6" fillId="7" borderId="26" xfId="0" applyNumberFormat="1" applyFont="1" applyFill="1" applyBorder="1" applyAlignment="1">
      <alignment horizontal="center" vertical="top"/>
    </xf>
    <xf numFmtId="3" fontId="6" fillId="7" borderId="25" xfId="0" applyNumberFormat="1" applyFont="1" applyFill="1" applyBorder="1" applyAlignment="1">
      <alignment horizontal="center" vertical="top"/>
    </xf>
    <xf numFmtId="3" fontId="6" fillId="8" borderId="26" xfId="0" applyNumberFormat="1" applyFont="1" applyFill="1" applyBorder="1" applyAlignment="1">
      <alignment horizontal="center" vertical="top" wrapText="1"/>
    </xf>
    <xf numFmtId="3" fontId="1" fillId="7" borderId="21" xfId="0" applyNumberFormat="1" applyFont="1" applyFill="1" applyBorder="1" applyAlignment="1">
      <alignment horizontal="center" vertical="top"/>
    </xf>
    <xf numFmtId="3" fontId="8" fillId="8" borderId="37" xfId="0" applyNumberFormat="1" applyFont="1" applyFill="1" applyBorder="1" applyAlignment="1">
      <alignment horizontal="center" vertical="top" wrapText="1"/>
    </xf>
    <xf numFmtId="3" fontId="8" fillId="8" borderId="75" xfId="0" applyNumberFormat="1" applyFont="1" applyFill="1" applyBorder="1" applyAlignment="1">
      <alignment horizontal="center" vertical="top" wrapText="1"/>
    </xf>
    <xf numFmtId="3" fontId="9" fillId="3" borderId="44" xfId="0" applyNumberFormat="1" applyFont="1" applyFill="1" applyBorder="1" applyAlignment="1">
      <alignment horizontal="center" vertical="top"/>
    </xf>
    <xf numFmtId="3" fontId="9" fillId="8" borderId="66" xfId="0" applyNumberFormat="1" applyFont="1" applyFill="1" applyBorder="1" applyAlignment="1">
      <alignment horizontal="center" vertical="top" wrapText="1"/>
    </xf>
    <xf numFmtId="3" fontId="9" fillId="8" borderId="75" xfId="0" applyNumberFormat="1" applyFont="1" applyFill="1" applyBorder="1" applyAlignment="1">
      <alignment horizontal="center" vertical="top"/>
    </xf>
    <xf numFmtId="3" fontId="9" fillId="2" borderId="31" xfId="0" applyNumberFormat="1" applyFont="1" applyFill="1" applyBorder="1" applyAlignment="1">
      <alignment horizontal="center" vertical="top"/>
    </xf>
    <xf numFmtId="3" fontId="9" fillId="5" borderId="31" xfId="0" applyNumberFormat="1" applyFont="1" applyFill="1" applyBorder="1" applyAlignment="1">
      <alignment horizontal="center" vertical="center"/>
    </xf>
    <xf numFmtId="49" fontId="8" fillId="0" borderId="65" xfId="0" applyNumberFormat="1" applyFont="1" applyBorder="1" applyAlignment="1">
      <alignment horizontal="center" vertical="top"/>
    </xf>
    <xf numFmtId="0" fontId="8" fillId="0" borderId="77" xfId="0" applyFont="1" applyFill="1" applyBorder="1" applyAlignment="1">
      <alignment horizontal="center" vertical="top" textRotation="180" wrapText="1"/>
    </xf>
    <xf numFmtId="0" fontId="9" fillId="0" borderId="28" xfId="0" applyFont="1" applyFill="1" applyBorder="1" applyAlignment="1">
      <alignment horizontal="center" vertical="top" textRotation="180" wrapText="1"/>
    </xf>
    <xf numFmtId="49" fontId="9" fillId="2" borderId="46" xfId="0" applyNumberFormat="1" applyFont="1" applyFill="1" applyBorder="1" applyAlignment="1">
      <alignment vertical="top"/>
    </xf>
    <xf numFmtId="0" fontId="2" fillId="0" borderId="28" xfId="0" applyFont="1" applyBorder="1" applyAlignment="1">
      <alignment horizontal="center"/>
    </xf>
    <xf numFmtId="3" fontId="9" fillId="5" borderId="37" xfId="0" applyNumberFormat="1" applyFont="1" applyFill="1" applyBorder="1" applyAlignment="1">
      <alignment horizontal="center" vertical="top" wrapText="1"/>
    </xf>
    <xf numFmtId="3" fontId="13" fillId="0" borderId="37" xfId="0" applyNumberFormat="1" applyFont="1" applyBorder="1" applyAlignment="1">
      <alignment horizontal="center" vertical="top" wrapText="1"/>
    </xf>
    <xf numFmtId="3" fontId="6" fillId="0" borderId="78" xfId="0" applyNumberFormat="1" applyFont="1" applyBorder="1" applyAlignment="1">
      <alignment horizontal="center" vertical="top" wrapText="1"/>
    </xf>
    <xf numFmtId="49" fontId="9" fillId="2" borderId="38" xfId="0" applyNumberFormat="1" applyFont="1" applyFill="1" applyBorder="1" applyAlignment="1">
      <alignment vertical="top" wrapText="1"/>
    </xf>
    <xf numFmtId="49" fontId="9" fillId="3" borderId="39" xfId="0" applyNumberFormat="1" applyFont="1" applyFill="1" applyBorder="1" applyAlignment="1">
      <alignment vertical="top" wrapText="1"/>
    </xf>
    <xf numFmtId="0" fontId="9" fillId="0" borderId="38" xfId="0" applyFont="1" applyFill="1" applyBorder="1" applyAlignment="1">
      <alignment vertical="center" textRotation="90" wrapText="1"/>
    </xf>
    <xf numFmtId="49" fontId="8" fillId="0" borderId="36" xfId="0" applyNumberFormat="1" applyFont="1" applyBorder="1" applyAlignment="1">
      <alignment vertical="top" wrapText="1"/>
    </xf>
    <xf numFmtId="49" fontId="8" fillId="4" borderId="58" xfId="0" applyNumberFormat="1" applyFont="1" applyFill="1" applyBorder="1" applyAlignment="1">
      <alignment vertical="top"/>
    </xf>
    <xf numFmtId="0" fontId="6" fillId="4" borderId="76" xfId="0" applyFont="1" applyFill="1" applyBorder="1" applyAlignment="1">
      <alignment horizontal="center" vertical="top" wrapText="1"/>
    </xf>
    <xf numFmtId="3" fontId="14" fillId="7" borderId="1" xfId="0" applyNumberFormat="1" applyFont="1" applyFill="1" applyBorder="1" applyAlignment="1">
      <alignment horizontal="center" vertical="top" wrapText="1"/>
    </xf>
    <xf numFmtId="3" fontId="13" fillId="7" borderId="78" xfId="0" applyNumberFormat="1" applyFont="1" applyFill="1" applyBorder="1" applyAlignment="1">
      <alignment horizontal="center" vertical="top" wrapText="1"/>
    </xf>
    <xf numFmtId="3" fontId="14" fillId="4" borderId="1" xfId="0" applyNumberFormat="1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center" vertical="top" wrapText="1"/>
    </xf>
    <xf numFmtId="3" fontId="6" fillId="8" borderId="1" xfId="0" applyNumberFormat="1" applyFont="1" applyFill="1" applyBorder="1" applyAlignment="1">
      <alignment horizontal="center" vertical="top" wrapText="1"/>
    </xf>
    <xf numFmtId="3" fontId="6" fillId="4" borderId="8" xfId="0" applyNumberFormat="1" applyFont="1" applyFill="1" applyBorder="1" applyAlignment="1">
      <alignment horizontal="center" vertical="top" wrapText="1"/>
    </xf>
    <xf numFmtId="0" fontId="6" fillId="0" borderId="17" xfId="0" applyNumberFormat="1" applyFont="1" applyFill="1" applyBorder="1" applyAlignment="1">
      <alignment horizontal="center" vertical="top"/>
    </xf>
    <xf numFmtId="3" fontId="13" fillId="7" borderId="75" xfId="0" applyNumberFormat="1" applyFont="1" applyFill="1" applyBorder="1" applyAlignment="1">
      <alignment horizontal="center" vertical="top" wrapText="1"/>
    </xf>
    <xf numFmtId="3" fontId="6" fillId="8" borderId="39" xfId="0" applyNumberFormat="1" applyFont="1" applyFill="1" applyBorder="1" applyAlignment="1">
      <alignment horizontal="center" vertical="top" wrapText="1"/>
    </xf>
    <xf numFmtId="3" fontId="6" fillId="8" borderId="12" xfId="0" applyNumberFormat="1" applyFont="1" applyFill="1" applyBorder="1" applyAlignment="1">
      <alignment horizontal="center" vertical="top" wrapText="1"/>
    </xf>
    <xf numFmtId="0" fontId="8" fillId="7" borderId="15" xfId="0" applyFont="1" applyFill="1" applyBorder="1" applyAlignment="1">
      <alignment vertical="top" wrapText="1"/>
    </xf>
    <xf numFmtId="3" fontId="1" fillId="0" borderId="25" xfId="0" applyNumberFormat="1" applyFont="1" applyFill="1" applyBorder="1" applyAlignment="1">
      <alignment horizontal="center" vertical="top" wrapText="1"/>
    </xf>
    <xf numFmtId="3" fontId="9" fillId="5" borderId="36" xfId="0" applyNumberFormat="1" applyFont="1" applyFill="1" applyBorder="1" applyAlignment="1">
      <alignment horizontal="center" vertical="top" wrapText="1"/>
    </xf>
    <xf numFmtId="3" fontId="7" fillId="0" borderId="24" xfId="0" applyNumberFormat="1" applyFont="1" applyBorder="1" applyAlignment="1">
      <alignment horizontal="center" vertical="center" wrapText="1"/>
    </xf>
    <xf numFmtId="3" fontId="9" fillId="5" borderId="54" xfId="0" applyNumberFormat="1" applyFont="1" applyFill="1" applyBorder="1" applyAlignment="1">
      <alignment horizontal="center" vertical="top" wrapText="1"/>
    </xf>
    <xf numFmtId="3" fontId="6" fillId="0" borderId="54" xfId="0" applyNumberFormat="1" applyFont="1" applyBorder="1" applyAlignment="1">
      <alignment horizontal="center" vertical="top" wrapText="1"/>
    </xf>
    <xf numFmtId="3" fontId="6" fillId="0" borderId="56" xfId="0" applyNumberFormat="1" applyFont="1" applyBorder="1" applyAlignment="1">
      <alignment horizontal="center" vertical="top" wrapText="1"/>
    </xf>
    <xf numFmtId="3" fontId="9" fillId="5" borderId="28" xfId="0" applyNumberFormat="1" applyFont="1" applyFill="1" applyBorder="1" applyAlignment="1">
      <alignment horizontal="center" vertical="top" wrapText="1"/>
    </xf>
    <xf numFmtId="3" fontId="6" fillId="0" borderId="79" xfId="0" applyNumberFormat="1" applyFont="1" applyBorder="1" applyAlignment="1">
      <alignment horizontal="center" vertical="top" wrapText="1"/>
    </xf>
    <xf numFmtId="3" fontId="9" fillId="8" borderId="67" xfId="0" applyNumberFormat="1" applyFont="1" applyFill="1" applyBorder="1" applyAlignment="1">
      <alignment horizontal="center" vertical="top" wrapText="1"/>
    </xf>
    <xf numFmtId="3" fontId="6" fillId="0" borderId="62" xfId="0" applyNumberFormat="1" applyFont="1" applyFill="1" applyBorder="1" applyAlignment="1">
      <alignment horizontal="center" vertical="top" wrapText="1"/>
    </xf>
    <xf numFmtId="0" fontId="6" fillId="7" borderId="24" xfId="0" applyNumberFormat="1" applyFont="1" applyFill="1" applyBorder="1" applyAlignment="1">
      <alignment horizontal="center" vertical="top" wrapText="1"/>
    </xf>
    <xf numFmtId="0" fontId="6" fillId="7" borderId="28" xfId="0" applyNumberFormat="1" applyFont="1" applyFill="1" applyBorder="1" applyAlignment="1">
      <alignment horizontal="center" vertical="top" wrapText="1"/>
    </xf>
    <xf numFmtId="0" fontId="6" fillId="7" borderId="28" xfId="0" applyFont="1" applyFill="1" applyBorder="1" applyAlignment="1">
      <alignment vertical="top"/>
    </xf>
    <xf numFmtId="0" fontId="6" fillId="7" borderId="54" xfId="0" applyNumberFormat="1" applyFont="1" applyFill="1" applyBorder="1" applyAlignment="1">
      <alignment horizontal="center" vertical="top" wrapText="1"/>
    </xf>
    <xf numFmtId="0" fontId="6" fillId="7" borderId="46" xfId="0" applyNumberFormat="1" applyFont="1" applyFill="1" applyBorder="1" applyAlignment="1">
      <alignment horizontal="center" vertical="top"/>
    </xf>
    <xf numFmtId="0" fontId="6" fillId="7" borderId="52" xfId="0" applyNumberFormat="1" applyFont="1" applyFill="1" applyBorder="1" applyAlignment="1">
      <alignment horizontal="center" vertical="top"/>
    </xf>
    <xf numFmtId="3" fontId="10" fillId="4" borderId="14" xfId="0" applyNumberFormat="1" applyFont="1" applyFill="1" applyBorder="1" applyAlignment="1">
      <alignment horizontal="center" vertical="top" wrapText="1"/>
    </xf>
    <xf numFmtId="3" fontId="6" fillId="8" borderId="14" xfId="0" applyNumberFormat="1" applyFont="1" applyFill="1" applyBorder="1" applyAlignment="1">
      <alignment horizontal="center" vertical="top" wrapText="1"/>
    </xf>
    <xf numFmtId="3" fontId="9" fillId="8" borderId="44" xfId="0" applyNumberFormat="1" applyFont="1" applyFill="1" applyBorder="1" applyAlignment="1">
      <alignment horizontal="center" vertical="top" wrapText="1"/>
    </xf>
    <xf numFmtId="49" fontId="9" fillId="4" borderId="34" xfId="0" applyNumberFormat="1" applyFont="1" applyFill="1" applyBorder="1" applyAlignment="1">
      <alignment vertical="top"/>
    </xf>
    <xf numFmtId="49" fontId="9" fillId="4" borderId="36" xfId="0" applyNumberFormat="1" applyFont="1" applyFill="1" applyBorder="1" applyAlignment="1">
      <alignment vertical="top"/>
    </xf>
    <xf numFmtId="0" fontId="9" fillId="0" borderId="77" xfId="0" applyFont="1" applyBorder="1" applyAlignment="1">
      <alignment vertical="center" textRotation="90"/>
    </xf>
    <xf numFmtId="3" fontId="6" fillId="0" borderId="54" xfId="0" applyNumberFormat="1" applyFont="1" applyFill="1" applyBorder="1" applyAlignment="1">
      <alignment horizontal="center" vertical="top"/>
    </xf>
    <xf numFmtId="1" fontId="6" fillId="7" borderId="52" xfId="0" applyNumberFormat="1" applyFont="1" applyFill="1" applyBorder="1" applyAlignment="1">
      <alignment horizontal="center" vertical="top"/>
    </xf>
    <xf numFmtId="1" fontId="6" fillId="7" borderId="43" xfId="0" applyNumberFormat="1" applyFont="1" applyFill="1" applyBorder="1" applyAlignment="1">
      <alignment horizontal="center" vertical="top"/>
    </xf>
    <xf numFmtId="1" fontId="6" fillId="7" borderId="55" xfId="0" applyNumberFormat="1" applyFont="1" applyFill="1" applyBorder="1" applyAlignment="1">
      <alignment horizontal="center" vertical="top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19" xfId="0" applyNumberFormat="1" applyFont="1" applyBorder="1" applyAlignment="1">
      <alignment horizontal="center" vertical="top" wrapText="1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0" fontId="1" fillId="4" borderId="15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9" xfId="0" applyNumberFormat="1" applyFont="1" applyFill="1" applyBorder="1" applyAlignment="1">
      <alignment horizontal="center" vertical="top" wrapText="1"/>
    </xf>
    <xf numFmtId="0" fontId="1" fillId="7" borderId="25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left" vertical="top" wrapText="1"/>
    </xf>
    <xf numFmtId="49" fontId="9" fillId="2" borderId="59" xfId="0" applyNumberFormat="1" applyFont="1" applyFill="1" applyBorder="1" applyAlignment="1">
      <alignment horizontal="center" vertical="top"/>
    </xf>
    <xf numFmtId="49" fontId="9" fillId="3" borderId="47" xfId="0" applyNumberFormat="1" applyFont="1" applyFill="1" applyBorder="1" applyAlignment="1">
      <alignment horizontal="center" vertical="top"/>
    </xf>
    <xf numFmtId="49" fontId="9" fillId="3" borderId="2" xfId="0" applyNumberFormat="1" applyFont="1" applyFill="1" applyBorder="1" applyAlignment="1">
      <alignment horizontal="center" vertical="top"/>
    </xf>
    <xf numFmtId="49" fontId="9" fillId="0" borderId="19" xfId="0" applyNumberFormat="1" applyFont="1" applyBorder="1" applyAlignment="1">
      <alignment horizontal="center" vertical="top"/>
    </xf>
    <xf numFmtId="49" fontId="9" fillId="4" borderId="12" xfId="0" applyNumberFormat="1" applyFont="1" applyFill="1" applyBorder="1" applyAlignment="1">
      <alignment horizontal="center" vertical="top"/>
    </xf>
    <xf numFmtId="49" fontId="9" fillId="0" borderId="35" xfId="0" applyNumberFormat="1" applyFont="1" applyFill="1" applyBorder="1" applyAlignment="1">
      <alignment horizontal="center" vertical="top" wrapText="1"/>
    </xf>
    <xf numFmtId="49" fontId="9" fillId="0" borderId="31" xfId="0" applyNumberFormat="1" applyFont="1" applyFill="1" applyBorder="1" applyAlignment="1">
      <alignment horizontal="center" vertical="top" wrapText="1"/>
    </xf>
    <xf numFmtId="0" fontId="8" fillId="0" borderId="34" xfId="0" applyNumberFormat="1" applyFont="1" applyBorder="1" applyAlignment="1">
      <alignment horizontal="center" vertical="top"/>
    </xf>
    <xf numFmtId="49" fontId="9" fillId="0" borderId="35" xfId="0" applyNumberFormat="1" applyFont="1" applyBorder="1" applyAlignment="1">
      <alignment horizontal="center" vertical="top"/>
    </xf>
    <xf numFmtId="49" fontId="9" fillId="0" borderId="34" xfId="0" applyNumberFormat="1" applyFont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left" vertical="top" wrapText="1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 wrapText="1"/>
    </xf>
    <xf numFmtId="49" fontId="8" fillId="0" borderId="35" xfId="0" applyNumberFormat="1" applyFont="1" applyBorder="1" applyAlignment="1">
      <alignment horizontal="center" vertical="top" wrapText="1"/>
    </xf>
    <xf numFmtId="49" fontId="8" fillId="0" borderId="34" xfId="0" applyNumberFormat="1" applyFont="1" applyBorder="1" applyAlignment="1">
      <alignment horizontal="center" vertical="top" wrapText="1"/>
    </xf>
    <xf numFmtId="49" fontId="8" fillId="0" borderId="31" xfId="0" applyNumberFormat="1" applyFont="1" applyBorder="1" applyAlignment="1">
      <alignment horizontal="center" vertical="top" wrapText="1"/>
    </xf>
    <xf numFmtId="49" fontId="8" fillId="0" borderId="35" xfId="0" applyNumberFormat="1" applyFont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 wrapText="1"/>
    </xf>
    <xf numFmtId="0" fontId="6" fillId="0" borderId="26" xfId="0" applyFont="1" applyBorder="1" applyAlignment="1">
      <alignment horizontal="left" vertical="top" wrapText="1"/>
    </xf>
    <xf numFmtId="3" fontId="6" fillId="7" borderId="47" xfId="0" applyNumberFormat="1" applyFont="1" applyFill="1" applyBorder="1" applyAlignment="1">
      <alignment horizontal="center" vertical="top"/>
    </xf>
    <xf numFmtId="3" fontId="10" fillId="7" borderId="39" xfId="0" applyNumberFormat="1" applyFont="1" applyFill="1" applyBorder="1" applyAlignment="1">
      <alignment horizontal="center" vertical="top" wrapText="1"/>
    </xf>
    <xf numFmtId="3" fontId="10" fillId="7" borderId="12" xfId="0" applyNumberFormat="1" applyFont="1" applyFill="1" applyBorder="1" applyAlignment="1">
      <alignment horizontal="center" vertical="top" wrapText="1"/>
    </xf>
    <xf numFmtId="3" fontId="10" fillId="4" borderId="39" xfId="0" applyNumberFormat="1" applyFont="1" applyFill="1" applyBorder="1" applyAlignment="1">
      <alignment horizontal="center" vertical="top" wrapText="1"/>
    </xf>
    <xf numFmtId="3" fontId="6" fillId="0" borderId="37" xfId="0" applyNumberFormat="1" applyFont="1" applyBorder="1" applyAlignment="1">
      <alignment horizontal="center" vertical="top" wrapText="1"/>
    </xf>
    <xf numFmtId="3" fontId="6" fillId="0" borderId="75" xfId="0" applyNumberFormat="1" applyFont="1" applyFill="1" applyBorder="1" applyAlignment="1">
      <alignment horizontal="center" vertical="top" wrapText="1"/>
    </xf>
    <xf numFmtId="3" fontId="6" fillId="0" borderId="75" xfId="0" applyNumberFormat="1" applyFont="1" applyBorder="1" applyAlignment="1">
      <alignment horizontal="center" vertical="top" wrapText="1"/>
    </xf>
    <xf numFmtId="3" fontId="6" fillId="8" borderId="43" xfId="0" applyNumberFormat="1" applyFont="1" applyFill="1" applyBorder="1" applyAlignment="1">
      <alignment horizontal="center" vertical="top"/>
    </xf>
    <xf numFmtId="3" fontId="6" fillId="8" borderId="39" xfId="0" applyNumberFormat="1" applyFont="1" applyFill="1" applyBorder="1" applyAlignment="1">
      <alignment horizontal="center" vertical="top"/>
    </xf>
    <xf numFmtId="3" fontId="6" fillId="8" borderId="7" xfId="0" applyNumberFormat="1" applyFont="1" applyFill="1" applyBorder="1" applyAlignment="1">
      <alignment horizontal="center" vertical="top"/>
    </xf>
    <xf numFmtId="3" fontId="6" fillId="8" borderId="7" xfId="0" applyNumberFormat="1" applyFont="1" applyFill="1" applyBorder="1" applyAlignment="1">
      <alignment horizontal="center" vertical="top" wrapText="1"/>
    </xf>
    <xf numFmtId="3" fontId="10" fillId="8" borderId="49" xfId="0" applyNumberFormat="1" applyFont="1" applyFill="1" applyBorder="1" applyAlignment="1">
      <alignment horizontal="center" vertical="top"/>
    </xf>
    <xf numFmtId="3" fontId="6" fillId="8" borderId="57" xfId="0" applyNumberFormat="1" applyFont="1" applyFill="1" applyBorder="1" applyAlignment="1">
      <alignment horizontal="center" vertical="top"/>
    </xf>
    <xf numFmtId="3" fontId="6" fillId="8" borderId="71" xfId="0" applyNumberFormat="1" applyFont="1" applyFill="1" applyBorder="1" applyAlignment="1">
      <alignment horizontal="center" vertical="top"/>
    </xf>
    <xf numFmtId="3" fontId="6" fillId="8" borderId="49" xfId="0" applyNumberFormat="1" applyFont="1" applyFill="1" applyBorder="1" applyAlignment="1">
      <alignment horizontal="center" vertical="top"/>
    </xf>
    <xf numFmtId="3" fontId="6" fillId="8" borderId="64" xfId="0" applyNumberFormat="1" applyFont="1" applyFill="1" applyBorder="1" applyAlignment="1">
      <alignment horizontal="center" vertical="top"/>
    </xf>
    <xf numFmtId="3" fontId="6" fillId="8" borderId="64" xfId="0" applyNumberFormat="1" applyFont="1" applyFill="1" applyBorder="1" applyAlignment="1">
      <alignment horizontal="center" vertical="top" wrapText="1"/>
    </xf>
    <xf numFmtId="3" fontId="1" fillId="8" borderId="50" xfId="0" applyNumberFormat="1" applyFont="1" applyFill="1" applyBorder="1" applyAlignment="1">
      <alignment horizontal="center" vertical="top"/>
    </xf>
    <xf numFmtId="3" fontId="8" fillId="8" borderId="57" xfId="0" applyNumberFormat="1" applyFont="1" applyFill="1" applyBorder="1" applyAlignment="1">
      <alignment horizontal="center" vertical="top" wrapText="1"/>
    </xf>
    <xf numFmtId="3" fontId="6" fillId="8" borderId="12" xfId="0" applyNumberFormat="1" applyFont="1" applyFill="1" applyBorder="1" applyAlignment="1">
      <alignment horizontal="center" vertical="top"/>
    </xf>
    <xf numFmtId="3" fontId="6" fillId="8" borderId="47" xfId="0" applyNumberFormat="1" applyFont="1" applyFill="1" applyBorder="1" applyAlignment="1">
      <alignment horizontal="center" vertical="top" wrapText="1"/>
    </xf>
    <xf numFmtId="3" fontId="10" fillId="8" borderId="39" xfId="0" applyNumberFormat="1" applyFont="1" applyFill="1" applyBorder="1" applyAlignment="1">
      <alignment horizontal="center" vertical="top" wrapText="1"/>
    </xf>
    <xf numFmtId="3" fontId="10" fillId="8" borderId="1" xfId="0" applyNumberFormat="1" applyFont="1" applyFill="1" applyBorder="1" applyAlignment="1">
      <alignment horizontal="center" vertical="top" wrapText="1"/>
    </xf>
    <xf numFmtId="3" fontId="10" fillId="8" borderId="12" xfId="0" applyNumberFormat="1" applyFont="1" applyFill="1" applyBorder="1" applyAlignment="1">
      <alignment horizontal="center" vertical="top" wrapText="1"/>
    </xf>
    <xf numFmtId="3" fontId="6" fillId="8" borderId="43" xfId="0" applyNumberFormat="1" applyFont="1" applyFill="1" applyBorder="1" applyAlignment="1">
      <alignment horizontal="center" vertical="top" wrapText="1"/>
    </xf>
    <xf numFmtId="3" fontId="10" fillId="8" borderId="14" xfId="0" applyNumberFormat="1" applyFont="1" applyFill="1" applyBorder="1" applyAlignment="1">
      <alignment horizontal="center" vertical="top" wrapText="1"/>
    </xf>
    <xf numFmtId="3" fontId="6" fillId="8" borderId="50" xfId="0" applyNumberFormat="1" applyFont="1" applyFill="1" applyBorder="1" applyAlignment="1">
      <alignment horizontal="center" vertical="top"/>
    </xf>
    <xf numFmtId="3" fontId="6" fillId="8" borderId="63" xfId="0" applyNumberFormat="1" applyFont="1" applyFill="1" applyBorder="1" applyAlignment="1">
      <alignment horizontal="center" vertical="top" wrapText="1"/>
    </xf>
    <xf numFmtId="3" fontId="6" fillId="8" borderId="50" xfId="0" applyNumberFormat="1" applyFont="1" applyFill="1" applyBorder="1" applyAlignment="1">
      <alignment horizontal="center" vertical="top" wrapText="1"/>
    </xf>
    <xf numFmtId="3" fontId="6" fillId="8" borderId="71" xfId="0" applyNumberFormat="1" applyFont="1" applyFill="1" applyBorder="1" applyAlignment="1">
      <alignment horizontal="center" vertical="top" wrapText="1"/>
    </xf>
    <xf numFmtId="3" fontId="9" fillId="8" borderId="61" xfId="0" applyNumberFormat="1" applyFont="1" applyFill="1" applyBorder="1" applyAlignment="1">
      <alignment horizontal="center" vertical="top" wrapText="1"/>
    </xf>
    <xf numFmtId="3" fontId="6" fillId="8" borderId="49" xfId="0" applyNumberFormat="1" applyFont="1" applyFill="1" applyBorder="1" applyAlignment="1">
      <alignment horizontal="center" vertical="top" wrapText="1"/>
    </xf>
    <xf numFmtId="3" fontId="6" fillId="8" borderId="63" xfId="0" applyNumberFormat="1" applyFont="1" applyFill="1" applyBorder="1" applyAlignment="1">
      <alignment horizontal="center" vertical="top"/>
    </xf>
    <xf numFmtId="3" fontId="9" fillId="8" borderId="70" xfId="0" applyNumberFormat="1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 wrapText="1"/>
    </xf>
    <xf numFmtId="0" fontId="6" fillId="0" borderId="26" xfId="0" applyFont="1" applyFill="1" applyBorder="1" applyAlignment="1">
      <alignment horizontal="center" vertical="top" wrapText="1"/>
    </xf>
    <xf numFmtId="0" fontId="9" fillId="8" borderId="69" xfId="0" applyFont="1" applyFill="1" applyBorder="1" applyAlignment="1">
      <alignment horizontal="center" vertical="top"/>
    </xf>
    <xf numFmtId="3" fontId="9" fillId="8" borderId="56" xfId="0" applyNumberFormat="1" applyFont="1" applyFill="1" applyBorder="1" applyAlignment="1">
      <alignment horizontal="center" vertical="top" wrapText="1"/>
    </xf>
    <xf numFmtId="3" fontId="9" fillId="8" borderId="28" xfId="0" applyNumberFormat="1" applyFont="1" applyFill="1" applyBorder="1" applyAlignment="1">
      <alignment horizontal="center" vertical="top" wrapText="1"/>
    </xf>
    <xf numFmtId="3" fontId="13" fillId="7" borderId="43" xfId="0" applyNumberFormat="1" applyFont="1" applyFill="1" applyBorder="1" applyAlignment="1">
      <alignment horizontal="center" vertical="top"/>
    </xf>
    <xf numFmtId="3" fontId="13" fillId="7" borderId="21" xfId="0" applyNumberFormat="1" applyFont="1" applyFill="1" applyBorder="1" applyAlignment="1">
      <alignment horizontal="center" vertical="top"/>
    </xf>
    <xf numFmtId="3" fontId="10" fillId="8" borderId="16" xfId="0" applyNumberFormat="1" applyFont="1" applyFill="1" applyBorder="1" applyAlignment="1">
      <alignment horizontal="center" vertical="top"/>
    </xf>
    <xf numFmtId="3" fontId="10" fillId="7" borderId="33" xfId="0" applyNumberFormat="1" applyFont="1" applyFill="1" applyBorder="1" applyAlignment="1">
      <alignment horizontal="center" vertical="top"/>
    </xf>
    <xf numFmtId="3" fontId="10" fillId="7" borderId="16" xfId="0" applyNumberFormat="1" applyFont="1" applyFill="1" applyBorder="1" applyAlignment="1">
      <alignment horizontal="center" vertical="top"/>
    </xf>
    <xf numFmtId="0" fontId="6" fillId="4" borderId="24" xfId="0" applyNumberFormat="1" applyFont="1" applyFill="1" applyBorder="1" applyAlignment="1">
      <alignment vertical="top" wrapText="1"/>
    </xf>
    <xf numFmtId="0" fontId="6" fillId="4" borderId="79" xfId="0" applyNumberFormat="1" applyFont="1" applyFill="1" applyBorder="1" applyAlignment="1">
      <alignment vertical="top" wrapText="1"/>
    </xf>
    <xf numFmtId="0" fontId="6" fillId="4" borderId="56" xfId="0" applyFont="1" applyFill="1" applyBorder="1" applyAlignment="1">
      <alignment horizontal="left" vertical="top" wrapText="1"/>
    </xf>
    <xf numFmtId="0" fontId="6" fillId="7" borderId="28" xfId="0" applyNumberFormat="1" applyFont="1" applyFill="1" applyBorder="1" applyAlignment="1">
      <alignment vertical="top" wrapText="1"/>
    </xf>
    <xf numFmtId="0" fontId="6" fillId="7" borderId="56" xfId="0" applyNumberFormat="1" applyFont="1" applyFill="1" applyBorder="1" applyAlignment="1">
      <alignment vertical="top" wrapText="1"/>
    </xf>
    <xf numFmtId="0" fontId="6" fillId="4" borderId="7" xfId="0" applyNumberFormat="1" applyFont="1" applyFill="1" applyBorder="1" applyAlignment="1">
      <alignment vertical="top" wrapText="1"/>
    </xf>
    <xf numFmtId="0" fontId="6" fillId="4" borderId="22" xfId="0" applyNumberFormat="1" applyFont="1" applyFill="1" applyBorder="1" applyAlignment="1">
      <alignment vertical="top" wrapText="1"/>
    </xf>
    <xf numFmtId="0" fontId="6" fillId="4" borderId="52" xfId="0" applyNumberFormat="1" applyFont="1" applyFill="1" applyBorder="1" applyAlignment="1">
      <alignment horizontal="center" wrapText="1"/>
    </xf>
    <xf numFmtId="0" fontId="6" fillId="4" borderId="10" xfId="0" applyNumberFormat="1" applyFont="1" applyFill="1" applyBorder="1" applyAlignment="1">
      <alignment vertical="top" wrapText="1"/>
    </xf>
    <xf numFmtId="0" fontId="6" fillId="0" borderId="79" xfId="0" applyFont="1" applyBorder="1" applyAlignment="1">
      <alignment vertical="top"/>
    </xf>
    <xf numFmtId="0" fontId="6" fillId="0" borderId="51" xfId="0" applyFont="1" applyBorder="1" applyAlignment="1">
      <alignment vertical="top"/>
    </xf>
    <xf numFmtId="0" fontId="6" fillId="0" borderId="45" xfId="0" applyNumberFormat="1" applyFont="1" applyFill="1" applyBorder="1" applyAlignment="1">
      <alignment horizontal="center" vertical="top"/>
    </xf>
    <xf numFmtId="0" fontId="6" fillId="7" borderId="56" xfId="0" applyFont="1" applyFill="1" applyBorder="1" applyAlignment="1">
      <alignment vertical="top"/>
    </xf>
    <xf numFmtId="3" fontId="13" fillId="7" borderId="43" xfId="0" applyNumberFormat="1" applyFont="1" applyFill="1" applyBorder="1" applyAlignment="1">
      <alignment horizontal="center" vertical="top" wrapText="1"/>
    </xf>
    <xf numFmtId="3" fontId="13" fillId="7" borderId="37" xfId="0" applyNumberFormat="1" applyFont="1" applyFill="1" applyBorder="1" applyAlignment="1">
      <alignment horizontal="center" vertical="top" wrapText="1"/>
    </xf>
    <xf numFmtId="3" fontId="13" fillId="7" borderId="47" xfId="0" applyNumberFormat="1" applyFont="1" applyFill="1" applyBorder="1" applyAlignment="1">
      <alignment horizontal="center" vertical="top"/>
    </xf>
    <xf numFmtId="3" fontId="13" fillId="7" borderId="76" xfId="0" applyNumberFormat="1" applyFont="1" applyFill="1" applyBorder="1" applyAlignment="1">
      <alignment horizontal="center" vertical="top"/>
    </xf>
    <xf numFmtId="0" fontId="16" fillId="4" borderId="15" xfId="0" applyFont="1" applyFill="1" applyBorder="1" applyAlignment="1">
      <alignment vertical="top" wrapText="1"/>
    </xf>
    <xf numFmtId="3" fontId="13" fillId="7" borderId="7" xfId="0" applyNumberFormat="1" applyFont="1" applyFill="1" applyBorder="1" applyAlignment="1">
      <alignment horizontal="center" vertical="top"/>
    </xf>
    <xf numFmtId="3" fontId="13" fillId="7" borderId="22" xfId="0" applyNumberFormat="1" applyFont="1" applyFill="1" applyBorder="1" applyAlignment="1">
      <alignment horizontal="center" vertical="top"/>
    </xf>
    <xf numFmtId="1" fontId="6" fillId="7" borderId="54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6" fillId="0" borderId="45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26" xfId="0" applyFont="1" applyFill="1" applyBorder="1" applyAlignment="1">
      <alignment horizontal="left" vertical="top" wrapText="1"/>
    </xf>
    <xf numFmtId="49" fontId="9" fillId="0" borderId="36" xfId="0" applyNumberFormat="1" applyFont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 wrapText="1"/>
    </xf>
    <xf numFmtId="49" fontId="9" fillId="3" borderId="39" xfId="0" applyNumberFormat="1" applyFont="1" applyFill="1" applyBorder="1" applyAlignment="1">
      <alignment vertical="top"/>
    </xf>
    <xf numFmtId="49" fontId="9" fillId="0" borderId="36" xfId="0" applyNumberFormat="1" applyFont="1" applyBorder="1" applyAlignment="1">
      <alignment vertical="top"/>
    </xf>
    <xf numFmtId="3" fontId="6" fillId="8" borderId="58" xfId="0" applyNumberFormat="1" applyFont="1" applyFill="1" applyBorder="1" applyAlignment="1">
      <alignment horizontal="center" vertical="top"/>
    </xf>
    <xf numFmtId="1" fontId="6" fillId="0" borderId="35" xfId="0" applyNumberFormat="1" applyFont="1" applyFill="1" applyBorder="1" applyAlignment="1">
      <alignment horizontal="center" vertical="top"/>
    </xf>
    <xf numFmtId="164" fontId="6" fillId="0" borderId="69" xfId="0" applyNumberFormat="1" applyFont="1" applyFill="1" applyBorder="1" applyAlignment="1">
      <alignment horizontal="left" vertical="top" wrapText="1"/>
    </xf>
    <xf numFmtId="0" fontId="8" fillId="0" borderId="34" xfId="0" applyNumberFormat="1" applyFont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0" fontId="6" fillId="4" borderId="43" xfId="0" applyNumberFormat="1" applyFont="1" applyFill="1" applyBorder="1" applyAlignment="1">
      <alignment horizontal="center" vertical="top" wrapText="1"/>
    </xf>
    <xf numFmtId="0" fontId="6" fillId="4" borderId="12" xfId="0" applyNumberFormat="1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left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6" fillId="0" borderId="34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1" fontId="6" fillId="0" borderId="51" xfId="0" applyNumberFormat="1" applyFont="1" applyFill="1" applyBorder="1" applyAlignment="1">
      <alignment horizontal="center" vertical="top"/>
    </xf>
    <xf numFmtId="49" fontId="9" fillId="0" borderId="35" xfId="0" applyNumberFormat="1" applyFont="1" applyBorder="1" applyAlignment="1">
      <alignment horizontal="center" vertical="top"/>
    </xf>
    <xf numFmtId="164" fontId="6" fillId="0" borderId="24" xfId="0" applyNumberFormat="1" applyFont="1" applyFill="1" applyBorder="1" applyAlignment="1">
      <alignment horizontal="left" vertical="top" wrapText="1"/>
    </xf>
    <xf numFmtId="164" fontId="6" fillId="0" borderId="79" xfId="0" applyNumberFormat="1" applyFont="1" applyFill="1" applyBorder="1" applyAlignment="1">
      <alignment horizontal="left" vertical="top" wrapText="1"/>
    </xf>
    <xf numFmtId="0" fontId="6" fillId="0" borderId="54" xfId="0" applyFont="1" applyFill="1" applyBorder="1" applyAlignment="1">
      <alignment horizontal="left" vertical="top" wrapText="1"/>
    </xf>
    <xf numFmtId="0" fontId="6" fillId="4" borderId="34" xfId="0" applyNumberFormat="1" applyFont="1" applyFill="1" applyBorder="1" applyAlignment="1">
      <alignment horizontal="center" vertical="top" wrapText="1"/>
    </xf>
    <xf numFmtId="0" fontId="6" fillId="4" borderId="25" xfId="0" applyNumberFormat="1" applyFont="1" applyFill="1" applyBorder="1" applyAlignment="1">
      <alignment horizontal="left" vertical="top" wrapText="1"/>
    </xf>
    <xf numFmtId="0" fontId="6" fillId="7" borderId="15" xfId="0" applyFont="1" applyFill="1" applyBorder="1" applyAlignment="1">
      <alignment horizontal="left" vertical="top" wrapText="1"/>
    </xf>
    <xf numFmtId="0" fontId="6" fillId="7" borderId="69" xfId="0" applyFont="1" applyFill="1" applyBorder="1" applyAlignment="1">
      <alignment horizontal="left" vertical="top" wrapText="1"/>
    </xf>
    <xf numFmtId="49" fontId="9" fillId="4" borderId="12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left" vertical="top" wrapText="1"/>
    </xf>
    <xf numFmtId="49" fontId="9" fillId="0" borderId="0" xfId="0" applyNumberFormat="1" applyFont="1" applyFill="1" applyBorder="1" applyAlignment="1">
      <alignment horizontal="center" vertical="center" wrapText="1"/>
    </xf>
    <xf numFmtId="165" fontId="8" fillId="4" borderId="0" xfId="0" applyNumberFormat="1" applyFont="1" applyFill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center" vertical="top" wrapText="1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0" fontId="6" fillId="0" borderId="9" xfId="0" applyNumberFormat="1" applyFont="1" applyFill="1" applyBorder="1" applyAlignment="1">
      <alignment horizontal="left" vertical="top" wrapText="1"/>
    </xf>
    <xf numFmtId="0" fontId="6" fillId="4" borderId="37" xfId="0" applyNumberFormat="1" applyFont="1" applyFill="1" applyBorder="1" applyAlignment="1">
      <alignment horizontal="center" vertical="top" wrapText="1"/>
    </xf>
    <xf numFmtId="0" fontId="6" fillId="4" borderId="21" xfId="0" applyNumberFormat="1" applyFont="1" applyFill="1" applyBorder="1" applyAlignment="1">
      <alignment horizontal="center" vertical="top" wrapText="1"/>
    </xf>
    <xf numFmtId="0" fontId="1" fillId="7" borderId="26" xfId="0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 wrapText="1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19" xfId="0" applyNumberFormat="1" applyFont="1" applyFill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 wrapText="1"/>
    </xf>
    <xf numFmtId="49" fontId="9" fillId="0" borderId="19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horizontal="left" vertical="top" wrapText="1"/>
    </xf>
    <xf numFmtId="49" fontId="8" fillId="0" borderId="35" xfId="0" applyNumberFormat="1" applyFont="1" applyBorder="1" applyAlignment="1">
      <alignment horizontal="center" vertical="top" wrapText="1"/>
    </xf>
    <xf numFmtId="49" fontId="8" fillId="0" borderId="34" xfId="0" applyNumberFormat="1" applyFont="1" applyBorder="1" applyAlignment="1">
      <alignment horizontal="center" vertical="top" wrapText="1"/>
    </xf>
    <xf numFmtId="49" fontId="8" fillId="0" borderId="31" xfId="0" applyNumberFormat="1" applyFont="1" applyBorder="1" applyAlignment="1">
      <alignment horizontal="center" vertical="top" wrapText="1"/>
    </xf>
    <xf numFmtId="1" fontId="6" fillId="0" borderId="43" xfId="0" applyNumberFormat="1" applyFont="1" applyFill="1" applyBorder="1" applyAlignment="1">
      <alignment horizontal="center" vertical="top"/>
    </xf>
    <xf numFmtId="1" fontId="6" fillId="0" borderId="12" xfId="0" applyNumberFormat="1" applyFont="1" applyFill="1" applyBorder="1" applyAlignment="1">
      <alignment horizontal="center" vertical="top"/>
    </xf>
    <xf numFmtId="49" fontId="8" fillId="0" borderId="35" xfId="0" applyNumberFormat="1" applyFont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center" vertical="top" wrapText="1"/>
    </xf>
    <xf numFmtId="1" fontId="6" fillId="0" borderId="55" xfId="0" applyNumberFormat="1" applyFont="1" applyFill="1" applyBorder="1" applyAlignment="1">
      <alignment horizontal="center" vertical="top"/>
    </xf>
    <xf numFmtId="1" fontId="6" fillId="0" borderId="34" xfId="0" applyNumberFormat="1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1" fontId="6" fillId="0" borderId="5" xfId="0" applyNumberFormat="1" applyFont="1" applyFill="1" applyBorder="1" applyAlignment="1">
      <alignment horizontal="center" vertical="top"/>
    </xf>
    <xf numFmtId="1" fontId="6" fillId="0" borderId="7" xfId="0" applyNumberFormat="1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 wrapText="1"/>
    </xf>
    <xf numFmtId="0" fontId="6" fillId="0" borderId="67" xfId="0" applyFont="1" applyFill="1" applyBorder="1" applyAlignment="1">
      <alignment horizontal="center" vertical="top" wrapText="1"/>
    </xf>
    <xf numFmtId="49" fontId="9" fillId="0" borderId="35" xfId="0" applyNumberFormat="1" applyFont="1" applyFill="1" applyBorder="1" applyAlignment="1">
      <alignment horizontal="center" vertical="top" wrapText="1"/>
    </xf>
    <xf numFmtId="49" fontId="9" fillId="0" borderId="31" xfId="0" applyNumberFormat="1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0" borderId="20" xfId="0" applyFont="1" applyBorder="1" applyAlignment="1">
      <alignment horizontal="right" vertical="top"/>
    </xf>
    <xf numFmtId="0" fontId="6" fillId="0" borderId="46" xfId="0" applyFont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47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3" fontId="6" fillId="0" borderId="9" xfId="0" applyNumberFormat="1" applyFont="1" applyBorder="1" applyAlignment="1">
      <alignment horizontal="center" vertical="center" textRotation="90" wrapText="1"/>
    </xf>
    <xf numFmtId="3" fontId="6" fillId="0" borderId="15" xfId="0" applyNumberFormat="1" applyFont="1" applyBorder="1" applyAlignment="1">
      <alignment horizontal="center" vertical="center" textRotation="90" wrapText="1"/>
    </xf>
    <xf numFmtId="3" fontId="6" fillId="0" borderId="69" xfId="0" applyNumberFormat="1" applyFont="1" applyBorder="1" applyAlignment="1">
      <alignment horizontal="center" vertical="center" textRotation="90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69" xfId="0" applyFont="1" applyFill="1" applyBorder="1" applyAlignment="1">
      <alignment horizontal="left" vertical="top" wrapText="1"/>
    </xf>
    <xf numFmtId="0" fontId="6" fillId="0" borderId="64" xfId="0" applyFont="1" applyFill="1" applyBorder="1" applyAlignment="1">
      <alignment horizontal="center" vertical="top" wrapText="1"/>
    </xf>
    <xf numFmtId="0" fontId="6" fillId="0" borderId="70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7" borderId="9" xfId="0" applyFont="1" applyFill="1" applyBorder="1" applyAlignment="1">
      <alignment horizontal="left" vertical="top" wrapText="1"/>
    </xf>
    <xf numFmtId="0" fontId="6" fillId="7" borderId="15" xfId="0" applyFont="1" applyFill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49" fontId="9" fillId="6" borderId="32" xfId="0" applyNumberFormat="1" applyFont="1" applyFill="1" applyBorder="1" applyAlignment="1">
      <alignment horizontal="left" vertical="top" wrapText="1"/>
    </xf>
    <xf numFmtId="49" fontId="9" fillId="6" borderId="33" xfId="0" applyNumberFormat="1" applyFont="1" applyFill="1" applyBorder="1" applyAlignment="1">
      <alignment horizontal="left" vertical="top" wrapText="1"/>
    </xf>
    <xf numFmtId="49" fontId="9" fillId="6" borderId="76" xfId="0" applyNumberFormat="1" applyFont="1" applyFill="1" applyBorder="1" applyAlignment="1">
      <alignment horizontal="left" vertical="top" wrapText="1"/>
    </xf>
    <xf numFmtId="0" fontId="12" fillId="5" borderId="56" xfId="0" applyFont="1" applyFill="1" applyBorder="1" applyAlignment="1">
      <alignment horizontal="left" vertical="top" wrapText="1"/>
    </xf>
    <xf numFmtId="0" fontId="12" fillId="5" borderId="60" xfId="0" applyFont="1" applyFill="1" applyBorder="1" applyAlignment="1">
      <alignment horizontal="left" vertical="top" wrapText="1"/>
    </xf>
    <xf numFmtId="0" fontId="12" fillId="5" borderId="37" xfId="0" applyFont="1" applyFill="1" applyBorder="1" applyAlignment="1">
      <alignment horizontal="left" vertical="top" wrapText="1"/>
    </xf>
    <xf numFmtId="0" fontId="9" fillId="2" borderId="23" xfId="0" applyFont="1" applyFill="1" applyBorder="1" applyAlignment="1">
      <alignment horizontal="left" vertical="top"/>
    </xf>
    <xf numFmtId="0" fontId="9" fillId="2" borderId="74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22" xfId="0" applyFont="1" applyFill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center" vertical="center" textRotation="90" wrapText="1"/>
    </xf>
    <xf numFmtId="3" fontId="1" fillId="0" borderId="15" xfId="0" applyNumberFormat="1" applyFont="1" applyBorder="1" applyAlignment="1">
      <alignment horizontal="center" vertical="center" textRotation="90" wrapText="1"/>
    </xf>
    <xf numFmtId="3" fontId="1" fillId="0" borderId="69" xfId="0" applyNumberFormat="1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1" fillId="0" borderId="35" xfId="0" applyNumberFormat="1" applyFont="1" applyBorder="1" applyAlignment="1">
      <alignment horizontal="center" vertical="center" textRotation="90" wrapText="1"/>
    </xf>
    <xf numFmtId="0" fontId="1" fillId="0" borderId="34" xfId="0" applyNumberFormat="1" applyFont="1" applyBorder="1" applyAlignment="1">
      <alignment horizontal="center" vertical="center" textRotation="90" wrapText="1"/>
    </xf>
    <xf numFmtId="0" fontId="1" fillId="0" borderId="31" xfId="0" applyNumberFormat="1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69" xfId="0" applyFont="1" applyBorder="1" applyAlignment="1">
      <alignment horizontal="center" vertical="center" textRotation="90" wrapText="1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19" xfId="0" applyNumberFormat="1" applyFont="1" applyBorder="1" applyAlignment="1">
      <alignment horizontal="center" vertical="top" wrapText="1"/>
    </xf>
    <xf numFmtId="0" fontId="6" fillId="7" borderId="69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67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top"/>
    </xf>
    <xf numFmtId="1" fontId="2" fillId="0" borderId="17" xfId="0" applyNumberFormat="1" applyFont="1" applyFill="1" applyBorder="1" applyAlignment="1">
      <alignment horizontal="center" vertical="top"/>
    </xf>
    <xf numFmtId="1" fontId="6" fillId="0" borderId="7" xfId="0" applyNumberFormat="1" applyFont="1" applyFill="1" applyBorder="1" applyAlignment="1">
      <alignment horizontal="center" vertical="top"/>
    </xf>
    <xf numFmtId="1" fontId="2" fillId="0" borderId="19" xfId="0" applyNumberFormat="1" applyFont="1" applyFill="1" applyBorder="1" applyAlignment="1">
      <alignment horizontal="center" vertical="top"/>
    </xf>
    <xf numFmtId="49" fontId="9" fillId="0" borderId="35" xfId="0" applyNumberFormat="1" applyFont="1" applyFill="1" applyBorder="1" applyAlignment="1">
      <alignment horizontal="center" vertical="top" wrapText="1"/>
    </xf>
    <xf numFmtId="49" fontId="9" fillId="0" borderId="31" xfId="0" applyNumberFormat="1" applyFont="1" applyFill="1" applyBorder="1" applyAlignment="1">
      <alignment horizontal="center" vertical="top" wrapText="1"/>
    </xf>
    <xf numFmtId="49" fontId="9" fillId="3" borderId="73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29" xfId="0" applyNumberFormat="1" applyFont="1" applyFill="1" applyBorder="1" applyAlignment="1">
      <alignment horizontal="right" vertical="top"/>
    </xf>
    <xf numFmtId="164" fontId="6" fillId="3" borderId="27" xfId="0" applyNumberFormat="1" applyFont="1" applyFill="1" applyBorder="1" applyAlignment="1">
      <alignment horizontal="center" vertical="top"/>
    </xf>
    <xf numFmtId="164" fontId="6" fillId="3" borderId="23" xfId="0" applyNumberFormat="1" applyFont="1" applyFill="1" applyBorder="1" applyAlignment="1">
      <alignment horizontal="center" vertical="top"/>
    </xf>
    <xf numFmtId="164" fontId="6" fillId="3" borderId="74" xfId="0" applyNumberFormat="1" applyFont="1" applyFill="1" applyBorder="1" applyAlignment="1">
      <alignment horizontal="center" vertical="top"/>
    </xf>
    <xf numFmtId="1" fontId="1" fillId="0" borderId="7" xfId="0" applyNumberFormat="1" applyFont="1" applyFill="1" applyBorder="1" applyAlignment="1">
      <alignment horizontal="center" vertical="top" textRotation="1"/>
    </xf>
    <xf numFmtId="1" fontId="1" fillId="0" borderId="19" xfId="0" applyNumberFormat="1" applyFont="1" applyFill="1" applyBorder="1" applyAlignment="1">
      <alignment horizontal="center" vertical="top" textRotation="1"/>
    </xf>
    <xf numFmtId="1" fontId="1" fillId="0" borderId="35" xfId="0" applyNumberFormat="1" applyFont="1" applyFill="1" applyBorder="1" applyAlignment="1">
      <alignment horizontal="center" vertical="top" textRotation="1"/>
    </xf>
    <xf numFmtId="1" fontId="1" fillId="0" borderId="31" xfId="0" applyNumberFormat="1" applyFont="1" applyFill="1" applyBorder="1" applyAlignment="1">
      <alignment horizontal="center" vertical="top" textRotation="1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164" fontId="6" fillId="0" borderId="9" xfId="0" applyNumberFormat="1" applyFont="1" applyFill="1" applyBorder="1" applyAlignment="1">
      <alignment horizontal="left" vertical="top" wrapText="1"/>
    </xf>
    <xf numFmtId="164" fontId="6" fillId="0" borderId="69" xfId="0" applyNumberFormat="1" applyFont="1" applyFill="1" applyBorder="1" applyAlignment="1">
      <alignment horizontal="left" vertical="top" wrapText="1"/>
    </xf>
    <xf numFmtId="1" fontId="6" fillId="0" borderId="35" xfId="0" applyNumberFormat="1" applyFont="1" applyFill="1" applyBorder="1" applyAlignment="1">
      <alignment horizontal="center" vertical="top"/>
    </xf>
    <xf numFmtId="1" fontId="2" fillId="0" borderId="31" xfId="0" applyNumberFormat="1" applyFont="1" applyFill="1" applyBorder="1" applyAlignment="1">
      <alignment horizontal="center" vertical="top"/>
    </xf>
    <xf numFmtId="0" fontId="6" fillId="0" borderId="24" xfId="0" applyFont="1" applyFill="1" applyBorder="1" applyAlignment="1">
      <alignment vertical="top" wrapText="1"/>
    </xf>
    <xf numFmtId="0" fontId="2" fillId="0" borderId="67" xfId="0" applyFont="1" applyFill="1" applyBorder="1" applyAlignment="1">
      <alignment vertical="top" wrapText="1"/>
    </xf>
    <xf numFmtId="1" fontId="1" fillId="0" borderId="5" xfId="0" applyNumberFormat="1" applyFont="1" applyFill="1" applyBorder="1" applyAlignment="1">
      <alignment horizontal="center" vertical="top" textRotation="1"/>
    </xf>
    <xf numFmtId="1" fontId="1" fillId="0" borderId="17" xfId="0" applyNumberFormat="1" applyFont="1" applyFill="1" applyBorder="1" applyAlignment="1">
      <alignment horizontal="center" vertical="top" textRotation="1"/>
    </xf>
    <xf numFmtId="3" fontId="6" fillId="0" borderId="0" xfId="0" applyNumberFormat="1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left" vertical="top" wrapText="1"/>
    </xf>
    <xf numFmtId="0" fontId="6" fillId="4" borderId="24" xfId="0" applyNumberFormat="1" applyFont="1" applyFill="1" applyBorder="1" applyAlignment="1">
      <alignment horizontal="left" vertical="top" wrapText="1"/>
    </xf>
    <xf numFmtId="0" fontId="6" fillId="4" borderId="28" xfId="0" applyNumberFormat="1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15" xfId="0" applyFont="1" applyFill="1" applyBorder="1" applyAlignment="1">
      <alignment horizontal="left" vertical="top" wrapText="1"/>
    </xf>
    <xf numFmtId="0" fontId="1" fillId="4" borderId="69" xfId="0" applyFont="1" applyFill="1" applyBorder="1" applyAlignment="1">
      <alignment horizontal="left" vertical="top" wrapText="1"/>
    </xf>
    <xf numFmtId="1" fontId="6" fillId="0" borderId="55" xfId="0" applyNumberFormat="1" applyFont="1" applyFill="1" applyBorder="1" applyAlignment="1">
      <alignment horizontal="center" vertical="top"/>
    </xf>
    <xf numFmtId="1" fontId="6" fillId="0" borderId="34" xfId="0" applyNumberFormat="1" applyFont="1" applyFill="1" applyBorder="1" applyAlignment="1">
      <alignment horizontal="center" vertical="top"/>
    </xf>
    <xf numFmtId="49" fontId="8" fillId="2" borderId="5" xfId="0" applyNumberFormat="1" applyFont="1" applyFill="1" applyBorder="1" applyAlignment="1">
      <alignment horizontal="center" vertical="top"/>
    </xf>
    <xf numFmtId="49" fontId="8" fillId="2" borderId="10" xfId="0" applyNumberFormat="1" applyFont="1" applyFill="1" applyBorder="1" applyAlignment="1">
      <alignment horizontal="center" vertical="top"/>
    </xf>
    <xf numFmtId="49" fontId="8" fillId="2" borderId="17" xfId="0" applyNumberFormat="1" applyFont="1" applyFill="1" applyBorder="1" applyAlignment="1">
      <alignment horizontal="center" vertical="top"/>
    </xf>
    <xf numFmtId="49" fontId="8" fillId="3" borderId="7" xfId="0" applyNumberFormat="1" applyFont="1" applyFill="1" applyBorder="1" applyAlignment="1">
      <alignment horizontal="center" vertical="top"/>
    </xf>
    <xf numFmtId="49" fontId="8" fillId="3" borderId="12" xfId="0" applyNumberFormat="1" applyFont="1" applyFill="1" applyBorder="1" applyAlignment="1">
      <alignment horizontal="center" vertical="top"/>
    </xf>
    <xf numFmtId="49" fontId="8" fillId="3" borderId="19" xfId="0" applyNumberFormat="1" applyFont="1" applyFill="1" applyBorder="1" applyAlignment="1">
      <alignment horizontal="center" vertical="top"/>
    </xf>
    <xf numFmtId="49" fontId="8" fillId="0" borderId="7" xfId="0" applyNumberFormat="1" applyFont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top"/>
    </xf>
    <xf numFmtId="49" fontId="8" fillId="0" borderId="19" xfId="0" applyNumberFormat="1" applyFont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center" vertical="center" textRotation="90" wrapText="1"/>
    </xf>
    <xf numFmtId="0" fontId="9" fillId="0" borderId="28" xfId="0" applyFont="1" applyFill="1" applyBorder="1" applyAlignment="1">
      <alignment horizontal="center" vertical="center" textRotation="90" wrapText="1"/>
    </xf>
    <xf numFmtId="0" fontId="9" fillId="0" borderId="67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left" vertical="top" wrapText="1"/>
    </xf>
    <xf numFmtId="164" fontId="6" fillId="0" borderId="54" xfId="0" applyNumberFormat="1" applyFont="1" applyFill="1" applyBorder="1" applyAlignment="1">
      <alignment horizontal="left" vertical="top" wrapText="1"/>
    </xf>
    <xf numFmtId="164" fontId="6" fillId="0" borderId="28" xfId="0" applyNumberFormat="1" applyFont="1" applyFill="1" applyBorder="1" applyAlignment="1">
      <alignment horizontal="left" vertical="top" wrapText="1"/>
    </xf>
    <xf numFmtId="49" fontId="6" fillId="0" borderId="52" xfId="0" applyNumberFormat="1" applyFont="1" applyFill="1" applyBorder="1" applyAlignment="1">
      <alignment horizontal="center" vertical="top"/>
    </xf>
    <xf numFmtId="49" fontId="6" fillId="0" borderId="10" xfId="0" applyNumberFormat="1" applyFont="1" applyFill="1" applyBorder="1" applyAlignment="1">
      <alignment horizontal="center" vertical="top"/>
    </xf>
    <xf numFmtId="1" fontId="6" fillId="0" borderId="43" xfId="0" applyNumberFormat="1" applyFont="1" applyFill="1" applyBorder="1" applyAlignment="1">
      <alignment horizontal="center" vertical="top"/>
    </xf>
    <xf numFmtId="1" fontId="6" fillId="0" borderId="12" xfId="0" applyNumberFormat="1" applyFont="1" applyFill="1" applyBorder="1" applyAlignment="1">
      <alignment horizontal="center" vertical="top"/>
    </xf>
    <xf numFmtId="49" fontId="8" fillId="0" borderId="35" xfId="0" applyNumberFormat="1" applyFont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/>
    </xf>
    <xf numFmtId="49" fontId="8" fillId="0" borderId="31" xfId="0" applyNumberFormat="1" applyFont="1" applyBorder="1" applyAlignment="1">
      <alignment horizontal="center" vertical="top"/>
    </xf>
    <xf numFmtId="0" fontId="6" fillId="0" borderId="9" xfId="0" applyNumberFormat="1" applyFont="1" applyFill="1" applyBorder="1" applyAlignment="1">
      <alignment horizontal="left" vertical="top" wrapText="1"/>
    </xf>
    <xf numFmtId="0" fontId="6" fillId="0" borderId="15" xfId="0" applyNumberFormat="1" applyFont="1" applyFill="1" applyBorder="1" applyAlignment="1">
      <alignment horizontal="left" vertical="top" wrapText="1"/>
    </xf>
    <xf numFmtId="0" fontId="6" fillId="0" borderId="69" xfId="0" applyNumberFormat="1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left" vertical="top" wrapText="1"/>
    </xf>
    <xf numFmtId="0" fontId="1" fillId="4" borderId="28" xfId="0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 wrapText="1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2" borderId="1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19" xfId="0" applyNumberFormat="1" applyFont="1" applyFill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9" xfId="0" applyFont="1" applyBorder="1" applyAlignment="1">
      <alignment horizontal="left" vertical="top" wrapText="1"/>
    </xf>
    <xf numFmtId="49" fontId="8" fillId="0" borderId="35" xfId="0" applyNumberFormat="1" applyFont="1" applyBorder="1" applyAlignment="1">
      <alignment horizontal="center" vertical="top" wrapText="1"/>
    </xf>
    <xf numFmtId="49" fontId="8" fillId="0" borderId="34" xfId="0" applyNumberFormat="1" applyFont="1" applyBorder="1" applyAlignment="1">
      <alignment horizontal="center" vertical="top" wrapText="1"/>
    </xf>
    <xf numFmtId="49" fontId="8" fillId="0" borderId="31" xfId="0" applyNumberFormat="1" applyFont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horizontal="center" vertical="top" wrapText="1"/>
    </xf>
    <xf numFmtId="49" fontId="9" fillId="0" borderId="52" xfId="0" applyNumberFormat="1" applyFont="1" applyBorder="1" applyAlignment="1">
      <alignment horizontal="center" vertical="center" textRotation="90"/>
    </xf>
    <xf numFmtId="49" fontId="9" fillId="0" borderId="10" xfId="0" applyNumberFormat="1" applyFont="1" applyBorder="1" applyAlignment="1">
      <alignment horizontal="center" vertical="center" textRotation="90"/>
    </xf>
    <xf numFmtId="49" fontId="9" fillId="0" borderId="38" xfId="0" applyNumberFormat="1" applyFont="1" applyBorder="1" applyAlignment="1">
      <alignment horizontal="center" vertical="center" textRotation="90"/>
    </xf>
    <xf numFmtId="0" fontId="6" fillId="7" borderId="25" xfId="0" applyFont="1" applyFill="1" applyBorder="1" applyAlignment="1">
      <alignment horizontal="left" vertical="top" wrapText="1"/>
    </xf>
    <xf numFmtId="0" fontId="6" fillId="7" borderId="26" xfId="0" applyFont="1" applyFill="1" applyBorder="1" applyAlignment="1">
      <alignment horizontal="left" vertical="top" wrapText="1"/>
    </xf>
    <xf numFmtId="49" fontId="9" fillId="3" borderId="27" xfId="0" applyNumberFormat="1" applyFont="1" applyFill="1" applyBorder="1" applyAlignment="1">
      <alignment horizontal="left" vertical="top"/>
    </xf>
    <xf numFmtId="49" fontId="9" fillId="3" borderId="23" xfId="0" applyNumberFormat="1" applyFont="1" applyFill="1" applyBorder="1" applyAlignment="1">
      <alignment horizontal="left" vertical="top"/>
    </xf>
    <xf numFmtId="49" fontId="9" fillId="3" borderId="74" xfId="0" applyNumberFormat="1" applyFont="1" applyFill="1" applyBorder="1" applyAlignment="1">
      <alignment horizontal="left" vertical="top"/>
    </xf>
    <xf numFmtId="0" fontId="6" fillId="4" borderId="25" xfId="0" applyNumberFormat="1" applyFont="1" applyFill="1" applyBorder="1" applyAlignment="1">
      <alignment horizontal="left" vertical="top" wrapText="1"/>
    </xf>
    <xf numFmtId="0" fontId="6" fillId="4" borderId="15" xfId="0" applyNumberFormat="1" applyFont="1" applyFill="1" applyBorder="1" applyAlignment="1">
      <alignment horizontal="left" vertical="top" wrapText="1"/>
    </xf>
    <xf numFmtId="0" fontId="6" fillId="4" borderId="26" xfId="0" applyNumberFormat="1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6" fillId="7" borderId="24" xfId="0" applyFont="1" applyFill="1" applyBorder="1" applyAlignment="1">
      <alignment horizontal="left" vertical="top" wrapText="1"/>
    </xf>
    <xf numFmtId="0" fontId="6" fillId="7" borderId="28" xfId="0" applyFont="1" applyFill="1" applyBorder="1" applyAlignment="1">
      <alignment horizontal="left" vertical="top" wrapText="1"/>
    </xf>
    <xf numFmtId="0" fontId="6" fillId="7" borderId="67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textRotation="90" wrapText="1"/>
    </xf>
    <xf numFmtId="0" fontId="6" fillId="0" borderId="28" xfId="0" applyFont="1" applyFill="1" applyBorder="1" applyAlignment="1">
      <alignment horizontal="center" vertical="top" textRotation="90" wrapText="1"/>
    </xf>
    <xf numFmtId="0" fontId="6" fillId="0" borderId="67" xfId="0" applyFont="1" applyFill="1" applyBorder="1" applyAlignment="1">
      <alignment horizontal="center" vertical="top" textRotation="90" wrapText="1"/>
    </xf>
    <xf numFmtId="0" fontId="1" fillId="7" borderId="9" xfId="0" applyFont="1" applyFill="1" applyBorder="1" applyAlignment="1">
      <alignment horizontal="left" vertical="top" wrapText="1"/>
    </xf>
    <xf numFmtId="0" fontId="8" fillId="7" borderId="69" xfId="0" applyFont="1" applyFill="1" applyBorder="1" applyAlignment="1">
      <alignment horizontal="left" vertical="top" wrapText="1"/>
    </xf>
    <xf numFmtId="49" fontId="9" fillId="0" borderId="35" xfId="0" applyNumberFormat="1" applyFont="1" applyBorder="1" applyAlignment="1">
      <alignment horizontal="center" vertical="top"/>
    </xf>
    <xf numFmtId="49" fontId="9" fillId="0" borderId="34" xfId="0" applyNumberFormat="1" applyFont="1" applyBorder="1" applyAlignment="1">
      <alignment horizontal="center" vertical="top"/>
    </xf>
    <xf numFmtId="49" fontId="9" fillId="0" borderId="31" xfId="0" applyNumberFormat="1" applyFont="1" applyBorder="1" applyAlignment="1">
      <alignment horizontal="center" vertical="top"/>
    </xf>
    <xf numFmtId="0" fontId="6" fillId="4" borderId="43" xfId="0" applyNumberFormat="1" applyFont="1" applyFill="1" applyBorder="1" applyAlignment="1">
      <alignment horizontal="center" vertical="top" wrapText="1"/>
    </xf>
    <xf numFmtId="0" fontId="6" fillId="4" borderId="12" xfId="0" applyNumberFormat="1" applyFont="1" applyFill="1" applyBorder="1" applyAlignment="1">
      <alignment horizontal="center" vertical="top" wrapText="1"/>
    </xf>
    <xf numFmtId="0" fontId="6" fillId="4" borderId="19" xfId="0" applyNumberFormat="1" applyFont="1" applyFill="1" applyBorder="1" applyAlignment="1">
      <alignment horizontal="center" vertical="top" wrapText="1"/>
    </xf>
    <xf numFmtId="0" fontId="6" fillId="4" borderId="37" xfId="0" applyNumberFormat="1" applyFont="1" applyFill="1" applyBorder="1" applyAlignment="1">
      <alignment horizontal="center" vertical="top" wrapText="1"/>
    </xf>
    <xf numFmtId="0" fontId="6" fillId="4" borderId="21" xfId="0" applyNumberFormat="1" applyFont="1" applyFill="1" applyBorder="1" applyAlignment="1">
      <alignment horizontal="center" vertical="top" wrapText="1"/>
    </xf>
    <xf numFmtId="0" fontId="6" fillId="4" borderId="44" xfId="0" applyNumberFormat="1" applyFont="1" applyFill="1" applyBorder="1" applyAlignment="1">
      <alignment horizontal="center" vertical="top" wrapText="1"/>
    </xf>
    <xf numFmtId="0" fontId="1" fillId="7" borderId="26" xfId="0" applyFont="1" applyFill="1" applyBorder="1" applyAlignment="1">
      <alignment horizontal="left" vertical="top" wrapText="1"/>
    </xf>
    <xf numFmtId="0" fontId="6" fillId="0" borderId="4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51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43" xfId="0" applyFont="1" applyFill="1" applyBorder="1" applyAlignment="1">
      <alignment horizontal="left" vertical="top" wrapText="1"/>
    </xf>
    <xf numFmtId="0" fontId="6" fillId="0" borderId="55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5" borderId="30" xfId="0" applyFont="1" applyFill="1" applyBorder="1" applyAlignment="1">
      <alignment horizontal="left" vertical="top" wrapText="1"/>
    </xf>
    <xf numFmtId="0" fontId="6" fillId="4" borderId="38" xfId="0" applyFont="1" applyFill="1" applyBorder="1" applyAlignment="1">
      <alignment horizontal="left" vertical="top" wrapText="1"/>
    </xf>
    <xf numFmtId="0" fontId="6" fillId="4" borderId="39" xfId="0" applyFont="1" applyFill="1" applyBorder="1" applyAlignment="1">
      <alignment horizontal="left" vertical="top" wrapText="1"/>
    </xf>
    <xf numFmtId="0" fontId="6" fillId="4" borderId="36" xfId="0" applyFont="1" applyFill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52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55" xfId="0" applyFont="1" applyBorder="1" applyAlignment="1">
      <alignment horizontal="left" vertical="top" wrapText="1"/>
    </xf>
    <xf numFmtId="0" fontId="6" fillId="0" borderId="40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6" fillId="0" borderId="66" xfId="0" applyFont="1" applyFill="1" applyBorder="1" applyAlignment="1">
      <alignment horizontal="left" vertical="top" wrapText="1"/>
    </xf>
    <xf numFmtId="0" fontId="9" fillId="8" borderId="41" xfId="0" applyFont="1" applyFill="1" applyBorder="1" applyAlignment="1">
      <alignment horizontal="center" vertical="top" wrapText="1"/>
    </xf>
    <xf numFmtId="0" fontId="9" fillId="8" borderId="66" xfId="0" applyFont="1" applyFill="1" applyBorder="1" applyAlignment="1">
      <alignment horizontal="center" vertical="top" wrapText="1"/>
    </xf>
    <xf numFmtId="49" fontId="9" fillId="0" borderId="55" xfId="0" applyNumberFormat="1" applyFont="1" applyBorder="1" applyAlignment="1">
      <alignment horizontal="center" vertical="top"/>
    </xf>
    <xf numFmtId="49" fontId="9" fillId="0" borderId="36" xfId="0" applyNumberFormat="1" applyFont="1" applyBorder="1" applyAlignment="1">
      <alignment horizontal="center" vertical="top"/>
    </xf>
    <xf numFmtId="0" fontId="6" fillId="0" borderId="54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79" xfId="0" applyFont="1" applyFill="1" applyBorder="1" applyAlignment="1">
      <alignment horizontal="left" vertical="top" wrapText="1"/>
    </xf>
    <xf numFmtId="0" fontId="9" fillId="8" borderId="3" xfId="0" applyFont="1" applyFill="1" applyBorder="1" applyAlignment="1">
      <alignment horizontal="right" vertical="top" wrapText="1"/>
    </xf>
    <xf numFmtId="0" fontId="9" fillId="8" borderId="4" xfId="0" applyFont="1" applyFill="1" applyBorder="1" applyAlignment="1">
      <alignment horizontal="right" vertical="top" wrapText="1"/>
    </xf>
    <xf numFmtId="0" fontId="9" fillId="8" borderId="30" xfId="0" applyFont="1" applyFill="1" applyBorder="1" applyAlignment="1">
      <alignment horizontal="right" vertical="top" wrapText="1"/>
    </xf>
    <xf numFmtId="0" fontId="6" fillId="4" borderId="15" xfId="0" applyNumberFormat="1" applyFont="1" applyFill="1" applyBorder="1" applyAlignment="1">
      <alignment horizontal="center" vertical="top" wrapText="1"/>
    </xf>
    <xf numFmtId="0" fontId="6" fillId="4" borderId="69" xfId="0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center" wrapText="1"/>
    </xf>
    <xf numFmtId="165" fontId="8" fillId="4" borderId="0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right" vertical="top"/>
    </xf>
    <xf numFmtId="164" fontId="6" fillId="2" borderId="27" xfId="0" applyNumberFormat="1" applyFont="1" applyFill="1" applyBorder="1" applyAlignment="1">
      <alignment horizontal="center" vertical="top"/>
    </xf>
    <xf numFmtId="164" fontId="6" fillId="2" borderId="23" xfId="0" applyNumberFormat="1" applyFont="1" applyFill="1" applyBorder="1" applyAlignment="1">
      <alignment horizontal="center" vertical="top"/>
    </xf>
    <xf numFmtId="164" fontId="6" fillId="2" borderId="74" xfId="0" applyNumberFormat="1" applyFont="1" applyFill="1" applyBorder="1" applyAlignment="1">
      <alignment horizontal="center" vertical="top"/>
    </xf>
    <xf numFmtId="2" fontId="9" fillId="5" borderId="29" xfId="0" applyNumberFormat="1" applyFont="1" applyFill="1" applyBorder="1" applyAlignment="1">
      <alignment horizontal="right" vertical="center"/>
    </xf>
    <xf numFmtId="2" fontId="9" fillId="5" borderId="23" xfId="0" applyNumberFormat="1" applyFont="1" applyFill="1" applyBorder="1" applyAlignment="1">
      <alignment horizontal="right" vertical="center"/>
    </xf>
    <xf numFmtId="164" fontId="6" fillId="5" borderId="27" xfId="0" applyNumberFormat="1" applyFont="1" applyFill="1" applyBorder="1" applyAlignment="1">
      <alignment horizontal="center" vertical="center" wrapText="1"/>
    </xf>
    <xf numFmtId="164" fontId="6" fillId="5" borderId="23" xfId="0" applyNumberFormat="1" applyFont="1" applyFill="1" applyBorder="1" applyAlignment="1">
      <alignment horizontal="center" vertical="center" wrapText="1"/>
    </xf>
    <xf numFmtId="164" fontId="6" fillId="5" borderId="7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8" xfId="0" applyNumberFormat="1" applyFont="1" applyFill="1" applyBorder="1" applyAlignment="1">
      <alignment horizontal="center" vertical="top"/>
    </xf>
    <xf numFmtId="49" fontId="9" fillId="3" borderId="23" xfId="0" applyNumberFormat="1" applyFont="1" applyFill="1" applyBorder="1" applyAlignment="1">
      <alignment horizontal="right" vertical="top"/>
    </xf>
    <xf numFmtId="0" fontId="6" fillId="0" borderId="38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top" wrapText="1"/>
    </xf>
    <xf numFmtId="0" fontId="6" fillId="7" borderId="5" xfId="0" applyNumberFormat="1" applyFont="1" applyFill="1" applyBorder="1" applyAlignment="1">
      <alignment horizontal="center" vertical="top"/>
    </xf>
    <xf numFmtId="0" fontId="6" fillId="7" borderId="10" xfId="0" applyNumberFormat="1" applyFont="1" applyFill="1" applyBorder="1" applyAlignment="1">
      <alignment horizontal="center" vertical="top"/>
    </xf>
    <xf numFmtId="0" fontId="6" fillId="7" borderId="17" xfId="0" applyNumberFormat="1" applyFont="1" applyFill="1" applyBorder="1" applyAlignment="1">
      <alignment horizontal="center" vertical="top"/>
    </xf>
    <xf numFmtId="0" fontId="6" fillId="0" borderId="7" xfId="0" applyNumberFormat="1" applyFont="1" applyFill="1" applyBorder="1" applyAlignment="1">
      <alignment horizontal="center" vertical="top"/>
    </xf>
    <xf numFmtId="0" fontId="6" fillId="0" borderId="12" xfId="0" applyNumberFormat="1" applyFont="1" applyFill="1" applyBorder="1" applyAlignment="1">
      <alignment horizontal="center" vertical="top"/>
    </xf>
    <xf numFmtId="0" fontId="6" fillId="0" borderId="19" xfId="0" applyNumberFormat="1" applyFont="1" applyFill="1" applyBorder="1" applyAlignment="1">
      <alignment horizontal="center" vertical="top"/>
    </xf>
    <xf numFmtId="0" fontId="6" fillId="0" borderId="35" xfId="0" applyNumberFormat="1" applyFont="1" applyFill="1" applyBorder="1" applyAlignment="1">
      <alignment horizontal="center" vertical="top"/>
    </xf>
    <xf numFmtId="0" fontId="6" fillId="0" borderId="34" xfId="0" applyNumberFormat="1" applyFont="1" applyFill="1" applyBorder="1" applyAlignment="1">
      <alignment horizontal="center" vertical="top"/>
    </xf>
    <xf numFmtId="0" fontId="6" fillId="0" borderId="3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1" fontId="6" fillId="0" borderId="2" xfId="0" applyNumberFormat="1" applyFont="1" applyFill="1" applyBorder="1" applyAlignment="1">
      <alignment horizontal="center" vertical="top"/>
    </xf>
    <xf numFmtId="1" fontId="6" fillId="0" borderId="51" xfId="0" applyNumberFormat="1" applyFont="1" applyFill="1" applyBorder="1" applyAlignment="1">
      <alignment horizontal="center" vertical="top"/>
    </xf>
    <xf numFmtId="1" fontId="6" fillId="0" borderId="42" xfId="0" applyNumberFormat="1" applyFont="1" applyFill="1" applyBorder="1" applyAlignment="1">
      <alignment horizontal="center" vertical="top"/>
    </xf>
    <xf numFmtId="164" fontId="6" fillId="0" borderId="24" xfId="0" applyNumberFormat="1" applyFont="1" applyFill="1" applyBorder="1" applyAlignment="1">
      <alignment horizontal="left" vertical="top" wrapText="1"/>
    </xf>
    <xf numFmtId="164" fontId="6" fillId="0" borderId="79" xfId="0" applyNumberFormat="1" applyFont="1" applyFill="1" applyBorder="1" applyAlignment="1">
      <alignment horizontal="left" vertical="top" wrapText="1"/>
    </xf>
    <xf numFmtId="0" fontId="6" fillId="0" borderId="67" xfId="0" applyFont="1" applyFill="1" applyBorder="1" applyAlignment="1">
      <alignment horizontal="left" vertical="top" wrapText="1"/>
    </xf>
    <xf numFmtId="0" fontId="6" fillId="4" borderId="55" xfId="0" applyNumberFormat="1" applyFont="1" applyFill="1" applyBorder="1" applyAlignment="1">
      <alignment horizontal="center" vertical="top" wrapText="1"/>
    </xf>
    <xf numFmtId="0" fontId="6" fillId="4" borderId="34" xfId="0" applyNumberFormat="1" applyFont="1" applyFill="1" applyBorder="1" applyAlignment="1">
      <alignment horizontal="center" vertical="top" wrapText="1"/>
    </xf>
    <xf numFmtId="0" fontId="11" fillId="8" borderId="40" xfId="0" applyFont="1" applyFill="1" applyBorder="1" applyAlignment="1">
      <alignment horizontal="center" vertical="top" wrapText="1"/>
    </xf>
    <xf numFmtId="0" fontId="11" fillId="8" borderId="41" xfId="0" applyFont="1" applyFill="1" applyBorder="1" applyAlignment="1">
      <alignment horizontal="center" vertical="top" wrapText="1"/>
    </xf>
    <xf numFmtId="0" fontId="11" fillId="8" borderId="66" xfId="0" applyFont="1" applyFill="1" applyBorder="1" applyAlignment="1">
      <alignment horizontal="center" vertical="top" wrapText="1"/>
    </xf>
    <xf numFmtId="49" fontId="9" fillId="3" borderId="74" xfId="0" applyNumberFormat="1" applyFont="1" applyFill="1" applyBorder="1" applyAlignment="1">
      <alignment horizontal="right" vertical="top"/>
    </xf>
    <xf numFmtId="164" fontId="6" fillId="3" borderId="27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164" fontId="6" fillId="3" borderId="74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top"/>
    </xf>
    <xf numFmtId="0" fontId="8" fillId="3" borderId="74" xfId="0" applyFont="1" applyFill="1" applyBorder="1" applyAlignment="1">
      <alignment horizontal="left" vertical="top"/>
    </xf>
    <xf numFmtId="0" fontId="1" fillId="4" borderId="26" xfId="0" applyFont="1" applyFill="1" applyBorder="1" applyAlignment="1">
      <alignment horizontal="left" vertical="top" wrapText="1"/>
    </xf>
    <xf numFmtId="0" fontId="6" fillId="4" borderId="79" xfId="0" applyNumberFormat="1" applyFont="1" applyFill="1" applyBorder="1" applyAlignment="1">
      <alignment horizontal="left" vertical="top" wrapText="1"/>
    </xf>
    <xf numFmtId="0" fontId="1" fillId="4" borderId="25" xfId="0" applyFont="1" applyFill="1" applyBorder="1" applyAlignment="1">
      <alignment horizontal="left" vertical="top" wrapText="1"/>
    </xf>
    <xf numFmtId="49" fontId="9" fillId="4" borderId="12" xfId="0" applyNumberFormat="1" applyFont="1" applyFill="1" applyBorder="1" applyAlignment="1">
      <alignment horizontal="center" vertical="top"/>
    </xf>
    <xf numFmtId="49" fontId="9" fillId="4" borderId="39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left" vertical="top" wrapText="1"/>
    </xf>
    <xf numFmtId="1" fontId="2" fillId="0" borderId="31" xfId="0" applyNumberFormat="1" applyFont="1" applyBorder="1" applyAlignment="1">
      <alignment horizontal="center" vertical="top"/>
    </xf>
    <xf numFmtId="1" fontId="6" fillId="0" borderId="45" xfId="0" applyNumberFormat="1" applyFont="1" applyFill="1" applyBorder="1" applyAlignment="1">
      <alignment horizontal="center" vertical="top"/>
    </xf>
    <xf numFmtId="1" fontId="6" fillId="0" borderId="59" xfId="0" applyNumberFormat="1" applyFont="1" applyFill="1" applyBorder="1" applyAlignment="1">
      <alignment horizontal="center" vertical="top"/>
    </xf>
    <xf numFmtId="3" fontId="1" fillId="4" borderId="7" xfId="0" applyNumberFormat="1" applyFont="1" applyFill="1" applyBorder="1" applyAlignment="1">
      <alignment horizontal="center" vertical="top"/>
    </xf>
    <xf numFmtId="3" fontId="1" fillId="4" borderId="12" xfId="0" applyNumberFormat="1" applyFont="1" applyFill="1" applyBorder="1" applyAlignment="1">
      <alignment horizontal="center" vertical="top"/>
    </xf>
    <xf numFmtId="0" fontId="15" fillId="0" borderId="12" xfId="0" applyFont="1" applyBorder="1" applyAlignment="1">
      <alignment horizontal="center" vertical="top"/>
    </xf>
    <xf numFmtId="3" fontId="1" fillId="4" borderId="35" xfId="0" applyNumberFormat="1" applyFont="1" applyFill="1" applyBorder="1" applyAlignment="1">
      <alignment horizontal="center" vertical="top"/>
    </xf>
    <xf numFmtId="3" fontId="1" fillId="4" borderId="34" xfId="0" applyNumberFormat="1" applyFont="1" applyFill="1" applyBorder="1" applyAlignment="1">
      <alignment horizontal="center" vertical="top"/>
    </xf>
    <xf numFmtId="164" fontId="6" fillId="0" borderId="25" xfId="0" applyNumberFormat="1" applyFont="1" applyFill="1" applyBorder="1" applyAlignment="1">
      <alignment horizontal="left" vertical="top" wrapText="1"/>
    </xf>
    <xf numFmtId="0" fontId="6" fillId="0" borderId="25" xfId="0" applyNumberFormat="1" applyFont="1" applyFill="1" applyBorder="1" applyAlignment="1">
      <alignment horizontal="left" vertical="top" wrapText="1"/>
    </xf>
    <xf numFmtId="0" fontId="1" fillId="4" borderId="54" xfId="0" applyNumberFormat="1" applyFont="1" applyFill="1" applyBorder="1" applyAlignment="1">
      <alignment horizontal="center" vertical="top" wrapText="1"/>
    </xf>
    <xf numFmtId="0" fontId="1" fillId="4" borderId="28" xfId="0" applyNumberFormat="1" applyFont="1" applyFill="1" applyBorder="1" applyAlignment="1">
      <alignment horizontal="center" vertical="top" wrapText="1"/>
    </xf>
    <xf numFmtId="0" fontId="1" fillId="4" borderId="67" xfId="0" applyNumberFormat="1" applyFont="1" applyFill="1" applyBorder="1" applyAlignment="1">
      <alignment horizontal="center" vertical="top" wrapText="1"/>
    </xf>
    <xf numFmtId="0" fontId="8" fillId="0" borderId="34" xfId="0" applyNumberFormat="1" applyFont="1" applyBorder="1" applyAlignment="1">
      <alignment horizontal="center" vertical="top"/>
    </xf>
    <xf numFmtId="3" fontId="1" fillId="4" borderId="5" xfId="0" applyNumberFormat="1" applyFont="1" applyFill="1" applyBorder="1" applyAlignment="1">
      <alignment horizontal="center" vertical="top"/>
    </xf>
    <xf numFmtId="3" fontId="1" fillId="4" borderId="10" xfId="0" applyNumberFormat="1" applyFont="1" applyFill="1" applyBorder="1" applyAlignment="1">
      <alignment horizontal="center" vertical="top"/>
    </xf>
    <xf numFmtId="0" fontId="9" fillId="3" borderId="23" xfId="0" applyFont="1" applyFill="1" applyBorder="1" applyAlignment="1">
      <alignment horizontal="left" vertical="top"/>
    </xf>
    <xf numFmtId="0" fontId="9" fillId="3" borderId="74" xfId="0" applyFont="1" applyFill="1" applyBorder="1" applyAlignment="1">
      <alignment horizontal="left" vertical="top"/>
    </xf>
    <xf numFmtId="49" fontId="9" fillId="8" borderId="40" xfId="0" applyNumberFormat="1" applyFont="1" applyFill="1" applyBorder="1" applyAlignment="1">
      <alignment horizontal="center" vertical="top"/>
    </xf>
    <xf numFmtId="49" fontId="9" fillId="8" borderId="41" xfId="0" applyNumberFormat="1" applyFont="1" applyFill="1" applyBorder="1" applyAlignment="1">
      <alignment horizontal="center" vertical="top"/>
    </xf>
    <xf numFmtId="49" fontId="9" fillId="8" borderId="66" xfId="0" applyNumberFormat="1" applyFont="1" applyFill="1" applyBorder="1" applyAlignment="1">
      <alignment horizontal="center" vertical="top"/>
    </xf>
    <xf numFmtId="0" fontId="1" fillId="7" borderId="69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1" fillId="4" borderId="54" xfId="0" applyNumberFormat="1" applyFont="1" applyFill="1" applyBorder="1" applyAlignment="1">
      <alignment horizontal="left" vertical="top" wrapText="1"/>
    </xf>
    <xf numFmtId="0" fontId="1" fillId="4" borderId="28" xfId="0" applyNumberFormat="1" applyFont="1" applyFill="1" applyBorder="1" applyAlignment="1">
      <alignment horizontal="left" vertical="top" wrapText="1"/>
    </xf>
    <xf numFmtId="0" fontId="1" fillId="4" borderId="67" xfId="0" applyNumberFormat="1" applyFont="1" applyFill="1" applyBorder="1" applyAlignment="1">
      <alignment horizontal="left" vertical="top" wrapText="1"/>
    </xf>
    <xf numFmtId="49" fontId="9" fillId="3" borderId="27" xfId="0" applyNumberFormat="1" applyFont="1" applyFill="1" applyBorder="1" applyAlignment="1">
      <alignment horizontal="right" vertical="top"/>
    </xf>
    <xf numFmtId="0" fontId="9" fillId="0" borderId="9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6" fillId="0" borderId="56" xfId="0" applyFont="1" applyFill="1" applyBorder="1" applyAlignment="1">
      <alignment horizontal="left" vertical="top" wrapText="1"/>
    </xf>
    <xf numFmtId="0" fontId="6" fillId="0" borderId="68" xfId="0" applyFont="1" applyFill="1" applyBorder="1" applyAlignment="1">
      <alignment horizontal="left" vertical="top" wrapText="1"/>
    </xf>
    <xf numFmtId="0" fontId="6" fillId="0" borderId="75" xfId="0" applyFont="1" applyFill="1" applyBorder="1" applyAlignment="1">
      <alignment horizontal="left" vertical="top" wrapText="1"/>
    </xf>
    <xf numFmtId="0" fontId="9" fillId="8" borderId="17" xfId="0" applyFont="1" applyFill="1" applyBorder="1" applyAlignment="1">
      <alignment horizontal="right" vertical="top" wrapText="1"/>
    </xf>
    <xf numFmtId="0" fontId="9" fillId="8" borderId="19" xfId="0" applyFont="1" applyFill="1" applyBorder="1" applyAlignment="1">
      <alignment horizontal="right" vertical="top" wrapText="1"/>
    </xf>
    <xf numFmtId="0" fontId="9" fillId="8" borderId="31" xfId="0" applyFont="1" applyFill="1" applyBorder="1" applyAlignment="1">
      <alignment horizontal="right" vertical="top" wrapText="1"/>
    </xf>
    <xf numFmtId="3" fontId="6" fillId="0" borderId="7" xfId="0" applyNumberFormat="1" applyFont="1" applyBorder="1" applyAlignment="1">
      <alignment horizontal="center" vertical="center" textRotation="90" wrapText="1"/>
    </xf>
    <xf numFmtId="3" fontId="6" fillId="0" borderId="12" xfId="0" applyNumberFormat="1" applyFont="1" applyBorder="1" applyAlignment="1">
      <alignment horizontal="center" vertical="center" textRotation="90" wrapText="1"/>
    </xf>
    <xf numFmtId="3" fontId="6" fillId="0" borderId="19" xfId="0" applyNumberFormat="1" applyFont="1" applyBorder="1" applyAlignment="1">
      <alignment horizontal="center" vertical="center" textRotation="90" wrapText="1"/>
    </xf>
    <xf numFmtId="3" fontId="6" fillId="0" borderId="22" xfId="0" applyNumberFormat="1" applyFont="1" applyBorder="1" applyAlignment="1">
      <alignment horizontal="center" vertical="center" textRotation="90" wrapText="1"/>
    </xf>
    <xf numFmtId="3" fontId="6" fillId="0" borderId="21" xfId="0" applyNumberFormat="1" applyFont="1" applyBorder="1" applyAlignment="1">
      <alignment horizontal="center" vertical="center" textRotation="90" wrapText="1"/>
    </xf>
    <xf numFmtId="3" fontId="6" fillId="0" borderId="44" xfId="0" applyNumberFormat="1" applyFont="1" applyBorder="1" applyAlignment="1">
      <alignment horizontal="center" vertical="center" textRotation="90" wrapText="1"/>
    </xf>
    <xf numFmtId="0" fontId="9" fillId="5" borderId="10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9" fillId="5" borderId="34" xfId="0" applyFont="1" applyFill="1" applyBorder="1" applyAlignment="1">
      <alignment horizontal="left" vertical="top" wrapText="1"/>
    </xf>
    <xf numFmtId="0" fontId="6" fillId="4" borderId="45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51" xfId="0" applyFont="1" applyFill="1" applyBorder="1" applyAlignment="1">
      <alignment horizontal="left" vertical="top" wrapText="1"/>
    </xf>
    <xf numFmtId="0" fontId="9" fillId="5" borderId="52" xfId="0" applyFont="1" applyFill="1" applyBorder="1" applyAlignment="1">
      <alignment horizontal="left" vertical="top" wrapText="1"/>
    </xf>
    <xf numFmtId="0" fontId="9" fillId="5" borderId="43" xfId="0" applyFont="1" applyFill="1" applyBorder="1" applyAlignment="1">
      <alignment horizontal="left" vertical="top" wrapText="1"/>
    </xf>
    <xf numFmtId="0" fontId="9" fillId="5" borderId="55" xfId="0" applyFont="1" applyFill="1" applyBorder="1" applyAlignment="1">
      <alignment horizontal="left" vertical="top" wrapText="1"/>
    </xf>
    <xf numFmtId="49" fontId="9" fillId="3" borderId="27" xfId="0" applyNumberFormat="1" applyFont="1" applyFill="1" applyBorder="1" applyAlignment="1">
      <alignment horizontal="left" vertical="top" wrapText="1"/>
    </xf>
    <xf numFmtId="49" fontId="9" fillId="3" borderId="23" xfId="0" applyNumberFormat="1" applyFont="1" applyFill="1" applyBorder="1" applyAlignment="1">
      <alignment horizontal="left" vertical="top" wrapText="1"/>
    </xf>
    <xf numFmtId="49" fontId="9" fillId="3" borderId="74" xfId="0" applyNumberFormat="1" applyFont="1" applyFill="1" applyBorder="1" applyAlignment="1">
      <alignment horizontal="left" vertical="top" wrapText="1"/>
    </xf>
    <xf numFmtId="0" fontId="16" fillId="7" borderId="25" xfId="0" applyFont="1" applyFill="1" applyBorder="1" applyAlignment="1">
      <alignment horizontal="left" vertical="top" wrapText="1"/>
    </xf>
    <xf numFmtId="0" fontId="16" fillId="7" borderId="15" xfId="0" applyFont="1" applyFill="1" applyBorder="1" applyAlignment="1">
      <alignment horizontal="left" vertical="top" wrapText="1"/>
    </xf>
    <xf numFmtId="0" fontId="16" fillId="7" borderId="69" xfId="0" applyFont="1" applyFill="1" applyBorder="1" applyAlignment="1">
      <alignment horizontal="left" vertical="top" wrapText="1"/>
    </xf>
    <xf numFmtId="0" fontId="16" fillId="4" borderId="15" xfId="0" applyFont="1" applyFill="1" applyBorder="1" applyAlignment="1">
      <alignment horizontal="left" vertical="top" wrapText="1"/>
    </xf>
    <xf numFmtId="0" fontId="16" fillId="4" borderId="26" xfId="0" applyFont="1" applyFill="1" applyBorder="1" applyAlignment="1">
      <alignment horizontal="left" vertical="top" wrapText="1"/>
    </xf>
    <xf numFmtId="0" fontId="16" fillId="7" borderId="9" xfId="0" applyFont="1" applyFill="1" applyBorder="1" applyAlignment="1">
      <alignment horizontal="left" vertical="top" wrapText="1"/>
    </xf>
    <xf numFmtId="0" fontId="17" fillId="7" borderId="69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right"/>
    </xf>
    <xf numFmtId="0" fontId="12" fillId="5" borderId="54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/>
    </xf>
    <xf numFmtId="0" fontId="9" fillId="2" borderId="68" xfId="0" applyFont="1" applyFill="1" applyBorder="1" applyAlignment="1">
      <alignment horizontal="left" vertical="top"/>
    </xf>
    <xf numFmtId="0" fontId="9" fillId="2" borderId="75" xfId="0" applyFont="1" applyFill="1" applyBorder="1" applyAlignment="1">
      <alignment horizontal="left" vertical="top"/>
    </xf>
    <xf numFmtId="0" fontId="9" fillId="3" borderId="41" xfId="0" applyFont="1" applyFill="1" applyBorder="1" applyAlignment="1">
      <alignment horizontal="left" vertical="top" wrapText="1"/>
    </xf>
    <xf numFmtId="0" fontId="9" fillId="3" borderId="66" xfId="0" applyFont="1" applyFill="1" applyBorder="1" applyAlignment="1">
      <alignment horizontal="left" vertical="top" wrapText="1"/>
    </xf>
    <xf numFmtId="3" fontId="6" fillId="0" borderId="24" xfId="0" applyNumberFormat="1" applyFont="1" applyBorder="1" applyAlignment="1">
      <alignment horizontal="center" vertical="center" textRotation="90" wrapText="1"/>
    </xf>
    <xf numFmtId="3" fontId="6" fillId="0" borderId="28" xfId="0" applyNumberFormat="1" applyFont="1" applyBorder="1" applyAlignment="1">
      <alignment horizontal="center" vertical="center" textRotation="90" wrapText="1"/>
    </xf>
    <xf numFmtId="3" fontId="6" fillId="0" borderId="67" xfId="0" applyNumberFormat="1" applyFont="1" applyBorder="1" applyAlignment="1">
      <alignment horizontal="center" vertical="center" textRotation="90" wrapText="1"/>
    </xf>
    <xf numFmtId="3" fontId="3" fillId="0" borderId="0" xfId="0" applyNumberFormat="1" applyFont="1" applyAlignment="1">
      <alignment horizontal="right" vertical="top"/>
    </xf>
    <xf numFmtId="0" fontId="13" fillId="7" borderId="9" xfId="0" applyFont="1" applyFill="1" applyBorder="1" applyAlignment="1">
      <alignment horizontal="left" vertical="top" wrapText="1"/>
    </xf>
    <xf numFmtId="0" fontId="13" fillId="7" borderId="15" xfId="0" applyFont="1" applyFill="1" applyBorder="1" applyAlignment="1">
      <alignment horizontal="left" vertical="top" wrapText="1"/>
    </xf>
    <xf numFmtId="0" fontId="13" fillId="7" borderId="69" xfId="0" applyFont="1" applyFill="1" applyBorder="1" applyAlignment="1">
      <alignment horizontal="left" vertical="top" wrapText="1"/>
    </xf>
  </cellXfs>
  <cellStyles count="3">
    <cellStyle name="Įprastas" xfId="0" builtinId="0"/>
    <cellStyle name="Įprastas 2" xfId="1"/>
    <cellStyle name="Įprastas 3" xfId="2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B1"/>
    </sheetView>
  </sheetViews>
  <sheetFormatPr defaultRowHeight="15.75" x14ac:dyDescent="0.25"/>
  <cols>
    <col min="1" max="1" width="22.7109375" style="1" customWidth="1"/>
    <col min="2" max="2" width="60.7109375" style="1" customWidth="1"/>
    <col min="3" max="16384" width="9.140625" style="1"/>
  </cols>
  <sheetData>
    <row r="1" spans="1:2" x14ac:dyDescent="0.25">
      <c r="A1" s="818" t="s">
        <v>74</v>
      </c>
      <c r="B1" s="818"/>
    </row>
    <row r="2" spans="1:2" ht="31.5" x14ac:dyDescent="0.25">
      <c r="A2" s="2" t="s">
        <v>5</v>
      </c>
      <c r="B2" s="3" t="s">
        <v>75</v>
      </c>
    </row>
    <row r="3" spans="1:2" x14ac:dyDescent="0.25">
      <c r="A3" s="2">
        <v>1</v>
      </c>
      <c r="B3" s="3" t="s">
        <v>76</v>
      </c>
    </row>
    <row r="4" spans="1:2" x14ac:dyDescent="0.25">
      <c r="A4" s="2">
        <v>2</v>
      </c>
      <c r="B4" s="3" t="s">
        <v>77</v>
      </c>
    </row>
    <row r="5" spans="1:2" x14ac:dyDescent="0.25">
      <c r="A5" s="2">
        <v>3</v>
      </c>
      <c r="B5" s="3" t="s">
        <v>78</v>
      </c>
    </row>
    <row r="6" spans="1:2" x14ac:dyDescent="0.25">
      <c r="A6" s="2">
        <v>4</v>
      </c>
      <c r="B6" s="3" t="s">
        <v>79</v>
      </c>
    </row>
    <row r="7" spans="1:2" x14ac:dyDescent="0.25">
      <c r="A7" s="2">
        <v>5</v>
      </c>
      <c r="B7" s="3" t="s">
        <v>80</v>
      </c>
    </row>
    <row r="8" spans="1:2" x14ac:dyDescent="0.25">
      <c r="A8" s="2">
        <v>6</v>
      </c>
      <c r="B8" s="3" t="s">
        <v>81</v>
      </c>
    </row>
    <row r="9" spans="1:2" ht="15.75" customHeight="1" x14ac:dyDescent="0.25"/>
    <row r="10" spans="1:2" ht="15.75" customHeight="1" x14ac:dyDescent="0.25">
      <c r="A10" s="819" t="s">
        <v>82</v>
      </c>
      <c r="B10" s="819"/>
    </row>
  </sheetData>
  <mergeCells count="2">
    <mergeCell ref="A1:B1"/>
    <mergeCell ref="A10:B10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4"/>
  <sheetViews>
    <sheetView tabSelected="1" zoomScaleNormal="100" zoomScaleSheetLayoutView="100" workbookViewId="0">
      <selection activeCell="V25" sqref="V25"/>
    </sheetView>
  </sheetViews>
  <sheetFormatPr defaultRowHeight="12.75" x14ac:dyDescent="0.2"/>
  <cols>
    <col min="1" max="1" width="2.7109375" style="10" customWidth="1"/>
    <col min="2" max="2" width="2.7109375" style="52" customWidth="1"/>
    <col min="3" max="3" width="2.85546875" style="10" customWidth="1"/>
    <col min="4" max="4" width="29.7109375" style="10" customWidth="1"/>
    <col min="5" max="5" width="3.7109375" style="52" customWidth="1"/>
    <col min="6" max="6" width="2.7109375" style="53" customWidth="1"/>
    <col min="7" max="7" width="9.42578125" style="52" customWidth="1"/>
    <col min="8" max="8" width="10.140625" style="465" customWidth="1"/>
    <col min="9" max="9" width="10.5703125" style="466" customWidth="1"/>
    <col min="10" max="10" width="10" style="466" customWidth="1"/>
    <col min="11" max="11" width="26.7109375" style="467" customWidth="1"/>
    <col min="12" max="12" width="5.7109375" style="52" customWidth="1"/>
    <col min="13" max="13" width="5.28515625" style="52" customWidth="1"/>
    <col min="14" max="14" width="5.28515625" style="468" customWidth="1"/>
    <col min="15" max="15" width="9.140625" style="10"/>
    <col min="16" max="16" width="9.140625" style="466"/>
    <col min="17" max="16384" width="9.140625" style="10"/>
  </cols>
  <sheetData>
    <row r="1" spans="1:19" x14ac:dyDescent="0.2">
      <c r="A1" s="820" t="s">
        <v>185</v>
      </c>
      <c r="B1" s="820"/>
      <c r="C1" s="820"/>
      <c r="D1" s="820"/>
      <c r="E1" s="820"/>
      <c r="F1" s="820"/>
      <c r="G1" s="820"/>
      <c r="H1" s="820"/>
      <c r="I1" s="820"/>
      <c r="J1" s="820"/>
      <c r="K1" s="820"/>
      <c r="L1" s="820"/>
      <c r="M1" s="820"/>
      <c r="N1" s="820"/>
    </row>
    <row r="2" spans="1:19" s="11" customFormat="1" x14ac:dyDescent="0.25">
      <c r="A2" s="821" t="s">
        <v>72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1"/>
      <c r="P2" s="568"/>
    </row>
    <row r="3" spans="1:19" s="11" customFormat="1" x14ac:dyDescent="0.25">
      <c r="A3" s="822" t="s">
        <v>129</v>
      </c>
      <c r="B3" s="822"/>
      <c r="C3" s="822"/>
      <c r="D3" s="822"/>
      <c r="E3" s="822"/>
      <c r="F3" s="822"/>
      <c r="G3" s="822"/>
      <c r="H3" s="822"/>
      <c r="I3" s="822"/>
      <c r="J3" s="822"/>
      <c r="K3" s="822"/>
      <c r="L3" s="822"/>
      <c r="M3" s="822"/>
      <c r="N3" s="822"/>
      <c r="P3" s="568"/>
    </row>
    <row r="4" spans="1:19" s="11" customFormat="1" ht="13.5" thickBot="1" x14ac:dyDescent="0.3">
      <c r="A4" s="823" t="s">
        <v>176</v>
      </c>
      <c r="B4" s="823"/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823"/>
      <c r="P4" s="568"/>
    </row>
    <row r="5" spans="1:19" s="12" customFormat="1" ht="12.75" customHeight="1" x14ac:dyDescent="0.25">
      <c r="A5" s="824" t="s">
        <v>0</v>
      </c>
      <c r="B5" s="827" t="s">
        <v>1</v>
      </c>
      <c r="C5" s="830" t="s">
        <v>2</v>
      </c>
      <c r="D5" s="833" t="s">
        <v>3</v>
      </c>
      <c r="E5" s="836" t="s">
        <v>4</v>
      </c>
      <c r="F5" s="877" t="s">
        <v>5</v>
      </c>
      <c r="G5" s="880" t="s">
        <v>6</v>
      </c>
      <c r="H5" s="839" t="s">
        <v>131</v>
      </c>
      <c r="I5" s="871" t="s">
        <v>157</v>
      </c>
      <c r="J5" s="871" t="s">
        <v>158</v>
      </c>
      <c r="K5" s="874" t="s">
        <v>130</v>
      </c>
      <c r="L5" s="875"/>
      <c r="M5" s="875"/>
      <c r="N5" s="876"/>
      <c r="P5" s="194"/>
    </row>
    <row r="6" spans="1:19" s="12" customFormat="1" ht="12" customHeight="1" x14ac:dyDescent="0.25">
      <c r="A6" s="825"/>
      <c r="B6" s="828"/>
      <c r="C6" s="831"/>
      <c r="D6" s="834"/>
      <c r="E6" s="837"/>
      <c r="F6" s="878"/>
      <c r="G6" s="881"/>
      <c r="H6" s="840"/>
      <c r="I6" s="872"/>
      <c r="J6" s="872"/>
      <c r="K6" s="855" t="s">
        <v>3</v>
      </c>
      <c r="L6" s="857" t="s">
        <v>177</v>
      </c>
      <c r="M6" s="858"/>
      <c r="N6" s="859"/>
      <c r="P6" s="194"/>
    </row>
    <row r="7" spans="1:19" s="12" customFormat="1" ht="86.25" customHeight="1" thickBot="1" x14ac:dyDescent="0.3">
      <c r="A7" s="826"/>
      <c r="B7" s="829"/>
      <c r="C7" s="832"/>
      <c r="D7" s="835"/>
      <c r="E7" s="838"/>
      <c r="F7" s="879"/>
      <c r="G7" s="882"/>
      <c r="H7" s="841"/>
      <c r="I7" s="873"/>
      <c r="J7" s="873"/>
      <c r="K7" s="856"/>
      <c r="L7" s="110" t="s">
        <v>53</v>
      </c>
      <c r="M7" s="110" t="s">
        <v>96</v>
      </c>
      <c r="N7" s="111" t="s">
        <v>132</v>
      </c>
      <c r="P7" s="194"/>
    </row>
    <row r="8" spans="1:19" s="11" customFormat="1" x14ac:dyDescent="0.25">
      <c r="A8" s="860" t="s">
        <v>124</v>
      </c>
      <c r="B8" s="861"/>
      <c r="C8" s="861"/>
      <c r="D8" s="861"/>
      <c r="E8" s="861"/>
      <c r="F8" s="861"/>
      <c r="G8" s="861"/>
      <c r="H8" s="861"/>
      <c r="I8" s="861"/>
      <c r="J8" s="861"/>
      <c r="K8" s="861"/>
      <c r="L8" s="861"/>
      <c r="M8" s="861"/>
      <c r="N8" s="862"/>
      <c r="P8" s="568"/>
    </row>
    <row r="9" spans="1:19" s="11" customFormat="1" ht="13.5" thickBot="1" x14ac:dyDescent="0.3">
      <c r="A9" s="863" t="s">
        <v>7</v>
      </c>
      <c r="B9" s="864"/>
      <c r="C9" s="864"/>
      <c r="D9" s="864"/>
      <c r="E9" s="864"/>
      <c r="F9" s="864"/>
      <c r="G9" s="864"/>
      <c r="H9" s="864"/>
      <c r="I9" s="864"/>
      <c r="J9" s="864"/>
      <c r="K9" s="864"/>
      <c r="L9" s="864"/>
      <c r="M9" s="864"/>
      <c r="N9" s="865"/>
      <c r="P9" s="568"/>
      <c r="S9" s="12"/>
    </row>
    <row r="10" spans="1:19" s="12" customFormat="1" ht="15" customHeight="1" thickBot="1" x14ac:dyDescent="0.3">
      <c r="A10" s="13" t="s">
        <v>8</v>
      </c>
      <c r="B10" s="866" t="s">
        <v>9</v>
      </c>
      <c r="C10" s="866"/>
      <c r="D10" s="866"/>
      <c r="E10" s="866"/>
      <c r="F10" s="866"/>
      <c r="G10" s="866"/>
      <c r="H10" s="866"/>
      <c r="I10" s="866"/>
      <c r="J10" s="866"/>
      <c r="K10" s="866"/>
      <c r="L10" s="866"/>
      <c r="M10" s="866"/>
      <c r="N10" s="867"/>
      <c r="P10" s="194"/>
    </row>
    <row r="11" spans="1:19" s="12" customFormat="1" ht="13.5" thickBot="1" x14ac:dyDescent="0.3">
      <c r="A11" s="14" t="s">
        <v>8</v>
      </c>
      <c r="B11" s="15" t="s">
        <v>8</v>
      </c>
      <c r="C11" s="868" t="s">
        <v>10</v>
      </c>
      <c r="D11" s="868"/>
      <c r="E11" s="868"/>
      <c r="F11" s="868"/>
      <c r="G11" s="869"/>
      <c r="H11" s="869"/>
      <c r="I11" s="869"/>
      <c r="J11" s="869"/>
      <c r="K11" s="869"/>
      <c r="L11" s="869"/>
      <c r="M11" s="869"/>
      <c r="N11" s="870"/>
      <c r="P11" s="194"/>
    </row>
    <row r="12" spans="1:19" s="12" customFormat="1" ht="44.25" customHeight="1" x14ac:dyDescent="0.25">
      <c r="A12" s="780" t="s">
        <v>8</v>
      </c>
      <c r="B12" s="16" t="s">
        <v>8</v>
      </c>
      <c r="C12" s="793" t="s">
        <v>8</v>
      </c>
      <c r="D12" s="851" t="s">
        <v>54</v>
      </c>
      <c r="E12" s="54"/>
      <c r="F12" s="815" t="s">
        <v>21</v>
      </c>
      <c r="G12" s="112" t="s">
        <v>12</v>
      </c>
      <c r="H12" s="723">
        <f>1102626+5949</f>
        <v>1108575</v>
      </c>
      <c r="I12" s="724">
        <v>1102626</v>
      </c>
      <c r="J12" s="725">
        <v>1102626</v>
      </c>
      <c r="K12" s="105" t="s">
        <v>150</v>
      </c>
      <c r="L12" s="115">
        <v>5</v>
      </c>
      <c r="M12" s="116">
        <v>5</v>
      </c>
      <c r="N12" s="117">
        <v>5</v>
      </c>
      <c r="O12" s="194"/>
      <c r="P12" s="194"/>
    </row>
    <row r="13" spans="1:19" s="12" customFormat="1" x14ac:dyDescent="0.25">
      <c r="A13" s="781"/>
      <c r="B13" s="18"/>
      <c r="C13" s="794"/>
      <c r="D13" s="852"/>
      <c r="E13" s="55"/>
      <c r="F13" s="118"/>
      <c r="G13" s="119" t="s">
        <v>22</v>
      </c>
      <c r="H13" s="181">
        <f>6221849-58637-14013</f>
        <v>6149199</v>
      </c>
      <c r="I13" s="490">
        <f>21089.3/3.4528*1000</f>
        <v>6107883</v>
      </c>
      <c r="J13" s="122">
        <f>21089.3/3.4528*1000</f>
        <v>6107883</v>
      </c>
      <c r="K13" s="853" t="s">
        <v>98</v>
      </c>
      <c r="L13" s="746">
        <f>4600-72-396</f>
        <v>4132</v>
      </c>
      <c r="M13" s="800">
        <v>4200</v>
      </c>
      <c r="N13" s="124">
        <v>4200</v>
      </c>
      <c r="O13" s="194"/>
      <c r="P13" s="194"/>
    </row>
    <row r="14" spans="1:19" s="12" customFormat="1" x14ac:dyDescent="0.25">
      <c r="A14" s="781"/>
      <c r="B14" s="18"/>
      <c r="C14" s="794"/>
      <c r="D14" s="852"/>
      <c r="E14" s="55"/>
      <c r="F14" s="118"/>
      <c r="G14" s="119"/>
      <c r="H14" s="176"/>
      <c r="I14" s="490"/>
      <c r="J14" s="122"/>
      <c r="K14" s="854"/>
      <c r="L14" s="5"/>
      <c r="M14" s="125"/>
      <c r="N14" s="126"/>
      <c r="P14" s="194"/>
    </row>
    <row r="15" spans="1:19" s="12" customFormat="1" ht="26.25" customHeight="1" x14ac:dyDescent="0.25">
      <c r="A15" s="781"/>
      <c r="B15" s="18"/>
      <c r="C15" s="794"/>
      <c r="D15" s="852"/>
      <c r="E15" s="127"/>
      <c r="F15" s="118"/>
      <c r="G15" s="119"/>
      <c r="H15" s="176"/>
      <c r="I15" s="490"/>
      <c r="J15" s="122"/>
      <c r="K15" s="128" t="s">
        <v>106</v>
      </c>
      <c r="L15" s="129">
        <v>183</v>
      </c>
      <c r="M15" s="800">
        <v>183</v>
      </c>
      <c r="N15" s="805">
        <v>183</v>
      </c>
      <c r="P15" s="194"/>
    </row>
    <row r="16" spans="1:19" s="12" customFormat="1" ht="28.5" customHeight="1" x14ac:dyDescent="0.25">
      <c r="A16" s="781"/>
      <c r="B16" s="18"/>
      <c r="C16" s="794"/>
      <c r="D16" s="773"/>
      <c r="E16" s="55"/>
      <c r="F16" s="118"/>
      <c r="G16" s="119"/>
      <c r="H16" s="176"/>
      <c r="I16" s="490"/>
      <c r="J16" s="122"/>
      <c r="K16" s="130" t="s">
        <v>97</v>
      </c>
      <c r="L16" s="123">
        <v>18220</v>
      </c>
      <c r="M16" s="800">
        <v>18220</v>
      </c>
      <c r="N16" s="124">
        <v>18220</v>
      </c>
      <c r="P16" s="194"/>
    </row>
    <row r="17" spans="1:16" s="12" customFormat="1" ht="26.25" customHeight="1" x14ac:dyDescent="0.25">
      <c r="A17" s="781"/>
      <c r="B17" s="18"/>
      <c r="C17" s="794"/>
      <c r="D17" s="159"/>
      <c r="E17" s="55"/>
      <c r="F17" s="118"/>
      <c r="G17" s="119"/>
      <c r="H17" s="176"/>
      <c r="I17" s="132"/>
      <c r="J17" s="131"/>
      <c r="K17" s="850" t="s">
        <v>188</v>
      </c>
      <c r="L17" s="123">
        <v>50</v>
      </c>
      <c r="M17" s="800">
        <v>50</v>
      </c>
      <c r="N17" s="124">
        <v>50</v>
      </c>
      <c r="P17" s="194"/>
    </row>
    <row r="18" spans="1:16" s="12" customFormat="1" ht="15.75" customHeight="1" thickBot="1" x14ac:dyDescent="0.3">
      <c r="A18" s="781"/>
      <c r="B18" s="18"/>
      <c r="C18" s="794"/>
      <c r="D18" s="774"/>
      <c r="E18" s="55"/>
      <c r="F18" s="118"/>
      <c r="G18" s="79" t="s">
        <v>13</v>
      </c>
      <c r="H18" s="134">
        <f>SUM(H12:H17)</f>
        <v>7257774</v>
      </c>
      <c r="I18" s="143">
        <f>SUM(I12:I17)</f>
        <v>7210509</v>
      </c>
      <c r="J18" s="134">
        <f>SUM(J12:J17)</f>
        <v>7210509</v>
      </c>
      <c r="K18" s="843"/>
      <c r="L18" s="135"/>
      <c r="M18" s="136"/>
      <c r="N18" s="137"/>
      <c r="P18" s="194"/>
    </row>
    <row r="19" spans="1:16" s="12" customFormat="1" ht="24.75" customHeight="1" x14ac:dyDescent="0.25">
      <c r="A19" s="780" t="s">
        <v>8</v>
      </c>
      <c r="B19" s="16" t="s">
        <v>8</v>
      </c>
      <c r="C19" s="793" t="s">
        <v>14</v>
      </c>
      <c r="D19" s="842" t="s">
        <v>55</v>
      </c>
      <c r="E19" s="54"/>
      <c r="F19" s="815" t="s">
        <v>21</v>
      </c>
      <c r="G19" s="4" t="s">
        <v>12</v>
      </c>
      <c r="H19" s="138">
        <v>1561132</v>
      </c>
      <c r="I19" s="139">
        <f>5829.8/3.4528*1000</f>
        <v>1688427</v>
      </c>
      <c r="J19" s="139">
        <f>5829.8/3.4528*1000</f>
        <v>1688427</v>
      </c>
      <c r="K19" s="842" t="s">
        <v>107</v>
      </c>
      <c r="L19" s="140">
        <v>464</v>
      </c>
      <c r="M19" s="141">
        <v>464</v>
      </c>
      <c r="N19" s="142">
        <v>464</v>
      </c>
      <c r="P19" s="194"/>
    </row>
    <row r="20" spans="1:16" s="12" customFormat="1" ht="15.75" customHeight="1" thickBot="1" x14ac:dyDescent="0.3">
      <c r="A20" s="781"/>
      <c r="B20" s="18"/>
      <c r="C20" s="794"/>
      <c r="D20" s="843"/>
      <c r="E20" s="55"/>
      <c r="F20" s="118"/>
      <c r="G20" s="79" t="s">
        <v>13</v>
      </c>
      <c r="H20" s="133">
        <f>H19</f>
        <v>1561132</v>
      </c>
      <c r="I20" s="134">
        <f>SUM(I19:I19)</f>
        <v>1688427</v>
      </c>
      <c r="J20" s="143">
        <f>SUM(J19:J19)</f>
        <v>1688427</v>
      </c>
      <c r="K20" s="843"/>
      <c r="L20" s="814"/>
      <c r="M20" s="817"/>
      <c r="N20" s="144"/>
      <c r="P20" s="194"/>
    </row>
    <row r="21" spans="1:16" s="12" customFormat="1" ht="27" customHeight="1" x14ac:dyDescent="0.25">
      <c r="A21" s="780" t="s">
        <v>8</v>
      </c>
      <c r="B21" s="16" t="s">
        <v>8</v>
      </c>
      <c r="C21" s="793" t="s">
        <v>17</v>
      </c>
      <c r="D21" s="842" t="s">
        <v>56</v>
      </c>
      <c r="E21" s="54"/>
      <c r="F21" s="815" t="s">
        <v>21</v>
      </c>
      <c r="G21" s="112" t="s">
        <v>12</v>
      </c>
      <c r="H21" s="225">
        <v>171467</v>
      </c>
      <c r="I21" s="578">
        <v>171467</v>
      </c>
      <c r="J21" s="578">
        <v>171467</v>
      </c>
      <c r="K21" s="842" t="s">
        <v>57</v>
      </c>
      <c r="L21" s="844">
        <v>17</v>
      </c>
      <c r="M21" s="846">
        <v>17</v>
      </c>
      <c r="N21" s="848">
        <v>17</v>
      </c>
      <c r="P21" s="194"/>
    </row>
    <row r="22" spans="1:16" s="12" customFormat="1" ht="13.5" thickBot="1" x14ac:dyDescent="0.3">
      <c r="A22" s="807"/>
      <c r="B22" s="21"/>
      <c r="C22" s="795"/>
      <c r="D22" s="843"/>
      <c r="E22" s="100"/>
      <c r="F22" s="816"/>
      <c r="G22" s="79" t="s">
        <v>13</v>
      </c>
      <c r="H22" s="133">
        <f>H21</f>
        <v>171467</v>
      </c>
      <c r="I22" s="145">
        <f>+I21</f>
        <v>171467</v>
      </c>
      <c r="J22" s="145">
        <f>+J21</f>
        <v>171467</v>
      </c>
      <c r="K22" s="843"/>
      <c r="L22" s="845"/>
      <c r="M22" s="847"/>
      <c r="N22" s="849"/>
      <c r="P22" s="194"/>
    </row>
    <row r="23" spans="1:16" s="12" customFormat="1" ht="28.5" customHeight="1" x14ac:dyDescent="0.25">
      <c r="A23" s="780" t="s">
        <v>8</v>
      </c>
      <c r="B23" s="16" t="s">
        <v>8</v>
      </c>
      <c r="C23" s="793" t="s">
        <v>19</v>
      </c>
      <c r="D23" s="851" t="s">
        <v>58</v>
      </c>
      <c r="E23" s="54"/>
      <c r="F23" s="815" t="s">
        <v>21</v>
      </c>
      <c r="G23" s="112" t="s">
        <v>12</v>
      </c>
      <c r="H23" s="113">
        <v>692974</v>
      </c>
      <c r="I23" s="114">
        <v>692974</v>
      </c>
      <c r="J23" s="114">
        <v>692974</v>
      </c>
      <c r="K23" s="842" t="s">
        <v>166</v>
      </c>
      <c r="L23" s="892">
        <v>2700</v>
      </c>
      <c r="M23" s="894">
        <v>2700</v>
      </c>
      <c r="N23" s="914">
        <v>2700</v>
      </c>
      <c r="P23" s="194"/>
    </row>
    <row r="24" spans="1:16" s="12" customFormat="1" ht="13.5" thickBot="1" x14ac:dyDescent="0.3">
      <c r="A24" s="807"/>
      <c r="B24" s="21"/>
      <c r="C24" s="795"/>
      <c r="D24" s="889"/>
      <c r="E24" s="100"/>
      <c r="F24" s="816"/>
      <c r="G24" s="79" t="s">
        <v>13</v>
      </c>
      <c r="H24" s="133">
        <f>H23</f>
        <v>692974</v>
      </c>
      <c r="I24" s="145">
        <f>+I23</f>
        <v>692974</v>
      </c>
      <c r="J24" s="145">
        <f>+J23</f>
        <v>692974</v>
      </c>
      <c r="K24" s="843"/>
      <c r="L24" s="893"/>
      <c r="M24" s="895"/>
      <c r="N24" s="1090"/>
      <c r="P24" s="194"/>
    </row>
    <row r="25" spans="1:16" s="12" customFormat="1" ht="42.75" customHeight="1" x14ac:dyDescent="0.25">
      <c r="A25" s="883" t="s">
        <v>8</v>
      </c>
      <c r="B25" s="885" t="s">
        <v>8</v>
      </c>
      <c r="C25" s="887" t="s">
        <v>23</v>
      </c>
      <c r="D25" s="851" t="s">
        <v>15</v>
      </c>
      <c r="E25" s="890"/>
      <c r="F25" s="896" t="s">
        <v>21</v>
      </c>
      <c r="G25" s="146" t="s">
        <v>16</v>
      </c>
      <c r="H25" s="147">
        <f>36503/3.4528*1000</f>
        <v>10572000</v>
      </c>
      <c r="I25" s="148">
        <f>36503/3.4528*1000</f>
        <v>10572000</v>
      </c>
      <c r="J25" s="148">
        <f>36503/3.4528*1000</f>
        <v>10572000</v>
      </c>
      <c r="K25" s="105" t="s">
        <v>59</v>
      </c>
      <c r="L25" s="149">
        <v>6460</v>
      </c>
      <c r="M25" s="150">
        <v>6419</v>
      </c>
      <c r="N25" s="151">
        <v>6419</v>
      </c>
      <c r="P25" s="194"/>
    </row>
    <row r="26" spans="1:16" s="12" customFormat="1" ht="13.5" thickBot="1" x14ac:dyDescent="0.3">
      <c r="A26" s="884"/>
      <c r="B26" s="886"/>
      <c r="C26" s="888"/>
      <c r="D26" s="889"/>
      <c r="E26" s="891"/>
      <c r="F26" s="897"/>
      <c r="G26" s="79" t="s">
        <v>13</v>
      </c>
      <c r="H26" s="133">
        <f>H25</f>
        <v>10572000</v>
      </c>
      <c r="I26" s="145">
        <f>+I25</f>
        <v>10572000</v>
      </c>
      <c r="J26" s="134">
        <f>+J25</f>
        <v>10572000</v>
      </c>
      <c r="K26" s="102"/>
      <c r="L26" s="152"/>
      <c r="M26" s="153"/>
      <c r="N26" s="154"/>
      <c r="P26" s="194"/>
    </row>
    <row r="27" spans="1:16" s="12" customFormat="1" ht="14.25" customHeight="1" x14ac:dyDescent="0.25">
      <c r="A27" s="780" t="s">
        <v>8</v>
      </c>
      <c r="B27" s="16" t="s">
        <v>8</v>
      </c>
      <c r="C27" s="793" t="s">
        <v>31</v>
      </c>
      <c r="D27" s="851" t="s">
        <v>18</v>
      </c>
      <c r="E27" s="813"/>
      <c r="F27" s="155" t="s">
        <v>21</v>
      </c>
      <c r="G27" s="813" t="s">
        <v>16</v>
      </c>
      <c r="H27" s="156">
        <f>8981/3.4528*1000</f>
        <v>2601077</v>
      </c>
      <c r="I27" s="139">
        <f>9002/3.4528*1000</f>
        <v>2607159</v>
      </c>
      <c r="J27" s="139">
        <f>9002/3.4528*1000</f>
        <v>2607159</v>
      </c>
      <c r="K27" s="916" t="s">
        <v>59</v>
      </c>
      <c r="L27" s="918">
        <v>3457</v>
      </c>
      <c r="M27" s="904">
        <v>3702</v>
      </c>
      <c r="N27" s="906">
        <v>3702</v>
      </c>
      <c r="P27" s="194"/>
    </row>
    <row r="28" spans="1:16" s="12" customFormat="1" ht="13.5" thickBot="1" x14ac:dyDescent="0.3">
      <c r="A28" s="807"/>
      <c r="B28" s="21"/>
      <c r="C28" s="795"/>
      <c r="D28" s="889"/>
      <c r="E28" s="100"/>
      <c r="F28" s="816"/>
      <c r="G28" s="79" t="s">
        <v>13</v>
      </c>
      <c r="H28" s="133">
        <f>H27</f>
        <v>2601077</v>
      </c>
      <c r="I28" s="145">
        <f t="shared" ref="I28:J28" si="0">+I27</f>
        <v>2607159</v>
      </c>
      <c r="J28" s="145">
        <f t="shared" si="0"/>
        <v>2607159</v>
      </c>
      <c r="K28" s="917"/>
      <c r="L28" s="919"/>
      <c r="M28" s="905"/>
      <c r="N28" s="907"/>
      <c r="P28" s="194"/>
    </row>
    <row r="29" spans="1:16" s="11" customFormat="1" ht="27.75" customHeight="1" x14ac:dyDescent="0.25">
      <c r="A29" s="883" t="s">
        <v>8</v>
      </c>
      <c r="B29" s="885" t="s">
        <v>8</v>
      </c>
      <c r="C29" s="910" t="s">
        <v>33</v>
      </c>
      <c r="D29" s="76" t="s">
        <v>20</v>
      </c>
      <c r="E29" s="813"/>
      <c r="F29" s="802" t="s">
        <v>21</v>
      </c>
      <c r="G29" s="157" t="s">
        <v>22</v>
      </c>
      <c r="H29" s="158">
        <f>532.1/3.4528*1000</f>
        <v>154107</v>
      </c>
      <c r="I29" s="121">
        <f>532.1/3.4528*1000</f>
        <v>154107</v>
      </c>
      <c r="J29" s="121">
        <f>532.1/3.4528*1000</f>
        <v>154107</v>
      </c>
      <c r="K29" s="912" t="s">
        <v>93</v>
      </c>
      <c r="L29" s="892">
        <v>1983</v>
      </c>
      <c r="M29" s="894">
        <v>1980</v>
      </c>
      <c r="N29" s="914">
        <v>1980</v>
      </c>
      <c r="P29" s="568"/>
    </row>
    <row r="30" spans="1:16" s="12" customFormat="1" ht="13.5" thickBot="1" x14ac:dyDescent="0.3">
      <c r="A30" s="908"/>
      <c r="B30" s="909"/>
      <c r="C30" s="911"/>
      <c r="D30" s="159"/>
      <c r="E30" s="55"/>
      <c r="F30" s="118"/>
      <c r="G30" s="79" t="s">
        <v>13</v>
      </c>
      <c r="H30" s="133">
        <f>H29</f>
        <v>154107</v>
      </c>
      <c r="I30" s="145">
        <f t="shared" ref="I30:J30" si="1">+I29</f>
        <v>154107</v>
      </c>
      <c r="J30" s="145">
        <f t="shared" si="1"/>
        <v>154107</v>
      </c>
      <c r="K30" s="913"/>
      <c r="L30" s="893"/>
      <c r="M30" s="895"/>
      <c r="N30" s="915"/>
      <c r="P30" s="194"/>
    </row>
    <row r="31" spans="1:16" s="12" customFormat="1" ht="25.5" customHeight="1" x14ac:dyDescent="0.25">
      <c r="A31" s="883" t="s">
        <v>8</v>
      </c>
      <c r="B31" s="885" t="s">
        <v>8</v>
      </c>
      <c r="C31" s="24" t="s">
        <v>60</v>
      </c>
      <c r="D31" s="851" t="s">
        <v>24</v>
      </c>
      <c r="E31" s="54"/>
      <c r="F31" s="92">
        <v>3</v>
      </c>
      <c r="G31" s="813" t="s">
        <v>22</v>
      </c>
      <c r="H31" s="156">
        <f>570.1/3.4528*1000</f>
        <v>165112</v>
      </c>
      <c r="I31" s="160">
        <f>570.1/3.4528*1000</f>
        <v>165112</v>
      </c>
      <c r="J31" s="160">
        <f>570.1/3.4528*1000</f>
        <v>165112</v>
      </c>
      <c r="K31" s="768" t="s">
        <v>108</v>
      </c>
      <c r="L31" s="811">
        <v>4900</v>
      </c>
      <c r="M31" s="812">
        <v>4900</v>
      </c>
      <c r="N31" s="756">
        <v>4900</v>
      </c>
      <c r="P31" s="194"/>
    </row>
    <row r="32" spans="1:16" s="12" customFormat="1" ht="16.5" customHeight="1" thickBot="1" x14ac:dyDescent="0.3">
      <c r="A32" s="884"/>
      <c r="B32" s="886"/>
      <c r="C32" s="26"/>
      <c r="D32" s="889"/>
      <c r="E32" s="55"/>
      <c r="F32" s="161"/>
      <c r="G32" s="486" t="s">
        <v>13</v>
      </c>
      <c r="H32" s="162">
        <f>H31</f>
        <v>165112</v>
      </c>
      <c r="I32" s="163">
        <f>+I31</f>
        <v>165112</v>
      </c>
      <c r="J32" s="134">
        <f>+J31</f>
        <v>165112</v>
      </c>
      <c r="K32" s="757"/>
      <c r="L32" s="164"/>
      <c r="M32" s="153"/>
      <c r="N32" s="154"/>
      <c r="P32" s="194"/>
    </row>
    <row r="33" spans="1:19" s="11" customFormat="1" ht="13.5" thickBot="1" x14ac:dyDescent="0.3">
      <c r="A33" s="14" t="s">
        <v>8</v>
      </c>
      <c r="B33" s="15" t="s">
        <v>8</v>
      </c>
      <c r="C33" s="898" t="s">
        <v>25</v>
      </c>
      <c r="D33" s="899"/>
      <c r="E33" s="899"/>
      <c r="F33" s="899"/>
      <c r="G33" s="900"/>
      <c r="H33" s="165">
        <f>H32+H30+H28+H26+H24+H22+H20+H18</f>
        <v>23175643</v>
      </c>
      <c r="I33" s="166">
        <f>I32+I30+I28+I26+I24+I22+I20+I18</f>
        <v>23261755</v>
      </c>
      <c r="J33" s="167">
        <f>J32+J30+J28+J26+J24+J22+J20+J18</f>
        <v>23261755</v>
      </c>
      <c r="K33" s="901"/>
      <c r="L33" s="902"/>
      <c r="M33" s="902"/>
      <c r="N33" s="903"/>
      <c r="P33" s="568"/>
      <c r="Q33" s="89"/>
      <c r="S33" s="12"/>
    </row>
    <row r="34" spans="1:19" s="11" customFormat="1" ht="13.5" thickBot="1" x14ac:dyDescent="0.3">
      <c r="A34" s="35" t="s">
        <v>8</v>
      </c>
      <c r="B34" s="15" t="s">
        <v>14</v>
      </c>
      <c r="C34" s="1106" t="s">
        <v>26</v>
      </c>
      <c r="D34" s="1106"/>
      <c r="E34" s="1106"/>
      <c r="F34" s="1106"/>
      <c r="G34" s="1106"/>
      <c r="H34" s="1106"/>
      <c r="I34" s="1106"/>
      <c r="J34" s="1106"/>
      <c r="K34" s="1106"/>
      <c r="L34" s="1106"/>
      <c r="M34" s="1106"/>
      <c r="N34" s="1107"/>
      <c r="P34" s="194"/>
      <c r="Q34" s="12"/>
    </row>
    <row r="35" spans="1:19" s="12" customFormat="1" ht="14.25" customHeight="1" x14ac:dyDescent="0.25">
      <c r="A35" s="780" t="s">
        <v>8</v>
      </c>
      <c r="B35" s="782" t="s">
        <v>14</v>
      </c>
      <c r="C35" s="168" t="s">
        <v>8</v>
      </c>
      <c r="D35" s="924" t="s">
        <v>51</v>
      </c>
      <c r="E35" s="169"/>
      <c r="F35" s="92">
        <v>3</v>
      </c>
      <c r="G35" s="170" t="s">
        <v>22</v>
      </c>
      <c r="H35" s="755">
        <f>2782612+13100+11537-13110</f>
        <v>2794139</v>
      </c>
      <c r="I35" s="171">
        <f>10003.9/3.4528*1000</f>
        <v>2897330</v>
      </c>
      <c r="J35" s="171">
        <f>10051.6/3.4528*1000</f>
        <v>2911145</v>
      </c>
      <c r="K35" s="922" t="s">
        <v>110</v>
      </c>
      <c r="L35" s="624">
        <v>418</v>
      </c>
      <c r="M35" s="172">
        <v>418</v>
      </c>
      <c r="N35" s="173">
        <v>418</v>
      </c>
      <c r="O35" s="174"/>
      <c r="P35" s="920"/>
      <c r="Q35" s="175"/>
    </row>
    <row r="36" spans="1:19" s="12" customFormat="1" ht="14.25" customHeight="1" x14ac:dyDescent="0.25">
      <c r="A36" s="781"/>
      <c r="B36" s="783"/>
      <c r="C36" s="28"/>
      <c r="D36" s="925"/>
      <c r="E36" s="85"/>
      <c r="F36" s="758"/>
      <c r="G36" s="119" t="s">
        <v>27</v>
      </c>
      <c r="H36" s="120">
        <f>1689.5/3.4528*1000</f>
        <v>489313</v>
      </c>
      <c r="I36" s="177">
        <f>1820.2/3.4528*1000</f>
        <v>527166</v>
      </c>
      <c r="J36" s="177">
        <f>1830.2/3.4528*1000</f>
        <v>530063</v>
      </c>
      <c r="K36" s="923"/>
      <c r="L36" s="625"/>
      <c r="M36" s="761"/>
      <c r="N36" s="771"/>
      <c r="O36" s="174"/>
      <c r="P36" s="920"/>
    </row>
    <row r="37" spans="1:19" s="12" customFormat="1" ht="14.25" customHeight="1" x14ac:dyDescent="0.25">
      <c r="A37" s="781"/>
      <c r="B37" s="783"/>
      <c r="C37" s="28"/>
      <c r="D37" s="179"/>
      <c r="E37" s="85"/>
      <c r="F37" s="758"/>
      <c r="G37" s="180" t="s">
        <v>12</v>
      </c>
      <c r="H37" s="425">
        <v>456353</v>
      </c>
      <c r="I37" s="579">
        <v>456353</v>
      </c>
      <c r="J37" s="579">
        <v>456353</v>
      </c>
      <c r="K37" s="923"/>
      <c r="L37" s="626"/>
      <c r="M37" s="183"/>
      <c r="N37" s="184"/>
      <c r="O37" s="174"/>
      <c r="P37" s="920"/>
    </row>
    <row r="38" spans="1:19" s="12" customFormat="1" ht="14.25" customHeight="1" x14ac:dyDescent="0.25">
      <c r="A38" s="781"/>
      <c r="B38" s="783"/>
      <c r="C38" s="28"/>
      <c r="D38" s="179"/>
      <c r="E38" s="85"/>
      <c r="F38" s="758"/>
      <c r="G38" s="185" t="s">
        <v>16</v>
      </c>
      <c r="H38" s="327">
        <f>681/3.4528*1000</f>
        <v>197231</v>
      </c>
      <c r="I38" s="566">
        <f>691/3.4528*1000</f>
        <v>200127</v>
      </c>
      <c r="J38" s="566">
        <f>691/3.4528*1000</f>
        <v>200127</v>
      </c>
      <c r="K38" s="188" t="s">
        <v>111</v>
      </c>
      <c r="L38" s="627">
        <f>718+5</f>
        <v>723</v>
      </c>
      <c r="M38" s="760">
        <v>718</v>
      </c>
      <c r="N38" s="785">
        <v>718</v>
      </c>
      <c r="O38" s="174"/>
      <c r="P38" s="920"/>
    </row>
    <row r="39" spans="1:19" s="12" customFormat="1" ht="14.25" customHeight="1" x14ac:dyDescent="0.25">
      <c r="A39" s="781"/>
      <c r="B39" s="783"/>
      <c r="C39" s="28"/>
      <c r="D39" s="179"/>
      <c r="E39" s="85"/>
      <c r="F39" s="758"/>
      <c r="G39" s="180" t="s">
        <v>37</v>
      </c>
      <c r="H39" s="425">
        <f>88.1/3.4528*1000</f>
        <v>25516</v>
      </c>
      <c r="I39" s="191">
        <f>4/3.4528*1000</f>
        <v>1158</v>
      </c>
      <c r="J39" s="191">
        <f>4/3.4528*1000</f>
        <v>1158</v>
      </c>
      <c r="K39" s="192"/>
      <c r="L39" s="178"/>
      <c r="M39" s="761"/>
      <c r="N39" s="193"/>
      <c r="O39" s="174"/>
      <c r="P39" s="920"/>
    </row>
    <row r="40" spans="1:19" s="12" customFormat="1" ht="17.25" customHeight="1" x14ac:dyDescent="0.25">
      <c r="A40" s="781"/>
      <c r="B40" s="783"/>
      <c r="C40" s="28"/>
      <c r="D40" s="56" t="s">
        <v>109</v>
      </c>
      <c r="E40" s="85"/>
      <c r="F40" s="758"/>
      <c r="G40" s="573" t="s">
        <v>100</v>
      </c>
      <c r="H40" s="425">
        <v>5263</v>
      </c>
      <c r="I40" s="574"/>
      <c r="J40" s="574"/>
      <c r="K40" s="195"/>
      <c r="L40" s="164"/>
      <c r="M40" s="153"/>
      <c r="N40" s="154"/>
      <c r="O40" s="87"/>
      <c r="P40" s="920"/>
      <c r="Q40" s="87"/>
      <c r="R40" s="87"/>
    </row>
    <row r="41" spans="1:19" s="12" customFormat="1" ht="24.75" customHeight="1" x14ac:dyDescent="0.25">
      <c r="A41" s="781"/>
      <c r="B41" s="783"/>
      <c r="C41" s="28"/>
      <c r="D41" s="56" t="s">
        <v>99</v>
      </c>
      <c r="E41" s="85"/>
      <c r="F41" s="758"/>
      <c r="G41" s="180" t="s">
        <v>197</v>
      </c>
      <c r="H41" s="425">
        <v>52926</v>
      </c>
      <c r="I41" s="191"/>
      <c r="J41" s="191"/>
      <c r="K41" s="196"/>
      <c r="L41" s="197"/>
      <c r="M41" s="198"/>
      <c r="N41" s="199"/>
      <c r="P41" s="920"/>
    </row>
    <row r="42" spans="1:19" s="12" customFormat="1" ht="27" customHeight="1" x14ac:dyDescent="0.25">
      <c r="A42" s="781"/>
      <c r="B42" s="783"/>
      <c r="C42" s="28"/>
      <c r="D42" s="921" t="s">
        <v>112</v>
      </c>
      <c r="E42" s="85"/>
      <c r="F42" s="758"/>
      <c r="G42" s="127"/>
      <c r="H42" s="328"/>
      <c r="I42" s="187"/>
      <c r="J42" s="187"/>
      <c r="K42" s="202"/>
      <c r="L42" s="203"/>
      <c r="M42" s="204"/>
      <c r="N42" s="205"/>
      <c r="P42" s="194"/>
    </row>
    <row r="43" spans="1:19" s="12" customFormat="1" ht="23.25" customHeight="1" x14ac:dyDescent="0.25">
      <c r="A43" s="781"/>
      <c r="B43" s="783"/>
      <c r="C43" s="28"/>
      <c r="D43" s="921"/>
      <c r="E43" s="85"/>
      <c r="F43" s="758"/>
      <c r="G43" s="127"/>
      <c r="H43" s="328"/>
      <c r="I43" s="187"/>
      <c r="J43" s="187"/>
      <c r="K43" s="202"/>
      <c r="L43" s="203"/>
      <c r="M43" s="204"/>
      <c r="N43" s="205"/>
      <c r="P43" s="194"/>
    </row>
    <row r="44" spans="1:19" s="12" customFormat="1" ht="15" customHeight="1" x14ac:dyDescent="0.25">
      <c r="A44" s="781"/>
      <c r="B44" s="783"/>
      <c r="C44" s="28"/>
      <c r="D44" s="56" t="s">
        <v>113</v>
      </c>
      <c r="E44" s="85"/>
      <c r="F44" s="758"/>
      <c r="G44" s="119"/>
      <c r="H44" s="120"/>
      <c r="I44" s="207"/>
      <c r="J44" s="207"/>
      <c r="K44" s="195"/>
      <c r="L44" s="208"/>
      <c r="M44" s="209"/>
      <c r="N44" s="210"/>
      <c r="P44" s="194"/>
    </row>
    <row r="45" spans="1:19" s="12" customFormat="1" ht="25.5" x14ac:dyDescent="0.25">
      <c r="A45" s="781"/>
      <c r="B45" s="783"/>
      <c r="C45" s="28"/>
      <c r="D45" s="56" t="s">
        <v>153</v>
      </c>
      <c r="E45" s="759"/>
      <c r="F45" s="758"/>
      <c r="G45" s="119"/>
      <c r="H45" s="120"/>
      <c r="I45" s="211"/>
      <c r="J45" s="211"/>
      <c r="K45" s="195"/>
      <c r="L45" s="119"/>
      <c r="M45" s="212"/>
      <c r="N45" s="154"/>
      <c r="P45" s="194"/>
    </row>
    <row r="46" spans="1:19" s="12" customFormat="1" ht="38.25" x14ac:dyDescent="0.25">
      <c r="A46" s="781"/>
      <c r="B46" s="783"/>
      <c r="C46" s="28"/>
      <c r="D46" s="56" t="s">
        <v>154</v>
      </c>
      <c r="E46" s="759"/>
      <c r="F46" s="758"/>
      <c r="G46" s="119"/>
      <c r="H46" s="120"/>
      <c r="I46" s="211"/>
      <c r="J46" s="211"/>
      <c r="K46" s="195"/>
      <c r="L46" s="119"/>
      <c r="M46" s="212"/>
      <c r="N46" s="154"/>
      <c r="P46" s="194"/>
    </row>
    <row r="47" spans="1:19" s="12" customFormat="1" ht="16.5" customHeight="1" x14ac:dyDescent="0.25">
      <c r="A47" s="781"/>
      <c r="B47" s="783"/>
      <c r="C47" s="28"/>
      <c r="D47" s="56" t="s">
        <v>114</v>
      </c>
      <c r="E47" s="759"/>
      <c r="F47" s="758"/>
      <c r="G47" s="119"/>
      <c r="H47" s="120"/>
      <c r="I47" s="187"/>
      <c r="J47" s="187"/>
      <c r="K47" s="195"/>
      <c r="L47" s="197"/>
      <c r="M47" s="204"/>
      <c r="N47" s="205"/>
      <c r="P47" s="194"/>
    </row>
    <row r="48" spans="1:19" s="12" customFormat="1" x14ac:dyDescent="0.25">
      <c r="A48" s="781"/>
      <c r="B48" s="783"/>
      <c r="C48" s="28"/>
      <c r="D48" s="921" t="s">
        <v>115</v>
      </c>
      <c r="E48" s="759"/>
      <c r="F48" s="758"/>
      <c r="G48" s="119"/>
      <c r="H48" s="120"/>
      <c r="I48" s="211"/>
      <c r="J48" s="211"/>
      <c r="K48" s="195"/>
      <c r="L48" s="213"/>
      <c r="M48" s="214"/>
      <c r="N48" s="764"/>
      <c r="P48" s="194"/>
    </row>
    <row r="49" spans="1:18" s="12" customFormat="1" ht="12" customHeight="1" x14ac:dyDescent="0.25">
      <c r="A49" s="781"/>
      <c r="B49" s="783"/>
      <c r="C49" s="803"/>
      <c r="D49" s="921"/>
      <c r="E49" s="57"/>
      <c r="F49" s="758"/>
      <c r="G49" s="119"/>
      <c r="H49" s="120"/>
      <c r="I49" s="211"/>
      <c r="J49" s="211"/>
      <c r="K49" s="215"/>
      <c r="L49" s="164"/>
      <c r="M49" s="153"/>
      <c r="N49" s="154"/>
      <c r="P49" s="194"/>
    </row>
    <row r="50" spans="1:18" s="12" customFormat="1" x14ac:dyDescent="0.25">
      <c r="A50" s="781"/>
      <c r="B50" s="783"/>
      <c r="C50" s="216"/>
      <c r="D50" s="921" t="s">
        <v>151</v>
      </c>
      <c r="E50" s="84"/>
      <c r="F50" s="217"/>
      <c r="G50" s="119"/>
      <c r="H50" s="120"/>
      <c r="I50" s="218"/>
      <c r="J50" s="218"/>
      <c r="K50" s="195"/>
      <c r="L50" s="164"/>
      <c r="M50" s="153"/>
      <c r="N50" s="154"/>
      <c r="P50" s="194"/>
    </row>
    <row r="51" spans="1:18" s="12" customFormat="1" ht="12" customHeight="1" x14ac:dyDescent="0.25">
      <c r="A51" s="781"/>
      <c r="B51" s="783"/>
      <c r="C51" s="216"/>
      <c r="D51" s="921"/>
      <c r="E51" s="84"/>
      <c r="F51" s="217"/>
      <c r="G51" s="119"/>
      <c r="H51" s="120"/>
      <c r="I51" s="207"/>
      <c r="J51" s="207"/>
      <c r="K51" s="215"/>
      <c r="L51" s="164"/>
      <c r="M51" s="153"/>
      <c r="N51" s="154"/>
      <c r="P51" s="194"/>
    </row>
    <row r="52" spans="1:18" s="27" customFormat="1" x14ac:dyDescent="0.25">
      <c r="A52" s="781"/>
      <c r="B52" s="783"/>
      <c r="C52" s="219"/>
      <c r="D52" s="921" t="s">
        <v>116</v>
      </c>
      <c r="E52" s="85"/>
      <c r="F52" s="758"/>
      <c r="G52" s="119"/>
      <c r="H52" s="120"/>
      <c r="I52" s="207"/>
      <c r="J52" s="207"/>
      <c r="K52" s="195"/>
      <c r="L52" s="220"/>
      <c r="M52" s="153"/>
      <c r="N52" s="154"/>
      <c r="P52" s="569"/>
    </row>
    <row r="53" spans="1:18" s="27" customFormat="1" ht="16.5" customHeight="1" x14ac:dyDescent="0.25">
      <c r="A53" s="781"/>
      <c r="B53" s="783"/>
      <c r="C53" s="219"/>
      <c r="D53" s="921"/>
      <c r="E53" s="85"/>
      <c r="F53" s="758"/>
      <c r="G53" s="119"/>
      <c r="H53" s="120"/>
      <c r="I53" s="207"/>
      <c r="J53" s="207"/>
      <c r="K53" s="195"/>
      <c r="L53" s="164"/>
      <c r="M53" s="153"/>
      <c r="N53" s="154"/>
      <c r="P53" s="569"/>
    </row>
    <row r="54" spans="1:18" s="12" customFormat="1" ht="41.25" customHeight="1" x14ac:dyDescent="0.25">
      <c r="A54" s="221"/>
      <c r="B54" s="222"/>
      <c r="C54" s="473"/>
      <c r="D54" s="787" t="s">
        <v>117</v>
      </c>
      <c r="E54" s="223"/>
      <c r="F54" s="224"/>
      <c r="G54" s="170"/>
      <c r="H54" s="138"/>
      <c r="I54" s="177"/>
      <c r="J54" s="177"/>
      <c r="K54" s="769"/>
      <c r="L54" s="226"/>
      <c r="M54" s="227"/>
      <c r="N54" s="228"/>
      <c r="P54" s="194"/>
    </row>
    <row r="55" spans="1:18" s="12" customFormat="1" ht="20.25" customHeight="1" x14ac:dyDescent="0.25">
      <c r="A55" s="475"/>
      <c r="B55" s="476"/>
      <c r="C55" s="477"/>
      <c r="D55" s="942" t="s">
        <v>152</v>
      </c>
      <c r="E55" s="478"/>
      <c r="F55" s="479"/>
      <c r="G55" s="180"/>
      <c r="H55" s="425"/>
      <c r="I55" s="366"/>
      <c r="J55" s="366"/>
      <c r="K55" s="944"/>
      <c r="L55" s="946"/>
      <c r="M55" s="948"/>
      <c r="N55" s="927"/>
      <c r="P55" s="194"/>
    </row>
    <row r="56" spans="1:18" s="12" customFormat="1" ht="20.25" customHeight="1" x14ac:dyDescent="0.25">
      <c r="A56" s="781"/>
      <c r="B56" s="18"/>
      <c r="C56" s="28"/>
      <c r="D56" s="943"/>
      <c r="E56" s="759"/>
      <c r="F56" s="758"/>
      <c r="G56" s="119"/>
      <c r="H56" s="120"/>
      <c r="I56" s="207"/>
      <c r="J56" s="207"/>
      <c r="K56" s="945"/>
      <c r="L56" s="947"/>
      <c r="M56" s="949"/>
      <c r="N56" s="928"/>
      <c r="P56" s="194"/>
    </row>
    <row r="57" spans="1:18" s="12" customFormat="1" ht="18.75" customHeight="1" x14ac:dyDescent="0.25">
      <c r="A57" s="781"/>
      <c r="B57" s="783"/>
      <c r="C57" s="28"/>
      <c r="D57" s="921" t="s">
        <v>62</v>
      </c>
      <c r="E57" s="759"/>
      <c r="F57" s="758"/>
      <c r="G57" s="119"/>
      <c r="H57" s="120"/>
      <c r="I57" s="207"/>
      <c r="J57" s="207"/>
      <c r="K57" s="229"/>
      <c r="L57" s="230"/>
      <c r="M57" s="231"/>
      <c r="N57" s="232"/>
      <c r="P57" s="194"/>
    </row>
    <row r="58" spans="1:18" s="12" customFormat="1" ht="14.25" customHeight="1" x14ac:dyDescent="0.25">
      <c r="A58" s="781"/>
      <c r="B58" s="18"/>
      <c r="C58" s="28"/>
      <c r="D58" s="921"/>
      <c r="E58" s="759"/>
      <c r="F58" s="758"/>
      <c r="G58" s="119"/>
      <c r="H58" s="120"/>
      <c r="I58" s="207"/>
      <c r="J58" s="207"/>
      <c r="K58" s="229"/>
      <c r="L58" s="230"/>
      <c r="M58" s="231"/>
      <c r="N58" s="232"/>
      <c r="P58" s="194"/>
    </row>
    <row r="59" spans="1:18" s="12" customFormat="1" ht="12.75" customHeight="1" thickBot="1" x14ac:dyDescent="0.3">
      <c r="A59" s="807"/>
      <c r="B59" s="21"/>
      <c r="C59" s="480"/>
      <c r="D59" s="926"/>
      <c r="E59" s="481"/>
      <c r="F59" s="161"/>
      <c r="G59" s="482" t="s">
        <v>13</v>
      </c>
      <c r="H59" s="384">
        <f>SUM(H35:H57)</f>
        <v>4020741</v>
      </c>
      <c r="I59" s="284">
        <f>SUM(I35:I57)</f>
        <v>4082134</v>
      </c>
      <c r="J59" s="284">
        <f>SUM(J35:J57)</f>
        <v>4098846</v>
      </c>
      <c r="K59" s="757"/>
      <c r="L59" s="483"/>
      <c r="M59" s="484"/>
      <c r="N59" s="485"/>
      <c r="P59" s="194"/>
    </row>
    <row r="60" spans="1:18" s="11" customFormat="1" ht="20.25" customHeight="1" x14ac:dyDescent="0.25">
      <c r="A60" s="929" t="s">
        <v>8</v>
      </c>
      <c r="B60" s="932" t="s">
        <v>14</v>
      </c>
      <c r="C60" s="935" t="s">
        <v>14</v>
      </c>
      <c r="D60" s="842" t="s">
        <v>49</v>
      </c>
      <c r="E60" s="939"/>
      <c r="F60" s="950" t="s">
        <v>21</v>
      </c>
      <c r="G60" s="30" t="s">
        <v>22</v>
      </c>
      <c r="H60" s="233">
        <f>960/3.4528*1000</f>
        <v>278035</v>
      </c>
      <c r="I60" s="234">
        <f>960/3.4528*1000</f>
        <v>278035</v>
      </c>
      <c r="J60" s="234">
        <f>960/3.4528*1000</f>
        <v>278035</v>
      </c>
      <c r="K60" s="953" t="s">
        <v>167</v>
      </c>
      <c r="L60" s="235">
        <v>70</v>
      </c>
      <c r="M60" s="236">
        <v>70</v>
      </c>
      <c r="N60" s="237">
        <v>70</v>
      </c>
      <c r="P60" s="568"/>
    </row>
    <row r="61" spans="1:18" s="11" customFormat="1" ht="20.25" customHeight="1" x14ac:dyDescent="0.25">
      <c r="A61" s="930"/>
      <c r="B61" s="933"/>
      <c r="C61" s="936"/>
      <c r="D61" s="938"/>
      <c r="E61" s="940"/>
      <c r="F61" s="951"/>
      <c r="G61" s="33"/>
      <c r="H61" s="580"/>
      <c r="I61" s="491"/>
      <c r="J61" s="278"/>
      <c r="K61" s="954"/>
      <c r="L61" s="280"/>
      <c r="M61" s="251"/>
      <c r="N61" s="562"/>
      <c r="P61" s="568"/>
    </row>
    <row r="62" spans="1:18" s="12" customFormat="1" ht="13.5" thickBot="1" x14ac:dyDescent="0.3">
      <c r="A62" s="931"/>
      <c r="B62" s="934"/>
      <c r="C62" s="937"/>
      <c r="D62" s="843"/>
      <c r="E62" s="941"/>
      <c r="F62" s="952"/>
      <c r="G62" s="78" t="s">
        <v>13</v>
      </c>
      <c r="H62" s="134">
        <f>SUM(H60:H61)</f>
        <v>278035</v>
      </c>
      <c r="I62" s="238">
        <f>SUM(I60)</f>
        <v>278035</v>
      </c>
      <c r="J62" s="134">
        <f>SUM(J60)</f>
        <v>278035</v>
      </c>
      <c r="K62" s="955"/>
      <c r="L62" s="239"/>
      <c r="M62" s="240"/>
      <c r="N62" s="241"/>
      <c r="P62" s="194"/>
    </row>
    <row r="63" spans="1:18" s="11" customFormat="1" ht="27.75" customHeight="1" x14ac:dyDescent="0.25">
      <c r="A63" s="788" t="s">
        <v>8</v>
      </c>
      <c r="B63" s="790" t="s">
        <v>14</v>
      </c>
      <c r="C63" s="793" t="s">
        <v>17</v>
      </c>
      <c r="D63" s="1117" t="s">
        <v>50</v>
      </c>
      <c r="E63" s="242"/>
      <c r="F63" s="797" t="s">
        <v>21</v>
      </c>
      <c r="G63" s="30" t="s">
        <v>22</v>
      </c>
      <c r="H63" s="233">
        <f>1217.9/3.4528*1000</f>
        <v>352728</v>
      </c>
      <c r="I63" s="243">
        <f>1008.9/3.4528*1000</f>
        <v>292198</v>
      </c>
      <c r="J63" s="243">
        <f>1008.9/3.4528*1000</f>
        <v>292198</v>
      </c>
      <c r="K63" s="784" t="s">
        <v>122</v>
      </c>
      <c r="L63" s="244">
        <v>89</v>
      </c>
      <c r="M63" s="236">
        <v>71</v>
      </c>
      <c r="N63" s="245">
        <v>71</v>
      </c>
      <c r="P63" s="568"/>
      <c r="R63" s="12"/>
    </row>
    <row r="64" spans="1:18" s="11" customFormat="1" ht="53.25" customHeight="1" x14ac:dyDescent="0.25">
      <c r="A64" s="789"/>
      <c r="B64" s="791"/>
      <c r="C64" s="794"/>
      <c r="D64" s="1118"/>
      <c r="E64" s="246"/>
      <c r="F64" s="798"/>
      <c r="G64" s="82"/>
      <c r="H64" s="200"/>
      <c r="I64" s="206"/>
      <c r="J64" s="207"/>
      <c r="K64" s="1099" t="s">
        <v>123</v>
      </c>
      <c r="L64" s="247">
        <v>208</v>
      </c>
      <c r="M64" s="248">
        <v>208</v>
      </c>
      <c r="N64" s="249">
        <v>208</v>
      </c>
      <c r="P64" s="568"/>
      <c r="R64" s="12"/>
    </row>
    <row r="65" spans="1:22" s="11" customFormat="1" ht="39.75" customHeight="1" x14ac:dyDescent="0.25">
      <c r="A65" s="789"/>
      <c r="B65" s="791"/>
      <c r="C65" s="794"/>
      <c r="D65" s="83" t="s">
        <v>118</v>
      </c>
      <c r="E65" s="246"/>
      <c r="F65" s="798"/>
      <c r="G65" s="82"/>
      <c r="H65" s="200"/>
      <c r="I65" s="201"/>
      <c r="J65" s="187"/>
      <c r="K65" s="954"/>
      <c r="L65" s="250"/>
      <c r="M65" s="251"/>
      <c r="N65" s="252"/>
      <c r="P65" s="568"/>
      <c r="V65" s="12"/>
    </row>
    <row r="66" spans="1:22" s="11" customFormat="1" ht="38.25" x14ac:dyDescent="0.25">
      <c r="A66" s="789"/>
      <c r="B66" s="791"/>
      <c r="C66" s="794"/>
      <c r="D66" s="83" t="s">
        <v>119</v>
      </c>
      <c r="E66" s="246"/>
      <c r="F66" s="798"/>
      <c r="G66" s="82"/>
      <c r="H66" s="200"/>
      <c r="I66" s="206"/>
      <c r="J66" s="207"/>
      <c r="K66" s="83"/>
      <c r="L66" s="253"/>
      <c r="M66" s="204"/>
      <c r="N66" s="205"/>
      <c r="P66" s="568"/>
    </row>
    <row r="67" spans="1:22" s="11" customFormat="1" ht="40.5" customHeight="1" x14ac:dyDescent="0.25">
      <c r="A67" s="789"/>
      <c r="B67" s="791"/>
      <c r="C67" s="794"/>
      <c r="D67" s="83" t="s">
        <v>120</v>
      </c>
      <c r="E67" s="246"/>
      <c r="F67" s="798"/>
      <c r="G67" s="82"/>
      <c r="H67" s="200"/>
      <c r="I67" s="206"/>
      <c r="J67" s="207"/>
      <c r="K67" s="83"/>
      <c r="L67" s="254"/>
      <c r="M67" s="204"/>
      <c r="N67" s="205"/>
      <c r="P67" s="568"/>
    </row>
    <row r="68" spans="1:22" s="11" customFormat="1" ht="68.25" customHeight="1" x14ac:dyDescent="0.25">
      <c r="A68" s="789"/>
      <c r="B68" s="791"/>
      <c r="C68" s="794"/>
      <c r="D68" s="159" t="s">
        <v>121</v>
      </c>
      <c r="E68" s="246"/>
      <c r="F68" s="798"/>
      <c r="G68" s="82"/>
      <c r="H68" s="200"/>
      <c r="I68" s="206"/>
      <c r="J68" s="207"/>
      <c r="K68" s="83"/>
      <c r="L68" s="55"/>
      <c r="M68" s="204"/>
      <c r="N68" s="255"/>
      <c r="P68" s="568"/>
      <c r="Q68" s="12"/>
    </row>
    <row r="69" spans="1:22" s="11" customFormat="1" ht="31.5" customHeight="1" x14ac:dyDescent="0.25">
      <c r="A69" s="789"/>
      <c r="B69" s="791"/>
      <c r="C69" s="794"/>
      <c r="D69" s="938" t="s">
        <v>145</v>
      </c>
      <c r="E69" s="246"/>
      <c r="F69" s="798"/>
      <c r="G69" s="88"/>
      <c r="H69" s="200"/>
      <c r="I69" s="206"/>
      <c r="J69" s="207"/>
      <c r="K69" s="938"/>
      <c r="L69" s="55"/>
      <c r="M69" s="204"/>
      <c r="N69" s="255"/>
      <c r="P69" s="568"/>
    </row>
    <row r="70" spans="1:22" s="11" customFormat="1" ht="34.5" customHeight="1" x14ac:dyDescent="0.25">
      <c r="A70" s="789"/>
      <c r="B70" s="791"/>
      <c r="C70" s="794"/>
      <c r="D70" s="938"/>
      <c r="E70" s="246"/>
      <c r="F70" s="798"/>
      <c r="G70" s="88"/>
      <c r="H70" s="200"/>
      <c r="I70" s="256"/>
      <c r="J70" s="257"/>
      <c r="K70" s="938"/>
      <c r="L70" s="55"/>
      <c r="M70" s="204"/>
      <c r="N70" s="255"/>
      <c r="P70" s="568"/>
    </row>
    <row r="71" spans="1:22" s="12" customFormat="1" ht="13.5" thickBot="1" x14ac:dyDescent="0.3">
      <c r="A71" s="6"/>
      <c r="B71" s="792"/>
      <c r="C71" s="8"/>
      <c r="D71" s="843"/>
      <c r="E71" s="258"/>
      <c r="F71" s="799"/>
      <c r="G71" s="78" t="s">
        <v>13</v>
      </c>
      <c r="H71" s="134">
        <f>SUM(H63:H70)</f>
        <v>352728</v>
      </c>
      <c r="I71" s="133">
        <f t="shared" ref="I71:J71" si="2">SUM(I63:I70)</f>
        <v>292198</v>
      </c>
      <c r="J71" s="133">
        <f t="shared" si="2"/>
        <v>292198</v>
      </c>
      <c r="K71" s="102"/>
      <c r="L71" s="259"/>
      <c r="M71" s="260"/>
      <c r="N71" s="261"/>
      <c r="P71" s="194"/>
    </row>
    <row r="72" spans="1:22" s="11" customFormat="1" ht="28.5" customHeight="1" x14ac:dyDescent="0.25">
      <c r="A72" s="958" t="s">
        <v>8</v>
      </c>
      <c r="B72" s="961" t="s">
        <v>14</v>
      </c>
      <c r="C72" s="887" t="s">
        <v>19</v>
      </c>
      <c r="D72" s="262" t="s">
        <v>160</v>
      </c>
      <c r="E72" s="939"/>
      <c r="F72" s="967" t="s">
        <v>21</v>
      </c>
      <c r="G72" s="30"/>
      <c r="H72" s="233"/>
      <c r="I72" s="263"/>
      <c r="J72" s="263"/>
      <c r="K72" s="953" t="s">
        <v>103</v>
      </c>
      <c r="L72" s="1057">
        <f>24+1</f>
        <v>25</v>
      </c>
      <c r="M72" s="1060">
        <v>24</v>
      </c>
      <c r="N72" s="1063">
        <v>24</v>
      </c>
      <c r="P72" s="568"/>
      <c r="R72" s="12"/>
    </row>
    <row r="73" spans="1:22" s="11" customFormat="1" ht="43.5" customHeight="1" x14ac:dyDescent="0.25">
      <c r="A73" s="959"/>
      <c r="B73" s="962"/>
      <c r="C73" s="964"/>
      <c r="D73" s="796" t="s">
        <v>28</v>
      </c>
      <c r="E73" s="940"/>
      <c r="F73" s="968"/>
      <c r="G73" s="82" t="s">
        <v>22</v>
      </c>
      <c r="H73" s="200">
        <f>110/3.4528*1000</f>
        <v>31858</v>
      </c>
      <c r="I73" s="131">
        <f>110/3.4528*1000</f>
        <v>31858</v>
      </c>
      <c r="J73" s="131">
        <f>110/3.4528*1000</f>
        <v>31858</v>
      </c>
      <c r="K73" s="954"/>
      <c r="L73" s="1058"/>
      <c r="M73" s="1061"/>
      <c r="N73" s="1064"/>
      <c r="P73" s="568"/>
    </row>
    <row r="74" spans="1:22" s="11" customFormat="1" ht="79.5" customHeight="1" x14ac:dyDescent="0.25">
      <c r="A74" s="959"/>
      <c r="B74" s="962"/>
      <c r="C74" s="964"/>
      <c r="D74" s="965" t="s">
        <v>192</v>
      </c>
      <c r="E74" s="940"/>
      <c r="F74" s="968"/>
      <c r="G74" s="264" t="s">
        <v>22</v>
      </c>
      <c r="H74" s="186">
        <f>160/3.4528*1000+31000</f>
        <v>77339</v>
      </c>
      <c r="I74" s="182"/>
      <c r="J74" s="265"/>
      <c r="K74" s="954"/>
      <c r="L74" s="1058"/>
      <c r="M74" s="1061"/>
      <c r="N74" s="1064"/>
      <c r="P74" s="568"/>
    </row>
    <row r="75" spans="1:22" s="11" customFormat="1" ht="15.75" customHeight="1" thickBot="1" x14ac:dyDescent="0.3">
      <c r="A75" s="960"/>
      <c r="B75" s="963"/>
      <c r="C75" s="888"/>
      <c r="D75" s="966"/>
      <c r="E75" s="941"/>
      <c r="F75" s="969"/>
      <c r="G75" s="80" t="s">
        <v>13</v>
      </c>
      <c r="H75" s="266">
        <f>SUM(H72:H74)</f>
        <v>109197</v>
      </c>
      <c r="I75" s="266">
        <f t="shared" ref="I75:J75" si="3">SUM(I72:I74)</f>
        <v>31858</v>
      </c>
      <c r="J75" s="266">
        <f t="shared" si="3"/>
        <v>31858</v>
      </c>
      <c r="K75" s="955"/>
      <c r="L75" s="1059"/>
      <c r="M75" s="1062"/>
      <c r="N75" s="1065"/>
      <c r="P75" s="568"/>
    </row>
    <row r="76" spans="1:22" s="11" customFormat="1" ht="12" customHeight="1" x14ac:dyDescent="0.25">
      <c r="A76" s="883" t="s">
        <v>8</v>
      </c>
      <c r="B76" s="885" t="s">
        <v>14</v>
      </c>
      <c r="C76" s="809" t="s">
        <v>23</v>
      </c>
      <c r="D76" s="851" t="s">
        <v>29</v>
      </c>
      <c r="E76" s="60"/>
      <c r="F76" s="268" t="s">
        <v>30</v>
      </c>
      <c r="G76" s="31" t="s">
        <v>22</v>
      </c>
      <c r="H76" s="269">
        <f>100/3.4528*1000</f>
        <v>28962</v>
      </c>
      <c r="I76" s="270">
        <f>100/3.4528*1000</f>
        <v>28962</v>
      </c>
      <c r="J76" s="270">
        <f>100/3.4528*1000</f>
        <v>28962</v>
      </c>
      <c r="K76" s="956" t="s">
        <v>168</v>
      </c>
      <c r="L76" s="1104">
        <v>6</v>
      </c>
      <c r="M76" s="1093">
        <v>6</v>
      </c>
      <c r="N76" s="1096">
        <v>6</v>
      </c>
      <c r="O76" s="575"/>
      <c r="P76" s="575"/>
    </row>
    <row r="77" spans="1:22" s="11" customFormat="1" ht="12" customHeight="1" x14ac:dyDescent="0.25">
      <c r="A77" s="908"/>
      <c r="B77" s="909"/>
      <c r="C77" s="810"/>
      <c r="D77" s="852"/>
      <c r="E77" s="61"/>
      <c r="F77" s="271"/>
      <c r="G77" s="264" t="s">
        <v>100</v>
      </c>
      <c r="H77" s="186">
        <v>716</v>
      </c>
      <c r="I77" s="358"/>
      <c r="J77" s="358"/>
      <c r="K77" s="957"/>
      <c r="L77" s="1105"/>
      <c r="M77" s="1094"/>
      <c r="N77" s="1097"/>
      <c r="O77" s="575"/>
      <c r="P77" s="575"/>
    </row>
    <row r="78" spans="1:22" s="11" customFormat="1" x14ac:dyDescent="0.25">
      <c r="A78" s="908"/>
      <c r="B78" s="909"/>
      <c r="C78" s="810"/>
      <c r="D78" s="852"/>
      <c r="E78" s="61"/>
      <c r="F78" s="271"/>
      <c r="G78" s="82" t="s">
        <v>16</v>
      </c>
      <c r="H78" s="200">
        <v>52699</v>
      </c>
      <c r="I78" s="272">
        <f>151.2/3.4528*1000</f>
        <v>43791</v>
      </c>
      <c r="J78" s="272">
        <f>151.2/3.4528*1000</f>
        <v>43791</v>
      </c>
      <c r="K78" s="957"/>
      <c r="L78" s="1105"/>
      <c r="M78" s="1095"/>
      <c r="N78" s="1097"/>
      <c r="O78" s="576"/>
      <c r="P78" s="575"/>
    </row>
    <row r="79" spans="1:22" s="11" customFormat="1" ht="13.5" thickBot="1" x14ac:dyDescent="0.3">
      <c r="A79" s="781"/>
      <c r="B79" s="783"/>
      <c r="C79" s="810"/>
      <c r="D79" s="889"/>
      <c r="E79" s="61"/>
      <c r="F79" s="271"/>
      <c r="G79" s="80" t="s">
        <v>13</v>
      </c>
      <c r="H79" s="266">
        <f>SUM(H76:H78)</f>
        <v>82377</v>
      </c>
      <c r="I79" s="134">
        <f>SUM(I76:I78)</f>
        <v>72753</v>
      </c>
      <c r="J79" s="134">
        <f>SUM(J76:J78)</f>
        <v>72753</v>
      </c>
      <c r="K79" s="273"/>
      <c r="L79" s="274"/>
      <c r="M79" s="275"/>
      <c r="N79" s="276"/>
      <c r="P79" s="568"/>
    </row>
    <row r="80" spans="1:22" s="11" customFormat="1" ht="12" customHeight="1" x14ac:dyDescent="0.25">
      <c r="A80" s="883" t="s">
        <v>8</v>
      </c>
      <c r="B80" s="885" t="s">
        <v>14</v>
      </c>
      <c r="C80" s="809" t="s">
        <v>31</v>
      </c>
      <c r="D80" s="842" t="s">
        <v>32</v>
      </c>
      <c r="E80" s="60"/>
      <c r="F80" s="797" t="s">
        <v>21</v>
      </c>
      <c r="G80" s="33" t="s">
        <v>22</v>
      </c>
      <c r="H80" s="277">
        <f>74.8/3.4528*1000</f>
        <v>21664</v>
      </c>
      <c r="I80" s="278">
        <f>72.3/3.4528*1000</f>
        <v>20940</v>
      </c>
      <c r="J80" s="278">
        <f>72.3/3.4528*1000</f>
        <v>20940</v>
      </c>
      <c r="K80" s="953" t="s">
        <v>169</v>
      </c>
      <c r="L80" s="235">
        <v>21</v>
      </c>
      <c r="M80" s="236">
        <v>21</v>
      </c>
      <c r="N80" s="245">
        <v>21</v>
      </c>
      <c r="P80" s="568"/>
    </row>
    <row r="81" spans="1:18" s="11" customFormat="1" x14ac:dyDescent="0.2">
      <c r="A81" s="908"/>
      <c r="B81" s="909"/>
      <c r="C81" s="810"/>
      <c r="D81" s="938"/>
      <c r="E81" s="62"/>
      <c r="F81" s="279"/>
      <c r="G81" s="20" t="s">
        <v>16</v>
      </c>
      <c r="H81" s="176">
        <f>722.4/3.4528*1000</f>
        <v>209222</v>
      </c>
      <c r="I81" s="182">
        <f>692/3.4528*1000</f>
        <v>200417</v>
      </c>
      <c r="J81" s="182">
        <f>692/3.4528*1000</f>
        <v>200417</v>
      </c>
      <c r="K81" s="954"/>
      <c r="L81" s="280"/>
      <c r="M81" s="251"/>
      <c r="N81" s="281"/>
      <c r="P81" s="568"/>
    </row>
    <row r="82" spans="1:18" s="11" customFormat="1" x14ac:dyDescent="0.2">
      <c r="A82" s="781"/>
      <c r="B82" s="783"/>
      <c r="C82" s="810"/>
      <c r="D82" s="938"/>
      <c r="E82" s="62"/>
      <c r="F82" s="279"/>
      <c r="G82" s="19" t="s">
        <v>16</v>
      </c>
      <c r="H82" s="181">
        <f>36.1/3.4528*1000</f>
        <v>10455</v>
      </c>
      <c r="I82" s="282">
        <f>38.1/3.4528*1000</f>
        <v>11035</v>
      </c>
      <c r="J82" s="282">
        <f>38.1/3.4528*1000</f>
        <v>11035</v>
      </c>
      <c r="K82" s="273"/>
      <c r="L82" s="280"/>
      <c r="M82" s="251"/>
      <c r="N82" s="281"/>
      <c r="P82" s="568"/>
    </row>
    <row r="83" spans="1:18" s="11" customFormat="1" ht="13.5" thickBot="1" x14ac:dyDescent="0.25">
      <c r="A83" s="807"/>
      <c r="B83" s="808"/>
      <c r="C83" s="660"/>
      <c r="D83" s="843"/>
      <c r="E83" s="63"/>
      <c r="F83" s="283"/>
      <c r="G83" s="81" t="s">
        <v>13</v>
      </c>
      <c r="H83" s="284">
        <f>SUM(H80:H82)</f>
        <v>241341</v>
      </c>
      <c r="I83" s="134">
        <f>SUM(I80:I82)</f>
        <v>232392</v>
      </c>
      <c r="J83" s="267">
        <f>SUM(J80:J82)</f>
        <v>232392</v>
      </c>
      <c r="K83" s="285"/>
      <c r="L83" s="274"/>
      <c r="M83" s="275"/>
      <c r="N83" s="276"/>
      <c r="P83" s="568"/>
    </row>
    <row r="84" spans="1:18" s="11" customFormat="1" ht="12" customHeight="1" x14ac:dyDescent="0.25">
      <c r="A84" s="883" t="s">
        <v>8</v>
      </c>
      <c r="B84" s="885" t="s">
        <v>14</v>
      </c>
      <c r="C84" s="809" t="s">
        <v>33</v>
      </c>
      <c r="D84" s="983" t="s">
        <v>179</v>
      </c>
      <c r="E84" s="60"/>
      <c r="F84" s="797" t="s">
        <v>61</v>
      </c>
      <c r="G84" s="30" t="s">
        <v>16</v>
      </c>
      <c r="H84" s="233">
        <f>500/3.4528*1000</f>
        <v>144810</v>
      </c>
      <c r="I84" s="234">
        <f>500/3.4528*1000</f>
        <v>144810</v>
      </c>
      <c r="J84" s="234">
        <f>500/3.4528*1000</f>
        <v>144810</v>
      </c>
      <c r="K84" s="953" t="s">
        <v>169</v>
      </c>
      <c r="L84" s="235"/>
      <c r="M84" s="236"/>
      <c r="N84" s="245"/>
      <c r="P84" s="568"/>
    </row>
    <row r="85" spans="1:18" s="11" customFormat="1" x14ac:dyDescent="0.2">
      <c r="A85" s="908"/>
      <c r="B85" s="909"/>
      <c r="C85" s="810"/>
      <c r="D85" s="984"/>
      <c r="E85" s="62"/>
      <c r="F85" s="286">
        <v>3</v>
      </c>
      <c r="G85" s="20"/>
      <c r="H85" s="176"/>
      <c r="I85" s="131"/>
      <c r="J85" s="132"/>
      <c r="K85" s="954"/>
      <c r="L85" s="280"/>
      <c r="M85" s="251"/>
      <c r="N85" s="281"/>
      <c r="P85" s="568"/>
    </row>
    <row r="86" spans="1:18" s="11" customFormat="1" ht="13.5" thickBot="1" x14ac:dyDescent="0.25">
      <c r="A86" s="781"/>
      <c r="B86" s="783"/>
      <c r="C86" s="660"/>
      <c r="D86" s="985"/>
      <c r="E86" s="62"/>
      <c r="F86" s="279">
        <v>6</v>
      </c>
      <c r="G86" s="81" t="s">
        <v>13</v>
      </c>
      <c r="H86" s="284">
        <f>SUM(H84:H85)</f>
        <v>144810</v>
      </c>
      <c r="I86" s="134">
        <f>SUM(I84:I85)</f>
        <v>144810</v>
      </c>
      <c r="J86" s="267">
        <f>SUM(J84:J85)</f>
        <v>144810</v>
      </c>
      <c r="K86" s="273"/>
      <c r="L86" s="280"/>
      <c r="M86" s="251"/>
      <c r="N86" s="281"/>
      <c r="P86" s="568"/>
      <c r="Q86" s="12"/>
    </row>
    <row r="87" spans="1:18" s="11" customFormat="1" ht="12" customHeight="1" x14ac:dyDescent="0.25">
      <c r="A87" s="883" t="s">
        <v>8</v>
      </c>
      <c r="B87" s="885" t="s">
        <v>14</v>
      </c>
      <c r="C87" s="809" t="s">
        <v>60</v>
      </c>
      <c r="D87" s="986" t="s">
        <v>180</v>
      </c>
      <c r="E87" s="989"/>
      <c r="F87" s="994" t="s">
        <v>21</v>
      </c>
      <c r="G87" s="17"/>
      <c r="H87" s="306"/>
      <c r="I87" s="608"/>
      <c r="J87" s="307"/>
      <c r="K87" s="1070" t="s">
        <v>170</v>
      </c>
      <c r="L87" s="811">
        <v>50</v>
      </c>
      <c r="M87" s="812"/>
      <c r="N87" s="756"/>
      <c r="P87" s="568"/>
      <c r="R87" s="12"/>
    </row>
    <row r="88" spans="1:18" s="11" customFormat="1" ht="29.25" customHeight="1" x14ac:dyDescent="0.25">
      <c r="A88" s="908"/>
      <c r="B88" s="909"/>
      <c r="C88" s="810"/>
      <c r="D88" s="987"/>
      <c r="E88" s="990"/>
      <c r="F88" s="995"/>
      <c r="G88" s="20" t="s">
        <v>36</v>
      </c>
      <c r="H88" s="176">
        <f>390.2/3.4528*1000</f>
        <v>113010</v>
      </c>
      <c r="I88" s="287"/>
      <c r="J88" s="211"/>
      <c r="K88" s="1071"/>
      <c r="L88" s="421"/>
      <c r="M88" s="801"/>
      <c r="N88" s="806"/>
      <c r="P88" s="568"/>
    </row>
    <row r="89" spans="1:18" s="11" customFormat="1" ht="54.75" customHeight="1" x14ac:dyDescent="0.25">
      <c r="A89" s="781"/>
      <c r="B89" s="783"/>
      <c r="C89" s="810"/>
      <c r="D89" s="987"/>
      <c r="E89" s="990"/>
      <c r="F89" s="995"/>
      <c r="G89" s="19" t="s">
        <v>12</v>
      </c>
      <c r="H89" s="288">
        <f>347.8/3.4528*1000</f>
        <v>100730</v>
      </c>
      <c r="I89" s="287"/>
      <c r="J89" s="289"/>
      <c r="K89" s="770" t="s">
        <v>125</v>
      </c>
      <c r="L89" s="290">
        <v>25</v>
      </c>
      <c r="M89" s="291"/>
      <c r="N89" s="766"/>
      <c r="P89" s="568"/>
    </row>
    <row r="90" spans="1:18" s="11" customFormat="1" ht="39" customHeight="1" x14ac:dyDescent="0.25">
      <c r="A90" s="781"/>
      <c r="B90" s="783"/>
      <c r="C90" s="810"/>
      <c r="D90" s="987"/>
      <c r="E90" s="990"/>
      <c r="F90" s="995"/>
      <c r="G90" s="19" t="s">
        <v>12</v>
      </c>
      <c r="H90" s="225">
        <f>327.2/3.4528*1000</f>
        <v>94764</v>
      </c>
      <c r="I90" s="287"/>
      <c r="J90" s="211"/>
      <c r="K90" s="1029" t="s">
        <v>133</v>
      </c>
      <c r="L90" s="292">
        <v>25</v>
      </c>
      <c r="M90" s="293"/>
      <c r="N90" s="805"/>
      <c r="O90" s="5"/>
      <c r="P90" s="568"/>
    </row>
    <row r="91" spans="1:18" s="11" customFormat="1" ht="16.5" customHeight="1" thickBot="1" x14ac:dyDescent="0.3">
      <c r="A91" s="807"/>
      <c r="B91" s="808"/>
      <c r="C91" s="660"/>
      <c r="D91" s="988"/>
      <c r="E91" s="991"/>
      <c r="F91" s="996"/>
      <c r="G91" s="78" t="s">
        <v>13</v>
      </c>
      <c r="H91" s="134">
        <f>SUM(H87:H90)</f>
        <v>308504</v>
      </c>
      <c r="I91" s="143"/>
      <c r="J91" s="134"/>
      <c r="K91" s="1072"/>
      <c r="L91" s="295"/>
      <c r="M91" s="296"/>
      <c r="N91" s="297"/>
      <c r="P91" s="568"/>
    </row>
    <row r="92" spans="1:18" s="11" customFormat="1" ht="32.25" customHeight="1" x14ac:dyDescent="0.25">
      <c r="A92" s="780" t="s">
        <v>8</v>
      </c>
      <c r="B92" s="782" t="s">
        <v>14</v>
      </c>
      <c r="C92" s="809" t="s">
        <v>73</v>
      </c>
      <c r="D92" s="851" t="s">
        <v>181</v>
      </c>
      <c r="E92" s="989"/>
      <c r="F92" s="994" t="s">
        <v>21</v>
      </c>
      <c r="G92" s="146" t="s">
        <v>36</v>
      </c>
      <c r="H92" s="147">
        <f>653.8/3.4528*1000</f>
        <v>189354</v>
      </c>
      <c r="I92" s="171"/>
      <c r="J92" s="298"/>
      <c r="K92" s="299" t="s">
        <v>126</v>
      </c>
      <c r="L92" s="300">
        <v>948.45</v>
      </c>
      <c r="M92" s="301"/>
      <c r="N92" s="302"/>
      <c r="P92" s="568"/>
    </row>
    <row r="93" spans="1:18" s="11" customFormat="1" ht="18" customHeight="1" x14ac:dyDescent="0.25">
      <c r="A93" s="781"/>
      <c r="B93" s="783"/>
      <c r="C93" s="810"/>
      <c r="D93" s="852"/>
      <c r="E93" s="990"/>
      <c r="F93" s="995"/>
      <c r="G93" s="4" t="s">
        <v>16</v>
      </c>
      <c r="H93" s="303">
        <f>115.4/3.4528*1000</f>
        <v>33422</v>
      </c>
      <c r="I93" s="207"/>
      <c r="J93" s="206"/>
      <c r="K93" s="1098" t="s">
        <v>171</v>
      </c>
      <c r="L93" s="1091">
        <v>30</v>
      </c>
      <c r="M93" s="1066">
        <v>30</v>
      </c>
      <c r="N93" s="1068">
        <v>30</v>
      </c>
      <c r="P93" s="568"/>
    </row>
    <row r="94" spans="1:18" s="11" customFormat="1" ht="13.5" thickBot="1" x14ac:dyDescent="0.3">
      <c r="A94" s="807"/>
      <c r="B94" s="808"/>
      <c r="C94" s="660"/>
      <c r="D94" s="889"/>
      <c r="E94" s="991"/>
      <c r="F94" s="996"/>
      <c r="G94" s="304" t="s">
        <v>13</v>
      </c>
      <c r="H94" s="305">
        <f>SUM(H92:H93)</f>
        <v>222776</v>
      </c>
      <c r="I94" s="134"/>
      <c r="J94" s="133"/>
      <c r="K94" s="913"/>
      <c r="L94" s="1092"/>
      <c r="M94" s="1067"/>
      <c r="N94" s="1069"/>
      <c r="P94" s="568"/>
      <c r="Q94" s="12"/>
    </row>
    <row r="95" spans="1:18" s="11" customFormat="1" ht="17.25" customHeight="1" x14ac:dyDescent="0.25">
      <c r="A95" s="780" t="s">
        <v>8</v>
      </c>
      <c r="B95" s="782" t="s">
        <v>14</v>
      </c>
      <c r="C95" s="809" t="s">
        <v>11</v>
      </c>
      <c r="D95" s="992" t="s">
        <v>146</v>
      </c>
      <c r="E95" s="989"/>
      <c r="F95" s="994" t="s">
        <v>21</v>
      </c>
      <c r="G95" s="17" t="s">
        <v>22</v>
      </c>
      <c r="H95" s="306">
        <f>40/3.4528*1000+3000+13500</f>
        <v>28085</v>
      </c>
      <c r="I95" s="307"/>
      <c r="J95" s="308"/>
      <c r="K95" s="309" t="s">
        <v>147</v>
      </c>
      <c r="L95" s="628">
        <v>1</v>
      </c>
      <c r="M95" s="310"/>
      <c r="N95" s="311"/>
      <c r="P95" s="568"/>
    </row>
    <row r="96" spans="1:18" s="11" customFormat="1" ht="15" customHeight="1" x14ac:dyDescent="0.25">
      <c r="A96" s="781"/>
      <c r="B96" s="783"/>
      <c r="C96" s="810"/>
      <c r="D96" s="943"/>
      <c r="E96" s="990"/>
      <c r="F96" s="995"/>
      <c r="G96" s="20"/>
      <c r="H96" s="176"/>
      <c r="I96" s="207"/>
      <c r="J96" s="312"/>
      <c r="K96" s="1099" t="s">
        <v>172</v>
      </c>
      <c r="L96" s="629">
        <v>1</v>
      </c>
      <c r="M96" s="313"/>
      <c r="N96" s="314"/>
      <c r="P96" s="568"/>
    </row>
    <row r="97" spans="1:16" s="11" customFormat="1" ht="13.5" thickBot="1" x14ac:dyDescent="0.3">
      <c r="A97" s="807"/>
      <c r="B97" s="808"/>
      <c r="C97" s="660"/>
      <c r="D97" s="993"/>
      <c r="E97" s="991"/>
      <c r="F97" s="996"/>
      <c r="G97" s="78" t="s">
        <v>13</v>
      </c>
      <c r="H97" s="134">
        <f>SUM(H95:H96)</f>
        <v>28085</v>
      </c>
      <c r="I97" s="134"/>
      <c r="J97" s="143"/>
      <c r="K97" s="955"/>
      <c r="L97" s="609"/>
      <c r="M97" s="136"/>
      <c r="N97" s="137"/>
      <c r="P97" s="568"/>
    </row>
    <row r="98" spans="1:16" s="11" customFormat="1" ht="13.5" thickBot="1" x14ac:dyDescent="0.3">
      <c r="A98" s="14" t="s">
        <v>8</v>
      </c>
      <c r="B98" s="15" t="s">
        <v>14</v>
      </c>
      <c r="C98" s="1053" t="s">
        <v>25</v>
      </c>
      <c r="D98" s="1053"/>
      <c r="E98" s="1053"/>
      <c r="F98" s="1053"/>
      <c r="G98" s="1078"/>
      <c r="H98" s="167">
        <f>H97+H94+H91+H86+H83+H79+H75+H71+H62+H59</f>
        <v>5788594</v>
      </c>
      <c r="I98" s="166">
        <f t="shared" ref="I98:J98" si="4">I97+I94+I91+I86+I83+I79+I75+I71+I62+I59</f>
        <v>5134180</v>
      </c>
      <c r="J98" s="167">
        <f t="shared" si="4"/>
        <v>5150892</v>
      </c>
      <c r="K98" s="1079"/>
      <c r="L98" s="1080"/>
      <c r="M98" s="1080"/>
      <c r="N98" s="1081"/>
      <c r="P98" s="568"/>
    </row>
    <row r="99" spans="1:16" s="11" customFormat="1" ht="13.5" thickBot="1" x14ac:dyDescent="0.3">
      <c r="A99" s="35" t="s">
        <v>8</v>
      </c>
      <c r="B99" s="15" t="s">
        <v>17</v>
      </c>
      <c r="C99" s="1082" t="s">
        <v>34</v>
      </c>
      <c r="D99" s="1082"/>
      <c r="E99" s="1082"/>
      <c r="F99" s="1082"/>
      <c r="G99" s="1082"/>
      <c r="H99" s="1082"/>
      <c r="I99" s="1082"/>
      <c r="J99" s="1082"/>
      <c r="K99" s="1082"/>
      <c r="L99" s="1082"/>
      <c r="M99" s="1082"/>
      <c r="N99" s="1083"/>
      <c r="P99" s="568"/>
    </row>
    <row r="100" spans="1:16" s="12" customFormat="1" ht="38.25" x14ac:dyDescent="0.25">
      <c r="A100" s="46" t="s">
        <v>8</v>
      </c>
      <c r="B100" s="782" t="s">
        <v>17</v>
      </c>
      <c r="C100" s="93" t="s">
        <v>8</v>
      </c>
      <c r="D100" s="315" t="s">
        <v>35</v>
      </c>
      <c r="E100" s="316"/>
      <c r="F100" s="317"/>
      <c r="G100" s="107"/>
      <c r="H100" s="318"/>
      <c r="I100" s="270"/>
      <c r="J100" s="319"/>
      <c r="K100" s="320"/>
      <c r="L100" s="321"/>
      <c r="M100" s="322"/>
      <c r="N100" s="323"/>
      <c r="P100" s="194"/>
    </row>
    <row r="101" spans="1:16" s="12" customFormat="1" ht="21" customHeight="1" x14ac:dyDescent="0.25">
      <c r="A101" s="44"/>
      <c r="B101" s="783"/>
      <c r="C101" s="94"/>
      <c r="D101" s="921" t="s">
        <v>182</v>
      </c>
      <c r="E101" s="324" t="s">
        <v>83</v>
      </c>
      <c r="F101" s="758">
        <v>5</v>
      </c>
      <c r="G101" s="41" t="s">
        <v>47</v>
      </c>
      <c r="H101" s="611">
        <v>17957</v>
      </c>
      <c r="I101" s="177"/>
      <c r="J101" s="326"/>
      <c r="K101" s="923" t="s">
        <v>173</v>
      </c>
      <c r="L101" s="178"/>
      <c r="M101" s="761"/>
      <c r="N101" s="786"/>
      <c r="P101" s="194"/>
    </row>
    <row r="102" spans="1:16" s="12" customFormat="1" ht="21" customHeight="1" x14ac:dyDescent="0.25">
      <c r="A102" s="44"/>
      <c r="B102" s="783"/>
      <c r="C102" s="94"/>
      <c r="D102" s="921"/>
      <c r="E102" s="324"/>
      <c r="F102" s="758"/>
      <c r="G102" s="37" t="s">
        <v>22</v>
      </c>
      <c r="H102" s="607">
        <f>24096+1373</f>
        <v>25469</v>
      </c>
      <c r="I102" s="207"/>
      <c r="J102" s="312"/>
      <c r="K102" s="923"/>
      <c r="L102" s="178"/>
      <c r="M102" s="761"/>
      <c r="N102" s="786"/>
      <c r="P102" s="194"/>
    </row>
    <row r="103" spans="1:16" s="12" customFormat="1" ht="21" customHeight="1" x14ac:dyDescent="0.25">
      <c r="A103" s="44"/>
      <c r="B103" s="783"/>
      <c r="C103" s="94"/>
      <c r="D103" s="921"/>
      <c r="E103" s="324"/>
      <c r="F103" s="758"/>
      <c r="G103" s="40" t="s">
        <v>36</v>
      </c>
      <c r="H103" s="612">
        <v>127260</v>
      </c>
      <c r="I103" s="329"/>
      <c r="J103" s="330"/>
      <c r="K103" s="923"/>
      <c r="L103" s="178"/>
      <c r="M103" s="761"/>
      <c r="N103" s="786"/>
      <c r="P103" s="194"/>
    </row>
    <row r="104" spans="1:16" s="12" customFormat="1" ht="16.5" customHeight="1" x14ac:dyDescent="0.25">
      <c r="A104" s="44"/>
      <c r="B104" s="783"/>
      <c r="C104" s="94"/>
      <c r="D104" s="1084"/>
      <c r="E104" s="331"/>
      <c r="F104" s="224"/>
      <c r="G104" s="99" t="s">
        <v>13</v>
      </c>
      <c r="H104" s="719">
        <f>SUM(H101:H103)</f>
        <v>170686</v>
      </c>
      <c r="I104" s="333"/>
      <c r="J104" s="334"/>
      <c r="K104" s="1085"/>
      <c r="L104" s="335">
        <v>100</v>
      </c>
      <c r="M104" s="336"/>
      <c r="N104" s="337"/>
      <c r="P104" s="194"/>
    </row>
    <row r="105" spans="1:16" s="12" customFormat="1" ht="21" customHeight="1" x14ac:dyDescent="0.25">
      <c r="A105" s="44"/>
      <c r="B105" s="783"/>
      <c r="C105" s="94"/>
      <c r="D105" s="1086" t="s">
        <v>183</v>
      </c>
      <c r="E105" s="338" t="s">
        <v>83</v>
      </c>
      <c r="F105" s="39">
        <v>5</v>
      </c>
      <c r="G105" s="40" t="s">
        <v>47</v>
      </c>
      <c r="H105" s="607">
        <f>75.4/3.4528*1000</f>
        <v>21837</v>
      </c>
      <c r="I105" s="177"/>
      <c r="J105" s="326"/>
      <c r="K105" s="980" t="s">
        <v>174</v>
      </c>
      <c r="L105" s="178"/>
      <c r="M105" s="761"/>
      <c r="N105" s="786"/>
      <c r="P105" s="194"/>
    </row>
    <row r="106" spans="1:16" s="12" customFormat="1" ht="21" customHeight="1" x14ac:dyDescent="0.25">
      <c r="A106" s="44"/>
      <c r="B106" s="783"/>
      <c r="C106" s="94"/>
      <c r="D106" s="921"/>
      <c r="E106" s="338"/>
      <c r="F106" s="39"/>
      <c r="G106" s="37" t="s">
        <v>22</v>
      </c>
      <c r="H106" s="607">
        <f>22967+2043</f>
        <v>25010</v>
      </c>
      <c r="I106" s="207"/>
      <c r="J106" s="312"/>
      <c r="K106" s="981"/>
      <c r="L106" s="178"/>
      <c r="M106" s="761"/>
      <c r="N106" s="786"/>
      <c r="P106" s="194"/>
    </row>
    <row r="107" spans="1:16" s="12" customFormat="1" ht="21" customHeight="1" x14ac:dyDescent="0.25">
      <c r="A107" s="44"/>
      <c r="B107" s="783"/>
      <c r="C107" s="94"/>
      <c r="D107" s="921"/>
      <c r="E107" s="338"/>
      <c r="F107" s="39"/>
      <c r="G107" s="41" t="s">
        <v>36</v>
      </c>
      <c r="H107" s="611">
        <v>145361</v>
      </c>
      <c r="I107" s="329"/>
      <c r="J107" s="330"/>
      <c r="K107" s="981"/>
      <c r="L107" s="178"/>
      <c r="M107" s="761"/>
      <c r="N107" s="786"/>
      <c r="P107" s="194"/>
    </row>
    <row r="108" spans="1:16" s="12" customFormat="1" ht="15" customHeight="1" x14ac:dyDescent="0.25">
      <c r="A108" s="44"/>
      <c r="B108" s="783"/>
      <c r="C108" s="94"/>
      <c r="D108" s="921"/>
      <c r="E108" s="338"/>
      <c r="F108" s="39"/>
      <c r="G108" s="98" t="s">
        <v>13</v>
      </c>
      <c r="H108" s="720">
        <f>SUM(H105:H107)</f>
        <v>192208</v>
      </c>
      <c r="I108" s="339"/>
      <c r="J108" s="340"/>
      <c r="K108" s="981"/>
      <c r="L108" s="178">
        <v>100</v>
      </c>
      <c r="M108" s="761"/>
      <c r="N108" s="786"/>
      <c r="P108" s="194"/>
    </row>
    <row r="109" spans="1:16" s="12" customFormat="1" ht="13.5" customHeight="1" x14ac:dyDescent="0.25">
      <c r="A109" s="44"/>
      <c r="B109" s="783"/>
      <c r="C109" s="94"/>
      <c r="D109" s="1086" t="s">
        <v>184</v>
      </c>
      <c r="E109" s="341" t="s">
        <v>83</v>
      </c>
      <c r="F109" s="342">
        <v>5</v>
      </c>
      <c r="G109" s="38" t="s">
        <v>22</v>
      </c>
      <c r="H109" s="343">
        <f>80.3/3.4528*1000</f>
        <v>23256</v>
      </c>
      <c r="I109" s="329"/>
      <c r="J109" s="330"/>
      <c r="K109" s="344" t="s">
        <v>163</v>
      </c>
      <c r="L109" s="189"/>
      <c r="M109" s="760"/>
      <c r="N109" s="785"/>
      <c r="P109" s="194"/>
    </row>
    <row r="110" spans="1:16" s="12" customFormat="1" ht="13.5" customHeight="1" x14ac:dyDescent="0.25">
      <c r="A110" s="44"/>
      <c r="B110" s="783"/>
      <c r="C110" s="94"/>
      <c r="D110" s="921"/>
      <c r="E110" s="338"/>
      <c r="F110" s="39"/>
      <c r="G110" s="38" t="s">
        <v>36</v>
      </c>
      <c r="H110" s="343">
        <f>338.5/3.4528*1000</f>
        <v>98036</v>
      </c>
      <c r="I110" s="207"/>
      <c r="J110" s="312"/>
      <c r="K110" s="345"/>
      <c r="L110" s="178"/>
      <c r="M110" s="761"/>
      <c r="N110" s="786"/>
      <c r="P110" s="194"/>
    </row>
    <row r="111" spans="1:16" s="12" customFormat="1" ht="14.25" customHeight="1" x14ac:dyDescent="0.25">
      <c r="A111" s="44"/>
      <c r="B111" s="783"/>
      <c r="C111" s="94"/>
      <c r="D111" s="921"/>
      <c r="E111" s="338"/>
      <c r="F111" s="39"/>
      <c r="G111" s="99" t="s">
        <v>13</v>
      </c>
      <c r="H111" s="719">
        <f>SUM(H109:H110)</f>
        <v>121292</v>
      </c>
      <c r="I111" s="346"/>
      <c r="J111" s="347"/>
      <c r="K111" s="345" t="s">
        <v>164</v>
      </c>
      <c r="L111" s="178">
        <v>100</v>
      </c>
      <c r="M111" s="761"/>
      <c r="N111" s="786"/>
      <c r="P111" s="194"/>
    </row>
    <row r="112" spans="1:16" s="27" customFormat="1" ht="14.25" customHeight="1" thickBot="1" x14ac:dyDescent="0.3">
      <c r="A112" s="348"/>
      <c r="B112" s="808"/>
      <c r="C112" s="104"/>
      <c r="D112" s="926"/>
      <c r="E112" s="1075" t="s">
        <v>128</v>
      </c>
      <c r="F112" s="1076"/>
      <c r="G112" s="1077"/>
      <c r="H112" s="417">
        <f>H111+H108+H104</f>
        <v>484186</v>
      </c>
      <c r="I112" s="133"/>
      <c r="J112" s="133"/>
      <c r="K112" s="349"/>
      <c r="L112" s="350"/>
      <c r="M112" s="351"/>
      <c r="N112" s="352"/>
      <c r="P112" s="569"/>
    </row>
    <row r="113" spans="1:19" s="12" customFormat="1" ht="42" customHeight="1" x14ac:dyDescent="0.25">
      <c r="A113" s="46" t="s">
        <v>8</v>
      </c>
      <c r="B113" s="782" t="s">
        <v>17</v>
      </c>
      <c r="C113" s="93" t="s">
        <v>14</v>
      </c>
      <c r="D113" s="9" t="s">
        <v>38</v>
      </c>
      <c r="E113" s="169"/>
      <c r="F113" s="353"/>
      <c r="G113" s="354"/>
      <c r="H113" s="355"/>
      <c r="I113" s="356"/>
      <c r="J113" s="356"/>
      <c r="K113" s="726"/>
      <c r="L113" s="726"/>
      <c r="M113" s="731"/>
      <c r="N113" s="732"/>
      <c r="P113" s="194"/>
    </row>
    <row r="114" spans="1:19" s="12" customFormat="1" ht="38.25" x14ac:dyDescent="0.2">
      <c r="A114" s="44"/>
      <c r="B114" s="783"/>
      <c r="C114" s="94"/>
      <c r="D114" s="1086" t="s">
        <v>204</v>
      </c>
      <c r="E114" s="324" t="s">
        <v>52</v>
      </c>
      <c r="F114" s="758">
        <v>5</v>
      </c>
      <c r="G114" s="37" t="s">
        <v>22</v>
      </c>
      <c r="H114" s="607">
        <f>93924+10207</f>
        <v>104131</v>
      </c>
      <c r="I114" s="358"/>
      <c r="J114" s="330"/>
      <c r="K114" s="188" t="s">
        <v>175</v>
      </c>
      <c r="L114" s="733">
        <v>100</v>
      </c>
      <c r="M114" s="997"/>
      <c r="N114" s="1073"/>
      <c r="P114" s="194"/>
    </row>
    <row r="115" spans="1:19" s="12" customFormat="1" ht="32.25" customHeight="1" x14ac:dyDescent="0.25">
      <c r="A115" s="44"/>
      <c r="B115" s="783"/>
      <c r="C115" s="94"/>
      <c r="D115" s="921"/>
      <c r="E115" s="360"/>
      <c r="F115" s="64"/>
      <c r="G115" s="65" t="s">
        <v>36</v>
      </c>
      <c r="H115" s="361">
        <v>21041</v>
      </c>
      <c r="I115" s="358"/>
      <c r="J115" s="330"/>
      <c r="K115" s="192"/>
      <c r="L115" s="734"/>
      <c r="M115" s="998"/>
      <c r="N115" s="1074"/>
      <c r="P115" s="194"/>
    </row>
    <row r="116" spans="1:19" s="12" customFormat="1" ht="49.5" customHeight="1" x14ac:dyDescent="0.25">
      <c r="A116" s="44"/>
      <c r="B116" s="783"/>
      <c r="C116" s="94"/>
      <c r="D116" s="921"/>
      <c r="E116" s="360"/>
      <c r="F116" s="64"/>
      <c r="G116" s="65" t="s">
        <v>16</v>
      </c>
      <c r="H116" s="361">
        <v>3713</v>
      </c>
      <c r="I116" s="358"/>
      <c r="J116" s="330"/>
      <c r="K116" s="192"/>
      <c r="L116" s="734"/>
      <c r="M116" s="761"/>
      <c r="N116" s="786"/>
      <c r="P116" s="194"/>
    </row>
    <row r="117" spans="1:19" s="12" customFormat="1" ht="13.5" customHeight="1" x14ac:dyDescent="0.25">
      <c r="A117" s="44"/>
      <c r="B117" s="783"/>
      <c r="C117" s="94"/>
      <c r="D117" s="1084"/>
      <c r="E117" s="360"/>
      <c r="F117" s="64"/>
      <c r="G117" s="362" t="s">
        <v>13</v>
      </c>
      <c r="H117" s="363">
        <f>SUM(H114:H116)</f>
        <v>128885</v>
      </c>
      <c r="I117" s="346"/>
      <c r="J117" s="347"/>
      <c r="K117" s="727"/>
      <c r="L117" s="735"/>
      <c r="M117" s="125"/>
      <c r="N117" s="365"/>
      <c r="P117" s="194"/>
    </row>
    <row r="118" spans="1:19" s="12" customFormat="1" ht="12.75" customHeight="1" x14ac:dyDescent="0.25">
      <c r="A118" s="44"/>
      <c r="B118" s="783"/>
      <c r="C118" s="94"/>
      <c r="D118" s="943" t="s">
        <v>162</v>
      </c>
      <c r="E118" s="360"/>
      <c r="F118" s="64"/>
      <c r="G118" s="38" t="s">
        <v>22</v>
      </c>
      <c r="H118" s="343">
        <f>30/3.4528*1000</f>
        <v>8689</v>
      </c>
      <c r="I118" s="366"/>
      <c r="J118" s="367"/>
      <c r="K118" s="923" t="s">
        <v>102</v>
      </c>
      <c r="L118" s="178">
        <v>1</v>
      </c>
      <c r="M118" s="761"/>
      <c r="N118" s="786"/>
      <c r="P118" s="194"/>
    </row>
    <row r="119" spans="1:19" s="12" customFormat="1" ht="15" customHeight="1" x14ac:dyDescent="0.25">
      <c r="A119" s="44"/>
      <c r="B119" s="783"/>
      <c r="C119" s="94"/>
      <c r="D119" s="943"/>
      <c r="E119" s="368"/>
      <c r="F119" s="66"/>
      <c r="G119" s="41"/>
      <c r="H119" s="325"/>
      <c r="I119" s="177"/>
      <c r="J119" s="326"/>
      <c r="K119" s="923"/>
      <c r="L119" s="178"/>
      <c r="M119" s="761"/>
      <c r="N119" s="786"/>
      <c r="P119" s="194"/>
    </row>
    <row r="120" spans="1:19" s="12" customFormat="1" x14ac:dyDescent="0.25">
      <c r="A120" s="44"/>
      <c r="B120" s="783"/>
      <c r="C120" s="94"/>
      <c r="D120" s="1003"/>
      <c r="E120" s="368"/>
      <c r="F120" s="66"/>
      <c r="G120" s="362" t="s">
        <v>13</v>
      </c>
      <c r="H120" s="363">
        <f>SUM(H118:H119)</f>
        <v>8689</v>
      </c>
      <c r="I120" s="346"/>
      <c r="J120" s="347"/>
      <c r="K120" s="1085"/>
      <c r="L120" s="735"/>
      <c r="M120" s="125"/>
      <c r="N120" s="365"/>
      <c r="P120" s="194"/>
    </row>
    <row r="121" spans="1:19" s="12" customFormat="1" ht="30.75" customHeight="1" x14ac:dyDescent="0.25">
      <c r="A121" s="44"/>
      <c r="B121" s="783"/>
      <c r="C121" s="94"/>
      <c r="D121" s="942" t="s">
        <v>137</v>
      </c>
      <c r="E121" s="360"/>
      <c r="F121" s="64"/>
      <c r="G121" s="38" t="s">
        <v>22</v>
      </c>
      <c r="H121" s="343"/>
      <c r="I121" s="366">
        <f>17.9/3.4528*1000</f>
        <v>5184</v>
      </c>
      <c r="J121" s="367">
        <f>3.4/3.4528*1000</f>
        <v>985</v>
      </c>
      <c r="K121" s="747" t="s">
        <v>201</v>
      </c>
      <c r="L121" s="748"/>
      <c r="M121" s="749">
        <v>1</v>
      </c>
      <c r="N121" s="736"/>
      <c r="P121" s="194"/>
    </row>
    <row r="122" spans="1:19" s="12" customFormat="1" ht="15" customHeight="1" x14ac:dyDescent="0.25">
      <c r="A122" s="44"/>
      <c r="B122" s="783"/>
      <c r="C122" s="94"/>
      <c r="D122" s="943"/>
      <c r="E122" s="368"/>
      <c r="F122" s="66"/>
      <c r="G122" s="38" t="s">
        <v>36</v>
      </c>
      <c r="H122" s="343"/>
      <c r="I122" s="366">
        <f>45/3.4528*1000</f>
        <v>13033</v>
      </c>
      <c r="J122" s="329">
        <f>19.3/3.4528*1000</f>
        <v>5590</v>
      </c>
      <c r="K122" s="188" t="s">
        <v>102</v>
      </c>
      <c r="L122" s="189"/>
      <c r="M122" s="760"/>
      <c r="N122" s="785">
        <v>1</v>
      </c>
      <c r="P122" s="194"/>
    </row>
    <row r="123" spans="1:19" s="12" customFormat="1" x14ac:dyDescent="0.25">
      <c r="A123" s="44"/>
      <c r="B123" s="783"/>
      <c r="C123" s="94"/>
      <c r="D123" s="1003"/>
      <c r="E123" s="369"/>
      <c r="F123" s="370"/>
      <c r="G123" s="362" t="s">
        <v>13</v>
      </c>
      <c r="H123" s="363"/>
      <c r="I123" s="346">
        <f>SUM(I121:I122)</f>
        <v>18217</v>
      </c>
      <c r="J123" s="347">
        <f>SUM(J121:J122)</f>
        <v>6575</v>
      </c>
      <c r="K123" s="727"/>
      <c r="L123" s="735"/>
      <c r="M123" s="125"/>
      <c r="N123" s="365"/>
      <c r="P123" s="194"/>
    </row>
    <row r="124" spans="1:19" ht="39.75" customHeight="1" x14ac:dyDescent="0.2">
      <c r="A124" s="44"/>
      <c r="B124" s="783"/>
      <c r="C124" s="101"/>
      <c r="D124" s="471" t="s">
        <v>148</v>
      </c>
      <c r="E124" s="75"/>
      <c r="F124" s="372" t="s">
        <v>30</v>
      </c>
      <c r="G124" s="373" t="s">
        <v>22</v>
      </c>
      <c r="H124" s="374">
        <f>10/3.4528*1000</f>
        <v>2896</v>
      </c>
      <c r="I124" s="329"/>
      <c r="J124" s="329"/>
      <c r="K124" s="728" t="s">
        <v>161</v>
      </c>
      <c r="L124" s="737">
        <v>100</v>
      </c>
      <c r="M124" s="765"/>
      <c r="N124" s="766"/>
      <c r="Q124" s="42"/>
      <c r="R124" s="42"/>
      <c r="S124" s="42"/>
    </row>
    <row r="125" spans="1:19" s="12" customFormat="1" ht="36.75" customHeight="1" x14ac:dyDescent="0.25">
      <c r="A125" s="44"/>
      <c r="B125" s="783"/>
      <c r="C125" s="94"/>
      <c r="D125" s="943" t="s">
        <v>178</v>
      </c>
      <c r="E125" s="324"/>
      <c r="F125" s="95"/>
      <c r="G125" s="40" t="s">
        <v>22</v>
      </c>
      <c r="H125" s="328">
        <f>100/3.4528*1000</f>
        <v>28962</v>
      </c>
      <c r="I125" s="272">
        <f>1100/3.4528*1000</f>
        <v>318582</v>
      </c>
      <c r="J125" s="377"/>
      <c r="K125" s="729" t="s">
        <v>102</v>
      </c>
      <c r="L125" s="625">
        <v>1</v>
      </c>
      <c r="M125" s="470"/>
      <c r="N125" s="786"/>
      <c r="P125" s="194"/>
    </row>
    <row r="126" spans="1:19" s="12" customFormat="1" ht="19.5" customHeight="1" x14ac:dyDescent="0.25">
      <c r="A126" s="44"/>
      <c r="B126" s="783"/>
      <c r="C126" s="94"/>
      <c r="D126" s="943"/>
      <c r="E126" s="324"/>
      <c r="F126" s="95"/>
      <c r="G126" s="375"/>
      <c r="H126" s="376"/>
      <c r="I126" s="272"/>
      <c r="J126" s="377"/>
      <c r="K126" s="730" t="s">
        <v>144</v>
      </c>
      <c r="L126" s="738"/>
      <c r="M126" s="378">
        <v>100</v>
      </c>
      <c r="N126" s="785"/>
      <c r="P126" s="194"/>
    </row>
    <row r="127" spans="1:19" s="12" customFormat="1" ht="38.25" customHeight="1" x14ac:dyDescent="0.25">
      <c r="A127" s="44"/>
      <c r="B127" s="783"/>
      <c r="C127" s="94"/>
      <c r="D127" s="942" t="s">
        <v>135</v>
      </c>
      <c r="E127" s="1112"/>
      <c r="F127" s="1103"/>
      <c r="G127" s="38" t="s">
        <v>22</v>
      </c>
      <c r="H127" s="343">
        <f>60/3.4528*1000-7553</f>
        <v>9824</v>
      </c>
      <c r="I127" s="379"/>
      <c r="J127" s="380"/>
      <c r="K127" s="1113" t="s">
        <v>134</v>
      </c>
      <c r="L127" s="1100">
        <v>300</v>
      </c>
      <c r="M127" s="997"/>
      <c r="N127" s="1000"/>
      <c r="P127" s="194"/>
    </row>
    <row r="128" spans="1:19" s="11" customFormat="1" ht="13.5" customHeight="1" x14ac:dyDescent="0.25">
      <c r="A128" s="44"/>
      <c r="B128" s="783"/>
      <c r="C128" s="94"/>
      <c r="D128" s="943"/>
      <c r="E128" s="1112"/>
      <c r="F128" s="1103"/>
      <c r="G128" s="381" t="s">
        <v>13</v>
      </c>
      <c r="H128" s="162">
        <f>SUM(H124:H127)</f>
        <v>41682</v>
      </c>
      <c r="I128" s="382">
        <f t="shared" ref="I128:J128" si="5">SUM(I124:I127)</f>
        <v>318582</v>
      </c>
      <c r="J128" s="382">
        <f t="shared" si="5"/>
        <v>0</v>
      </c>
      <c r="K128" s="1114"/>
      <c r="L128" s="1101"/>
      <c r="M128" s="998"/>
      <c r="N128" s="1001"/>
      <c r="P128" s="568"/>
    </row>
    <row r="129" spans="1:17" s="11" customFormat="1" ht="13.5" customHeight="1" thickBot="1" x14ac:dyDescent="0.3">
      <c r="A129" s="348"/>
      <c r="B129" s="21"/>
      <c r="C129" s="383"/>
      <c r="D129" s="1111"/>
      <c r="E129" s="1108" t="s">
        <v>128</v>
      </c>
      <c r="F129" s="1109"/>
      <c r="G129" s="1110"/>
      <c r="H129" s="143">
        <f>H128+H123+H120+H117</f>
        <v>179256</v>
      </c>
      <c r="I129" s="384">
        <f t="shared" ref="I129:J129" si="6">I128+I123+I120+I117</f>
        <v>336799</v>
      </c>
      <c r="J129" s="384">
        <f t="shared" si="6"/>
        <v>6575</v>
      </c>
      <c r="K129" s="1115"/>
      <c r="L129" s="1102"/>
      <c r="M129" s="999"/>
      <c r="N129" s="1002"/>
      <c r="P129" s="568"/>
    </row>
    <row r="130" spans="1:17" s="11" customFormat="1" ht="13.5" thickBot="1" x14ac:dyDescent="0.3">
      <c r="A130" s="14" t="s">
        <v>8</v>
      </c>
      <c r="B130" s="43" t="s">
        <v>17</v>
      </c>
      <c r="C130" s="1116" t="s">
        <v>25</v>
      </c>
      <c r="D130" s="1053"/>
      <c r="E130" s="1053"/>
      <c r="F130" s="1053"/>
      <c r="G130" s="1078"/>
      <c r="H130" s="385">
        <f>H129+H112</f>
        <v>663442</v>
      </c>
      <c r="I130" s="386">
        <f t="shared" ref="I130:J130" si="7">I129+I112</f>
        <v>336799</v>
      </c>
      <c r="J130" s="386">
        <f t="shared" si="7"/>
        <v>6575</v>
      </c>
      <c r="K130" s="901"/>
      <c r="L130" s="902"/>
      <c r="M130" s="902"/>
      <c r="N130" s="903"/>
      <c r="P130" s="568"/>
    </row>
    <row r="131" spans="1:17" ht="13.5" thickBot="1" x14ac:dyDescent="0.25">
      <c r="A131" s="14" t="s">
        <v>8</v>
      </c>
      <c r="B131" s="43" t="s">
        <v>19</v>
      </c>
      <c r="C131" s="977" t="s">
        <v>85</v>
      </c>
      <c r="D131" s="978"/>
      <c r="E131" s="978"/>
      <c r="F131" s="978"/>
      <c r="G131" s="978"/>
      <c r="H131" s="978"/>
      <c r="I131" s="978"/>
      <c r="J131" s="978"/>
      <c r="K131" s="978"/>
      <c r="L131" s="978"/>
      <c r="M131" s="978"/>
      <c r="N131" s="979"/>
    </row>
    <row r="132" spans="1:17" x14ac:dyDescent="0.2">
      <c r="A132" s="46" t="s">
        <v>8</v>
      </c>
      <c r="B132" s="47" t="s">
        <v>19</v>
      </c>
      <c r="C132" s="106" t="s">
        <v>8</v>
      </c>
      <c r="D132" s="387" t="s">
        <v>136</v>
      </c>
      <c r="E132" s="388"/>
      <c r="F132" s="389"/>
      <c r="G132" s="36"/>
      <c r="H132" s="156"/>
      <c r="I132" s="243"/>
      <c r="J132" s="307"/>
      <c r="K132" s="357"/>
      <c r="L132" s="811"/>
      <c r="M132" s="812"/>
      <c r="N132" s="756"/>
    </row>
    <row r="133" spans="1:17" ht="12" customHeight="1" x14ac:dyDescent="0.2">
      <c r="A133" s="44"/>
      <c r="B133" s="45"/>
      <c r="C133" s="103"/>
      <c r="D133" s="390" t="s">
        <v>149</v>
      </c>
      <c r="E133" s="371"/>
      <c r="F133" s="391" t="s">
        <v>48</v>
      </c>
      <c r="G133" s="37" t="s">
        <v>22</v>
      </c>
      <c r="H133" s="327">
        <f>400/3.4528*1000</f>
        <v>115848</v>
      </c>
      <c r="I133" s="392"/>
      <c r="J133" s="329"/>
      <c r="K133" s="980" t="s">
        <v>165</v>
      </c>
      <c r="L133" s="393"/>
      <c r="M133" s="394"/>
      <c r="N133" s="395"/>
    </row>
    <row r="134" spans="1:17" ht="18.75" customHeight="1" x14ac:dyDescent="0.2">
      <c r="A134" s="44"/>
      <c r="B134" s="45"/>
      <c r="C134" s="103"/>
      <c r="D134" s="396"/>
      <c r="E134" s="397"/>
      <c r="F134" s="398"/>
      <c r="G134" s="37" t="s">
        <v>189</v>
      </c>
      <c r="H134" s="631">
        <v>94138</v>
      </c>
      <c r="I134" s="206"/>
      <c r="J134" s="207"/>
      <c r="K134" s="981"/>
      <c r="L134" s="399"/>
      <c r="M134" s="400"/>
      <c r="N134" s="401"/>
    </row>
    <row r="135" spans="1:17" x14ac:dyDescent="0.2">
      <c r="A135" s="44"/>
      <c r="B135" s="45"/>
      <c r="C135" s="103"/>
      <c r="D135" s="396"/>
      <c r="E135" s="397"/>
      <c r="F135" s="398"/>
      <c r="G135" s="402" t="s">
        <v>13</v>
      </c>
      <c r="H135" s="403">
        <f>SUM(H133:H134)</f>
        <v>209986</v>
      </c>
      <c r="I135" s="163"/>
      <c r="J135" s="294"/>
      <c r="K135" s="982"/>
      <c r="L135" s="404"/>
      <c r="M135" s="405"/>
      <c r="N135" s="406">
        <v>100</v>
      </c>
    </row>
    <row r="136" spans="1:17" ht="12" customHeight="1" x14ac:dyDescent="0.2">
      <c r="A136" s="44"/>
      <c r="B136" s="45"/>
      <c r="C136" s="103"/>
      <c r="D136" s="975" t="s">
        <v>138</v>
      </c>
      <c r="E136" s="407" t="s">
        <v>52</v>
      </c>
      <c r="F136" s="391" t="s">
        <v>84</v>
      </c>
      <c r="G136" s="37" t="s">
        <v>189</v>
      </c>
      <c r="H136" s="327">
        <f>53.7/3.4528*1000</f>
        <v>15553</v>
      </c>
      <c r="I136" s="408"/>
      <c r="J136" s="366"/>
      <c r="K136" s="980" t="s">
        <v>142</v>
      </c>
      <c r="L136" s="129">
        <v>1</v>
      </c>
      <c r="M136" s="800"/>
      <c r="N136" s="805"/>
    </row>
    <row r="137" spans="1:17" ht="14.25" customHeight="1" x14ac:dyDescent="0.2">
      <c r="A137" s="44"/>
      <c r="B137" s="45"/>
      <c r="C137" s="103"/>
      <c r="D137" s="852"/>
      <c r="E137" s="972" t="s">
        <v>139</v>
      </c>
      <c r="F137" s="91"/>
      <c r="G137" s="41" t="s">
        <v>22</v>
      </c>
      <c r="H137" s="325"/>
      <c r="I137" s="392">
        <f>386.1/3.4528*1000</f>
        <v>111822</v>
      </c>
      <c r="J137" s="329">
        <f>579.1/3.4528*1000</f>
        <v>167719</v>
      </c>
      <c r="K137" s="982"/>
      <c r="L137" s="409"/>
      <c r="M137" s="227"/>
      <c r="N137" s="410"/>
    </row>
    <row r="138" spans="1:17" x14ac:dyDescent="0.2">
      <c r="A138" s="44"/>
      <c r="B138" s="45"/>
      <c r="C138" s="103"/>
      <c r="D138" s="852"/>
      <c r="E138" s="973"/>
      <c r="F138" s="398"/>
      <c r="G138" s="38" t="s">
        <v>36</v>
      </c>
      <c r="H138" s="343"/>
      <c r="I138" s="408">
        <f>2187.8/3.4528*1000</f>
        <v>633631</v>
      </c>
      <c r="J138" s="366">
        <f>3281.7/3.4528*1000</f>
        <v>950446</v>
      </c>
      <c r="K138" s="359" t="s">
        <v>143</v>
      </c>
      <c r="L138" s="393"/>
      <c r="M138" s="394">
        <v>30</v>
      </c>
      <c r="N138" s="395">
        <v>80</v>
      </c>
    </row>
    <row r="139" spans="1:17" x14ac:dyDescent="0.2">
      <c r="A139" s="422"/>
      <c r="B139" s="753"/>
      <c r="C139" s="754"/>
      <c r="D139" s="976"/>
      <c r="E139" s="974"/>
      <c r="F139" s="416"/>
      <c r="G139" s="99" t="s">
        <v>13</v>
      </c>
      <c r="H139" s="332">
        <f>SUM(H136:H138)</f>
        <v>15553</v>
      </c>
      <c r="I139" s="332">
        <f>SUM(I136:I138)</f>
        <v>745453</v>
      </c>
      <c r="J139" s="474">
        <f>SUM(J136:J138)</f>
        <v>1118165</v>
      </c>
      <c r="K139" s="364"/>
      <c r="L139" s="412"/>
      <c r="M139" s="413"/>
      <c r="N139" s="414"/>
    </row>
    <row r="140" spans="1:17" ht="12" customHeight="1" x14ac:dyDescent="0.2">
      <c r="A140" s="44"/>
      <c r="B140" s="45"/>
      <c r="C140" s="103"/>
      <c r="D140" s="852" t="s">
        <v>141</v>
      </c>
      <c r="E140" s="67"/>
      <c r="F140" s="398"/>
      <c r="G140" s="40" t="s">
        <v>189</v>
      </c>
      <c r="H140" s="328">
        <f>112.6/3.4528*1000</f>
        <v>32611</v>
      </c>
      <c r="I140" s="206"/>
      <c r="J140" s="207"/>
      <c r="K140" s="981" t="s">
        <v>142</v>
      </c>
      <c r="L140" s="399">
        <v>1</v>
      </c>
      <c r="M140" s="400"/>
      <c r="N140" s="401"/>
    </row>
    <row r="141" spans="1:17" ht="15.75" customHeight="1" x14ac:dyDescent="0.2">
      <c r="A141" s="44"/>
      <c r="B141" s="45"/>
      <c r="C141" s="103"/>
      <c r="D141" s="852"/>
      <c r="E141" s="397"/>
      <c r="F141" s="398"/>
      <c r="G141" s="37" t="s">
        <v>22</v>
      </c>
      <c r="H141" s="327"/>
      <c r="I141" s="392">
        <f>431.4/3.4528*1000</f>
        <v>124942</v>
      </c>
      <c r="J141" s="329">
        <f>647.2/3.4528*1000</f>
        <v>187442</v>
      </c>
      <c r="K141" s="982"/>
      <c r="L141" s="412"/>
      <c r="M141" s="413"/>
      <c r="N141" s="414"/>
      <c r="Q141" s="42"/>
    </row>
    <row r="142" spans="1:17" ht="12" customHeight="1" x14ac:dyDescent="0.2">
      <c r="A142" s="44"/>
      <c r="B142" s="45"/>
      <c r="C142" s="103"/>
      <c r="D142" s="852"/>
      <c r="E142" s="397"/>
      <c r="F142" s="398"/>
      <c r="G142" s="38" t="s">
        <v>36</v>
      </c>
      <c r="H142" s="343"/>
      <c r="I142" s="408">
        <f>2444.8/3.4528*1000</f>
        <v>708063</v>
      </c>
      <c r="J142" s="366">
        <f>3667.2/3.4528*1000</f>
        <v>1062095</v>
      </c>
      <c r="K142" s="772" t="s">
        <v>143</v>
      </c>
      <c r="L142" s="393"/>
      <c r="M142" s="394">
        <v>30</v>
      </c>
      <c r="N142" s="395">
        <v>80</v>
      </c>
      <c r="P142" s="570"/>
    </row>
    <row r="143" spans="1:17" ht="12" customHeight="1" x14ac:dyDescent="0.2">
      <c r="A143" s="44"/>
      <c r="B143" s="45"/>
      <c r="C143" s="103"/>
      <c r="D143" s="852"/>
      <c r="E143" s="415"/>
      <c r="F143" s="416"/>
      <c r="G143" s="381" t="s">
        <v>13</v>
      </c>
      <c r="H143" s="162">
        <f>SUM(H140:H142)</f>
        <v>32611</v>
      </c>
      <c r="I143" s="162">
        <f>SUM(I140:I142)</f>
        <v>833005</v>
      </c>
      <c r="J143" s="411">
        <f>SUM(J140:J142)</f>
        <v>1249537</v>
      </c>
      <c r="K143" s="1035"/>
      <c r="L143" s="399"/>
      <c r="M143" s="400"/>
      <c r="N143" s="401"/>
    </row>
    <row r="144" spans="1:17" ht="12.75" customHeight="1" thickBot="1" x14ac:dyDescent="0.25">
      <c r="A144" s="781"/>
      <c r="B144" s="783"/>
      <c r="C144" s="216"/>
      <c r="D144" s="889"/>
      <c r="E144" s="1025" t="s">
        <v>128</v>
      </c>
      <c r="F144" s="1025"/>
      <c r="G144" s="1026"/>
      <c r="H144" s="417">
        <f>H143+H139+H135</f>
        <v>258150</v>
      </c>
      <c r="I144" s="133">
        <f t="shared" ref="I144:J144" si="8">I143+I139+I135</f>
        <v>1578458</v>
      </c>
      <c r="J144" s="134">
        <f t="shared" si="8"/>
        <v>2367702</v>
      </c>
      <c r="K144" s="1036"/>
      <c r="L144" s="418"/>
      <c r="M144" s="419"/>
      <c r="N144" s="420"/>
    </row>
    <row r="145" spans="1:20" ht="51" x14ac:dyDescent="0.2">
      <c r="A145" s="46" t="s">
        <v>8</v>
      </c>
      <c r="B145" s="782" t="s">
        <v>19</v>
      </c>
      <c r="C145" s="109" t="s">
        <v>14</v>
      </c>
      <c r="D145" s="73" t="s">
        <v>86</v>
      </c>
      <c r="E145" s="96" t="s">
        <v>140</v>
      </c>
      <c r="F145" s="767"/>
      <c r="G145" s="17"/>
      <c r="H145" s="147"/>
      <c r="I145" s="307"/>
      <c r="J145" s="308"/>
      <c r="K145" s="54"/>
      <c r="L145" s="811"/>
      <c r="M145" s="812"/>
      <c r="N145" s="756"/>
    </row>
    <row r="146" spans="1:20" ht="25.5" x14ac:dyDescent="0.2">
      <c r="A146" s="44"/>
      <c r="B146" s="783"/>
      <c r="C146" s="775"/>
      <c r="D146" s="762" t="s">
        <v>63</v>
      </c>
      <c r="E146" s="96"/>
      <c r="F146" s="995" t="s">
        <v>21</v>
      </c>
      <c r="G146" s="20" t="s">
        <v>27</v>
      </c>
      <c r="H146" s="120">
        <f>2900/3.4528*1000</f>
        <v>839898</v>
      </c>
      <c r="I146" s="207">
        <f>2900/3.4528*1000</f>
        <v>839898</v>
      </c>
      <c r="J146" s="207">
        <f>2900/3.4528*1000</f>
        <v>839898</v>
      </c>
      <c r="K146" s="90" t="s">
        <v>127</v>
      </c>
      <c r="L146" s="421">
        <v>30</v>
      </c>
      <c r="M146" s="801">
        <v>25</v>
      </c>
      <c r="N146" s="806">
        <v>20</v>
      </c>
      <c r="O146" s="69"/>
      <c r="Q146" s="69"/>
      <c r="R146" s="69"/>
    </row>
    <row r="147" spans="1:20" ht="38.25" x14ac:dyDescent="0.2">
      <c r="A147" s="44"/>
      <c r="B147" s="783"/>
      <c r="C147" s="775"/>
      <c r="D147" s="762" t="s">
        <v>64</v>
      </c>
      <c r="E147" s="472"/>
      <c r="F147" s="995"/>
      <c r="G147" s="34" t="s">
        <v>197</v>
      </c>
      <c r="H147" s="425">
        <v>269965</v>
      </c>
      <c r="I147" s="366"/>
      <c r="J147" s="366"/>
      <c r="K147" s="90" t="s">
        <v>69</v>
      </c>
      <c r="L147" s="421">
        <v>40</v>
      </c>
      <c r="M147" s="801">
        <v>40</v>
      </c>
      <c r="N147" s="806">
        <v>39</v>
      </c>
      <c r="T147" s="42"/>
    </row>
    <row r="148" spans="1:20" ht="51" x14ac:dyDescent="0.2">
      <c r="A148" s="44"/>
      <c r="B148" s="783"/>
      <c r="C148" s="775"/>
      <c r="D148" s="762" t="s">
        <v>65</v>
      </c>
      <c r="E148" s="96"/>
      <c r="F148" s="995"/>
      <c r="G148" s="20"/>
      <c r="H148" s="120"/>
      <c r="I148" s="207"/>
      <c r="J148" s="207"/>
      <c r="K148" s="90" t="s">
        <v>104</v>
      </c>
      <c r="L148" s="421">
        <v>100</v>
      </c>
      <c r="M148" s="801">
        <v>110</v>
      </c>
      <c r="N148" s="806">
        <v>115</v>
      </c>
    </row>
    <row r="149" spans="1:20" ht="38.25" x14ac:dyDescent="0.2">
      <c r="A149" s="44"/>
      <c r="B149" s="783"/>
      <c r="C149" s="775"/>
      <c r="D149" s="762" t="s">
        <v>66</v>
      </c>
      <c r="E149" s="68"/>
      <c r="F149" s="995"/>
      <c r="G149" s="20"/>
      <c r="H149" s="120"/>
      <c r="I149" s="207"/>
      <c r="J149" s="207"/>
      <c r="K149" s="90" t="s">
        <v>105</v>
      </c>
      <c r="L149" s="421">
        <v>60</v>
      </c>
      <c r="M149" s="801">
        <v>50</v>
      </c>
      <c r="N149" s="806">
        <v>40</v>
      </c>
    </row>
    <row r="150" spans="1:20" ht="25.5" x14ac:dyDescent="0.2">
      <c r="A150" s="44"/>
      <c r="B150" s="783"/>
      <c r="C150" s="1087"/>
      <c r="D150" s="776" t="s">
        <v>67</v>
      </c>
      <c r="E150" s="68"/>
      <c r="F150" s="1028"/>
      <c r="G150" s="29"/>
      <c r="H150" s="138"/>
      <c r="I150" s="177"/>
      <c r="J150" s="177"/>
      <c r="K150" s="423" t="s">
        <v>94</v>
      </c>
      <c r="L150" s="424">
        <v>84</v>
      </c>
      <c r="M150" s="227">
        <v>85</v>
      </c>
      <c r="N150" s="228">
        <v>86</v>
      </c>
    </row>
    <row r="151" spans="1:20" x14ac:dyDescent="0.2">
      <c r="A151" s="44"/>
      <c r="B151" s="783"/>
      <c r="C151" s="1087"/>
      <c r="D151" s="850" t="s">
        <v>68</v>
      </c>
      <c r="E151" s="68"/>
      <c r="F151" s="1027" t="s">
        <v>21</v>
      </c>
      <c r="G151" s="34" t="s">
        <v>16</v>
      </c>
      <c r="H151" s="425">
        <f>19/3.4528*1000</f>
        <v>5503</v>
      </c>
      <c r="I151" s="426">
        <f>19/3.4528*1000</f>
        <v>5503</v>
      </c>
      <c r="J151" s="426">
        <f>193.4528*1000</f>
        <v>193453</v>
      </c>
      <c r="K151" s="1029" t="s">
        <v>101</v>
      </c>
      <c r="L151" s="129">
        <v>12</v>
      </c>
      <c r="M151" s="800">
        <v>12</v>
      </c>
      <c r="N151" s="805">
        <v>12</v>
      </c>
    </row>
    <row r="152" spans="1:20" x14ac:dyDescent="0.2">
      <c r="A152" s="71"/>
      <c r="B152" s="783"/>
      <c r="C152" s="1087"/>
      <c r="D152" s="938"/>
      <c r="E152" s="68"/>
      <c r="F152" s="995"/>
      <c r="G152" s="20"/>
      <c r="H152" s="120"/>
      <c r="I152" s="211"/>
      <c r="J152" s="211"/>
      <c r="K152" s="1030"/>
      <c r="L152" s="427"/>
      <c r="M152" s="231"/>
      <c r="N152" s="232"/>
    </row>
    <row r="153" spans="1:20" x14ac:dyDescent="0.2">
      <c r="A153" s="428"/>
      <c r="B153" s="222"/>
      <c r="C153" s="1088"/>
      <c r="D153" s="1089"/>
      <c r="E153" s="429"/>
      <c r="F153" s="1028"/>
      <c r="G153" s="430" t="s">
        <v>13</v>
      </c>
      <c r="H153" s="431">
        <f>SUM(H146:H152)</f>
        <v>1115366</v>
      </c>
      <c r="I153" s="432">
        <f>SUM(I146:I152)</f>
        <v>845401</v>
      </c>
      <c r="J153" s="433">
        <f>SUM(J146:J152)</f>
        <v>1033351</v>
      </c>
      <c r="K153" s="1031"/>
      <c r="L153" s="434"/>
      <c r="M153" s="435"/>
      <c r="N153" s="436"/>
      <c r="P153" s="570"/>
    </row>
    <row r="154" spans="1:20" ht="40.5" customHeight="1" x14ac:dyDescent="0.2">
      <c r="A154" s="44" t="s">
        <v>8</v>
      </c>
      <c r="B154" s="783" t="s">
        <v>19</v>
      </c>
      <c r="C154" s="1051" t="s">
        <v>17</v>
      </c>
      <c r="D154" s="613" t="s">
        <v>70</v>
      </c>
      <c r="E154" s="96"/>
      <c r="F154" s="803"/>
      <c r="G154" s="29"/>
      <c r="H154" s="138"/>
      <c r="I154" s="177"/>
      <c r="J154" s="177"/>
      <c r="K154" s="423"/>
      <c r="L154" s="424"/>
      <c r="M154" s="227"/>
      <c r="N154" s="228"/>
    </row>
    <row r="155" spans="1:20" ht="17.25" customHeight="1" x14ac:dyDescent="0.2">
      <c r="A155" s="71"/>
      <c r="B155" s="783"/>
      <c r="C155" s="1051"/>
      <c r="D155" s="852" t="s">
        <v>71</v>
      </c>
      <c r="E155" s="96"/>
      <c r="F155" s="74" t="s">
        <v>48</v>
      </c>
      <c r="G155" s="34" t="s">
        <v>16</v>
      </c>
      <c r="H155" s="425">
        <f>619/3.4528*1000</f>
        <v>179275</v>
      </c>
      <c r="I155" s="211"/>
      <c r="J155" s="211"/>
      <c r="K155" s="83"/>
      <c r="L155" s="437"/>
      <c r="M155" s="438"/>
      <c r="N155" s="439"/>
    </row>
    <row r="156" spans="1:20" ht="17.25" customHeight="1" x14ac:dyDescent="0.2">
      <c r="A156" s="71"/>
      <c r="B156" s="783"/>
      <c r="C156" s="1051"/>
      <c r="D156" s="852"/>
      <c r="E156" s="96"/>
      <c r="F156" s="803"/>
      <c r="G156" s="34" t="s">
        <v>12</v>
      </c>
      <c r="H156" s="425">
        <v>405468</v>
      </c>
      <c r="I156" s="636"/>
      <c r="J156" s="636"/>
      <c r="K156" s="130" t="s">
        <v>200</v>
      </c>
      <c r="L156" s="637">
        <v>8</v>
      </c>
      <c r="M156" s="638"/>
      <c r="N156" s="639"/>
    </row>
    <row r="157" spans="1:20" ht="14.25" customHeight="1" thickBot="1" x14ac:dyDescent="0.25">
      <c r="A157" s="77"/>
      <c r="B157" s="808"/>
      <c r="C157" s="1052"/>
      <c r="D157" s="889"/>
      <c r="E157" s="97"/>
      <c r="F157" s="72"/>
      <c r="G157" s="78" t="s">
        <v>13</v>
      </c>
      <c r="H157" s="133">
        <f>SUM(H155:H156)</f>
        <v>584743</v>
      </c>
      <c r="I157" s="145"/>
      <c r="J157" s="145"/>
      <c r="K157" s="102"/>
      <c r="L157" s="440"/>
      <c r="M157" s="441"/>
      <c r="N157" s="442"/>
    </row>
    <row r="158" spans="1:20" s="11" customFormat="1" ht="13.5" thickBot="1" x14ac:dyDescent="0.3">
      <c r="A158" s="14" t="s">
        <v>8</v>
      </c>
      <c r="B158" s="15" t="s">
        <v>19</v>
      </c>
      <c r="C158" s="1053" t="s">
        <v>25</v>
      </c>
      <c r="D158" s="1053"/>
      <c r="E158" s="1053"/>
      <c r="F158" s="1053"/>
      <c r="G158" s="1053"/>
      <c r="H158" s="166">
        <f>H157+H153+H144</f>
        <v>1958259</v>
      </c>
      <c r="I158" s="443">
        <f>I157+I153+I144</f>
        <v>2423859</v>
      </c>
      <c r="J158" s="443">
        <f t="shared" ref="J158" si="9">J157+J153+J144</f>
        <v>3401053</v>
      </c>
      <c r="K158" s="901"/>
      <c r="L158" s="902"/>
      <c r="M158" s="902"/>
      <c r="N158" s="903"/>
      <c r="P158" s="568"/>
    </row>
    <row r="159" spans="1:20" ht="14.25" customHeight="1" thickBot="1" x14ac:dyDescent="0.25">
      <c r="A159" s="807" t="s">
        <v>8</v>
      </c>
      <c r="B159" s="48"/>
      <c r="C159" s="1039" t="s">
        <v>39</v>
      </c>
      <c r="D159" s="1039"/>
      <c r="E159" s="1039"/>
      <c r="F159" s="1039"/>
      <c r="G159" s="1039"/>
      <c r="H159" s="444">
        <f>H158+H130+H98+H33</f>
        <v>31585938</v>
      </c>
      <c r="I159" s="445">
        <f>I158+I130+I98+I33</f>
        <v>31156593</v>
      </c>
      <c r="J159" s="445">
        <f>J158+J130+J98+J33</f>
        <v>31820275</v>
      </c>
      <c r="K159" s="1040"/>
      <c r="L159" s="1041"/>
      <c r="M159" s="1041"/>
      <c r="N159" s="1042"/>
    </row>
    <row r="160" spans="1:20" s="11" customFormat="1" ht="13.5" customHeight="1" thickBot="1" x14ac:dyDescent="0.3">
      <c r="A160" s="49" t="s">
        <v>40</v>
      </c>
      <c r="B160" s="1043" t="s">
        <v>41</v>
      </c>
      <c r="C160" s="1044"/>
      <c r="D160" s="1044"/>
      <c r="E160" s="1044"/>
      <c r="F160" s="1044"/>
      <c r="G160" s="1044"/>
      <c r="H160" s="446">
        <f>H159</f>
        <v>31585938</v>
      </c>
      <c r="I160" s="447">
        <f t="shared" ref="I160:J160" si="10">I159</f>
        <v>31156593</v>
      </c>
      <c r="J160" s="447">
        <f t="shared" si="10"/>
        <v>31820275</v>
      </c>
      <c r="K160" s="1045"/>
      <c r="L160" s="1046"/>
      <c r="M160" s="1046"/>
      <c r="N160" s="1047"/>
      <c r="O160" s="5"/>
      <c r="P160" s="568"/>
    </row>
    <row r="161" spans="1:16" s="42" customFormat="1" ht="25.5" customHeight="1" thickBot="1" x14ac:dyDescent="0.25">
      <c r="B161" s="777"/>
      <c r="C161" s="50"/>
      <c r="D161" s="1037" t="s">
        <v>42</v>
      </c>
      <c r="E161" s="1037"/>
      <c r="F161" s="1037"/>
      <c r="G161" s="1037"/>
      <c r="H161" s="1037"/>
      <c r="I161" s="1037"/>
      <c r="J161" s="1037"/>
      <c r="K161" s="50"/>
      <c r="L161" s="50"/>
      <c r="M161" s="50"/>
      <c r="N161" s="50"/>
      <c r="P161" s="570"/>
    </row>
    <row r="162" spans="1:16" s="11" customFormat="1" ht="42.75" customHeight="1" thickBot="1" x14ac:dyDescent="0.3">
      <c r="A162" s="1048" t="s">
        <v>43</v>
      </c>
      <c r="B162" s="1049"/>
      <c r="C162" s="1049"/>
      <c r="D162" s="1049"/>
      <c r="E162" s="1049"/>
      <c r="F162" s="1049"/>
      <c r="G162" s="1050"/>
      <c r="H162" s="448" t="s">
        <v>155</v>
      </c>
      <c r="I162" s="449" t="s">
        <v>156</v>
      </c>
      <c r="J162" s="449" t="s">
        <v>159</v>
      </c>
      <c r="K162" s="778"/>
      <c r="L162" s="1038"/>
      <c r="M162" s="1038"/>
      <c r="N162" s="1038"/>
      <c r="P162" s="568"/>
    </row>
    <row r="163" spans="1:16" s="11" customFormat="1" ht="13.5" customHeight="1" thickBot="1" x14ac:dyDescent="0.3">
      <c r="A163" s="1010" t="s">
        <v>44</v>
      </c>
      <c r="B163" s="1011"/>
      <c r="C163" s="1011"/>
      <c r="D163" s="1011"/>
      <c r="E163" s="1011"/>
      <c r="F163" s="1011"/>
      <c r="G163" s="1012"/>
      <c r="H163" s="450">
        <f>SUM(H164:H170)</f>
        <v>16856953</v>
      </c>
      <c r="I163" s="451">
        <f>SUM(I164:I167)</f>
        <v>16015866</v>
      </c>
      <c r="J163" s="451">
        <f>SUM(J164:J167)</f>
        <v>15828194</v>
      </c>
      <c r="K163" s="763"/>
      <c r="L163" s="970"/>
      <c r="M163" s="970"/>
      <c r="N163" s="970"/>
      <c r="P163" s="568"/>
    </row>
    <row r="164" spans="1:16" s="11" customFormat="1" ht="12.75" customHeight="1" x14ac:dyDescent="0.25">
      <c r="A164" s="1054" t="s">
        <v>87</v>
      </c>
      <c r="B164" s="1055"/>
      <c r="C164" s="1055"/>
      <c r="D164" s="1055"/>
      <c r="E164" s="1055"/>
      <c r="F164" s="1055"/>
      <c r="G164" s="1056"/>
      <c r="H164" s="452">
        <f>SUMIF(G12:G155,"sb",H12:H155)</f>
        <v>10425313</v>
      </c>
      <c r="I164" s="453">
        <f>SUMIF(G12:G155,"sb",I12:I155)</f>
        <v>10536955</v>
      </c>
      <c r="J164" s="453">
        <f>SUMIF(G12:G155,"sb",J12:J155)</f>
        <v>10346386</v>
      </c>
      <c r="K164" s="779"/>
      <c r="L164" s="971"/>
      <c r="M164" s="971"/>
      <c r="N164" s="971"/>
      <c r="P164" s="568"/>
    </row>
    <row r="165" spans="1:16" s="11" customFormat="1" ht="15.75" customHeight="1" x14ac:dyDescent="0.25">
      <c r="A165" s="1016" t="s">
        <v>88</v>
      </c>
      <c r="B165" s="1017"/>
      <c r="C165" s="1017"/>
      <c r="D165" s="1017"/>
      <c r="E165" s="1017"/>
      <c r="F165" s="1017"/>
      <c r="G165" s="1018"/>
      <c r="H165" s="454">
        <f>SUMIF(G12:G155,"sb(sp)",H12:H155)</f>
        <v>1329211</v>
      </c>
      <c r="I165" s="455">
        <f>SUMIF(G12:G153,"sb(sp)",I12:I153)</f>
        <v>1367064</v>
      </c>
      <c r="J165" s="455">
        <f>SUMIF(G12:G155,"sb(sp)",J12:J155)</f>
        <v>1369961</v>
      </c>
      <c r="K165" s="779"/>
      <c r="L165" s="971"/>
      <c r="M165" s="971"/>
      <c r="N165" s="971"/>
      <c r="P165" s="568"/>
    </row>
    <row r="166" spans="1:16" s="11" customFormat="1" ht="15" customHeight="1" x14ac:dyDescent="0.25">
      <c r="A166" s="1016" t="s">
        <v>89</v>
      </c>
      <c r="B166" s="1017"/>
      <c r="C166" s="1017"/>
      <c r="D166" s="1017"/>
      <c r="E166" s="1017"/>
      <c r="F166" s="1017"/>
      <c r="G166" s="1018"/>
      <c r="H166" s="454">
        <f>SUMIF(G12:G156,"sb(vb)",H12:H156)</f>
        <v>4591463</v>
      </c>
      <c r="I166" s="455">
        <f>SUMIF(G12:G155,G12,I12:I155)</f>
        <v>4111847</v>
      </c>
      <c r="J166" s="455">
        <f>SUMIF(G12:G155,G12,J12:J155)</f>
        <v>4111847</v>
      </c>
      <c r="K166" s="779"/>
      <c r="L166" s="971"/>
      <c r="M166" s="971"/>
      <c r="N166" s="971"/>
      <c r="P166" s="568"/>
    </row>
    <row r="167" spans="1:16" s="11" customFormat="1" ht="12.75" customHeight="1" x14ac:dyDescent="0.25">
      <c r="A167" s="1004" t="s">
        <v>90</v>
      </c>
      <c r="B167" s="1005"/>
      <c r="C167" s="1005"/>
      <c r="D167" s="1005"/>
      <c r="E167" s="1005"/>
      <c r="F167" s="1005"/>
      <c r="G167" s="1006"/>
      <c r="H167" s="804">
        <f>SUMIF(G12:G155,"sb(p)",H12:H155)</f>
        <v>39794</v>
      </c>
      <c r="I167" s="456"/>
      <c r="J167" s="456"/>
      <c r="K167" s="779"/>
      <c r="L167" s="971"/>
      <c r="M167" s="971"/>
      <c r="N167" s="971"/>
      <c r="P167" s="568"/>
    </row>
    <row r="168" spans="1:16" s="11" customFormat="1" ht="12.75" customHeight="1" x14ac:dyDescent="0.25">
      <c r="A168" s="1004" t="s">
        <v>194</v>
      </c>
      <c r="B168" s="1005"/>
      <c r="C168" s="1005"/>
      <c r="D168" s="1005"/>
      <c r="E168" s="1005"/>
      <c r="F168" s="1005"/>
      <c r="G168" s="1006"/>
      <c r="H168" s="541">
        <f>SUMIF(G12:G155,"sb(l)",H12:H155)</f>
        <v>5979</v>
      </c>
      <c r="I168" s="571"/>
      <c r="J168" s="571"/>
      <c r="K168" s="779"/>
      <c r="L168" s="779"/>
      <c r="M168" s="779"/>
      <c r="N168" s="779"/>
      <c r="P168" s="568"/>
    </row>
    <row r="169" spans="1:16" s="11" customFormat="1" ht="13.5" customHeight="1" x14ac:dyDescent="0.25">
      <c r="A169" s="1007" t="s">
        <v>190</v>
      </c>
      <c r="B169" s="1008"/>
      <c r="C169" s="1008"/>
      <c r="D169" s="1008"/>
      <c r="E169" s="1008"/>
      <c r="F169" s="1008"/>
      <c r="G169" s="1009"/>
      <c r="H169" s="190">
        <f>SUMIF(G12:G155,"sb(pbl)",H12:H155)</f>
        <v>142302</v>
      </c>
      <c r="I169" s="614"/>
      <c r="J169" s="614"/>
      <c r="K169" s="779"/>
      <c r="L169" s="779"/>
      <c r="M169" s="779"/>
      <c r="N169" s="779"/>
      <c r="P169" s="568"/>
    </row>
    <row r="170" spans="1:16" s="11" customFormat="1" ht="13.5" customHeight="1" thickBot="1" x14ac:dyDescent="0.3">
      <c r="A170" s="1022" t="s">
        <v>199</v>
      </c>
      <c r="B170" s="1023"/>
      <c r="C170" s="1023"/>
      <c r="D170" s="1023"/>
      <c r="E170" s="1023"/>
      <c r="F170" s="1023"/>
      <c r="G170" s="1024"/>
      <c r="H170" s="457">
        <f>SUMIF(G12:G155,"SB(SPL)",H12:H155)</f>
        <v>322891</v>
      </c>
      <c r="I170" s="623"/>
      <c r="J170" s="623"/>
      <c r="K170" s="779"/>
      <c r="L170" s="779"/>
      <c r="M170" s="779"/>
      <c r="N170" s="779"/>
      <c r="P170" s="568"/>
    </row>
    <row r="171" spans="1:16" s="11" customFormat="1" ht="13.5" customHeight="1" thickBot="1" x14ac:dyDescent="0.3">
      <c r="A171" s="1010" t="s">
        <v>45</v>
      </c>
      <c r="B171" s="1011"/>
      <c r="C171" s="1011"/>
      <c r="D171" s="1011"/>
      <c r="E171" s="1011"/>
      <c r="F171" s="1011"/>
      <c r="G171" s="1012"/>
      <c r="H171" s="450">
        <f>SUM(H172:H174)</f>
        <v>14728985</v>
      </c>
      <c r="I171" s="451">
        <f>SUM(I172:I174)</f>
        <v>15140727</v>
      </c>
      <c r="J171" s="451">
        <f>J172+J173+J174</f>
        <v>15992081</v>
      </c>
      <c r="K171" s="763"/>
      <c r="L171" s="970"/>
      <c r="M171" s="970"/>
      <c r="N171" s="970"/>
      <c r="P171" s="568"/>
    </row>
    <row r="172" spans="1:16" s="11" customFormat="1" ht="12.75" customHeight="1" x14ac:dyDescent="0.25">
      <c r="A172" s="1013" t="s">
        <v>91</v>
      </c>
      <c r="B172" s="1014"/>
      <c r="C172" s="1014"/>
      <c r="D172" s="1014"/>
      <c r="E172" s="1014"/>
      <c r="F172" s="1014"/>
      <c r="G172" s="1015"/>
      <c r="H172" s="458">
        <f>SUMIF(G12:G155,"es",H12:H155)</f>
        <v>694062</v>
      </c>
      <c r="I172" s="459">
        <f>SUMIF(G12:G153,"es",I12:I153)</f>
        <v>1354727</v>
      </c>
      <c r="J172" s="459">
        <f>SUMIF(G12:G153,"es",J12:J153)</f>
        <v>2018131</v>
      </c>
      <c r="K172" s="779"/>
      <c r="L172" s="971"/>
      <c r="M172" s="971"/>
      <c r="N172" s="971"/>
      <c r="P172" s="568"/>
    </row>
    <row r="173" spans="1:16" s="11" customFormat="1" ht="12.75" customHeight="1" x14ac:dyDescent="0.25">
      <c r="A173" s="1016" t="s">
        <v>92</v>
      </c>
      <c r="B173" s="1017"/>
      <c r="C173" s="1017"/>
      <c r="D173" s="1017"/>
      <c r="E173" s="1017"/>
      <c r="F173" s="1017"/>
      <c r="G173" s="1018"/>
      <c r="H173" s="454">
        <f>SUMIF(G12:G155,"lrvb",H12:H155)</f>
        <v>14009407</v>
      </c>
      <c r="I173" s="455">
        <f>SUMIF(G12:G153,"lrvb",I12:I153)</f>
        <v>13784842</v>
      </c>
      <c r="J173" s="455">
        <f>SUMIF(G12:G153,"lrvb",J12:J153)</f>
        <v>13972792</v>
      </c>
      <c r="K173" s="460"/>
      <c r="L173" s="971"/>
      <c r="M173" s="971"/>
      <c r="N173" s="971"/>
      <c r="P173" s="568"/>
    </row>
    <row r="174" spans="1:16" s="11" customFormat="1" ht="13.5" customHeight="1" thickBot="1" x14ac:dyDescent="0.3">
      <c r="A174" s="1019" t="s">
        <v>95</v>
      </c>
      <c r="B174" s="1020"/>
      <c r="C174" s="1020"/>
      <c r="D174" s="1020"/>
      <c r="E174" s="1020"/>
      <c r="F174" s="1020"/>
      <c r="G174" s="1021"/>
      <c r="H174" s="452">
        <f>SUMIF(G12:G155,"kt",H12:H155)</f>
        <v>25516</v>
      </c>
      <c r="I174" s="459">
        <f>SUMIF(G12:G153,"kt",I12:I153)</f>
        <v>1158</v>
      </c>
      <c r="J174" s="459">
        <f>SUMIF(G12:G153,"kt",J12:J153)</f>
        <v>1158</v>
      </c>
      <c r="K174" s="460"/>
      <c r="L174" s="971"/>
      <c r="M174" s="971"/>
      <c r="N174" s="971"/>
      <c r="P174" s="568"/>
    </row>
    <row r="175" spans="1:16" s="11" customFormat="1" ht="13.5" customHeight="1" thickBot="1" x14ac:dyDescent="0.3">
      <c r="A175" s="1032" t="s">
        <v>46</v>
      </c>
      <c r="B175" s="1033"/>
      <c r="C175" s="1033"/>
      <c r="D175" s="1033"/>
      <c r="E175" s="1033"/>
      <c r="F175" s="1033"/>
      <c r="G175" s="1034"/>
      <c r="H175" s="461">
        <f>H171+H163</f>
        <v>31585938</v>
      </c>
      <c r="I175" s="462">
        <f>I163+I171</f>
        <v>31156593</v>
      </c>
      <c r="J175" s="462">
        <f>J163+J171</f>
        <v>31820275</v>
      </c>
      <c r="K175" s="463"/>
      <c r="L175" s="970"/>
      <c r="M175" s="970"/>
      <c r="N175" s="970"/>
      <c r="P175" s="568"/>
    </row>
    <row r="176" spans="1:16" x14ac:dyDescent="0.2">
      <c r="B176" s="464"/>
      <c r="C176" s="51"/>
      <c r="D176" s="51"/>
      <c r="E176" s="51"/>
    </row>
    <row r="181" spans="2:14" x14ac:dyDescent="0.2">
      <c r="B181" s="10"/>
      <c r="E181" s="10"/>
      <c r="F181" s="52"/>
      <c r="K181" s="10"/>
      <c r="L181" s="10"/>
      <c r="M181" s="10"/>
      <c r="N181" s="10"/>
    </row>
    <row r="196" spans="2:14" x14ac:dyDescent="0.2">
      <c r="B196" s="10"/>
      <c r="E196" s="10"/>
      <c r="F196" s="10"/>
      <c r="G196" s="10"/>
      <c r="H196" s="466"/>
      <c r="K196" s="10"/>
      <c r="L196" s="10"/>
      <c r="M196" s="10"/>
      <c r="N196" s="10"/>
    </row>
    <row r="197" spans="2:14" x14ac:dyDescent="0.2">
      <c r="B197" s="10"/>
      <c r="E197" s="10"/>
      <c r="F197" s="10"/>
      <c r="G197" s="10"/>
      <c r="H197" s="466"/>
      <c r="K197" s="10"/>
      <c r="L197" s="10"/>
      <c r="M197" s="10"/>
      <c r="N197" s="10"/>
    </row>
    <row r="198" spans="2:14" x14ac:dyDescent="0.2">
      <c r="B198" s="10"/>
      <c r="E198" s="10"/>
      <c r="F198" s="10"/>
      <c r="G198" s="10"/>
      <c r="H198" s="466"/>
      <c r="K198" s="10"/>
      <c r="L198" s="10"/>
      <c r="M198" s="10"/>
      <c r="N198" s="10"/>
    </row>
    <row r="199" spans="2:14" x14ac:dyDescent="0.2">
      <c r="B199" s="10"/>
      <c r="E199" s="10"/>
      <c r="F199" s="10"/>
      <c r="G199" s="10"/>
      <c r="H199" s="466"/>
      <c r="K199" s="10"/>
      <c r="L199" s="10"/>
      <c r="M199" s="10"/>
      <c r="N199" s="10"/>
    </row>
    <row r="200" spans="2:14" x14ac:dyDescent="0.2">
      <c r="B200" s="10"/>
      <c r="E200" s="10"/>
      <c r="F200" s="10"/>
      <c r="G200" s="10"/>
      <c r="H200" s="466"/>
      <c r="K200" s="10"/>
      <c r="L200" s="10"/>
      <c r="M200" s="10"/>
      <c r="N200" s="10"/>
    </row>
    <row r="201" spans="2:14" x14ac:dyDescent="0.2">
      <c r="B201" s="10"/>
      <c r="E201" s="10"/>
      <c r="F201" s="10"/>
      <c r="G201" s="10"/>
      <c r="H201" s="466"/>
      <c r="K201" s="10"/>
      <c r="L201" s="10"/>
      <c r="M201" s="10"/>
      <c r="N201" s="10"/>
    </row>
    <row r="202" spans="2:14" x14ac:dyDescent="0.2">
      <c r="B202" s="10"/>
      <c r="E202" s="10"/>
      <c r="F202" s="10"/>
      <c r="G202" s="10"/>
      <c r="H202" s="466"/>
      <c r="K202" s="10"/>
      <c r="L202" s="10"/>
      <c r="M202" s="10"/>
      <c r="N202" s="10"/>
    </row>
    <row r="203" spans="2:14" x14ac:dyDescent="0.2">
      <c r="B203" s="10"/>
      <c r="E203" s="10"/>
      <c r="F203" s="10"/>
      <c r="G203" s="10"/>
      <c r="H203" s="466"/>
      <c r="K203" s="10"/>
      <c r="L203" s="10"/>
      <c r="M203" s="10"/>
      <c r="N203" s="10"/>
    </row>
    <row r="204" spans="2:14" x14ac:dyDescent="0.2">
      <c r="B204" s="10"/>
      <c r="E204" s="10"/>
      <c r="F204" s="10"/>
      <c r="G204" s="10"/>
      <c r="H204" s="466"/>
      <c r="K204" s="10"/>
      <c r="L204" s="10"/>
      <c r="M204" s="10"/>
      <c r="N204" s="10"/>
    </row>
    <row r="205" spans="2:14" x14ac:dyDescent="0.2">
      <c r="B205" s="10"/>
      <c r="E205" s="10"/>
      <c r="F205" s="10"/>
      <c r="G205" s="10"/>
      <c r="H205" s="466"/>
      <c r="K205" s="10"/>
      <c r="L205" s="10"/>
      <c r="M205" s="10"/>
      <c r="N205" s="10"/>
    </row>
    <row r="206" spans="2:14" x14ac:dyDescent="0.2">
      <c r="B206" s="10"/>
      <c r="E206" s="10"/>
      <c r="F206" s="10"/>
      <c r="G206" s="10"/>
      <c r="H206" s="466"/>
      <c r="K206" s="10"/>
      <c r="L206" s="10"/>
      <c r="M206" s="10"/>
      <c r="N206" s="10"/>
    </row>
    <row r="207" spans="2:14" x14ac:dyDescent="0.2">
      <c r="B207" s="10"/>
      <c r="E207" s="10"/>
      <c r="F207" s="10"/>
      <c r="G207" s="10"/>
      <c r="H207" s="466"/>
      <c r="K207" s="10"/>
      <c r="L207" s="10"/>
      <c r="M207" s="10"/>
      <c r="N207" s="10"/>
    </row>
    <row r="208" spans="2:14" x14ac:dyDescent="0.2">
      <c r="B208" s="10"/>
      <c r="E208" s="10"/>
      <c r="F208" s="10"/>
      <c r="G208" s="10"/>
      <c r="H208" s="466"/>
      <c r="K208" s="10"/>
      <c r="L208" s="10"/>
      <c r="M208" s="10"/>
      <c r="N208" s="10"/>
    </row>
    <row r="209" spans="2:14" x14ac:dyDescent="0.2">
      <c r="B209" s="10"/>
      <c r="E209" s="10"/>
      <c r="F209" s="10"/>
      <c r="G209" s="10"/>
      <c r="H209" s="466"/>
      <c r="K209" s="10"/>
      <c r="L209" s="10"/>
      <c r="M209" s="10"/>
      <c r="N209" s="10"/>
    </row>
    <row r="210" spans="2:14" x14ac:dyDescent="0.2">
      <c r="B210" s="10"/>
      <c r="E210" s="10"/>
      <c r="F210" s="10"/>
      <c r="G210" s="10"/>
      <c r="H210" s="466"/>
      <c r="K210" s="10"/>
      <c r="L210" s="10"/>
      <c r="M210" s="10"/>
      <c r="N210" s="10"/>
    </row>
    <row r="211" spans="2:14" x14ac:dyDescent="0.2">
      <c r="B211" s="10"/>
      <c r="E211" s="10"/>
      <c r="F211" s="10"/>
      <c r="G211" s="10"/>
      <c r="H211" s="466"/>
      <c r="K211" s="10"/>
      <c r="L211" s="10"/>
      <c r="M211" s="10"/>
      <c r="N211" s="10"/>
    </row>
    <row r="212" spans="2:14" x14ac:dyDescent="0.2">
      <c r="B212" s="10"/>
      <c r="E212" s="10"/>
      <c r="F212" s="10"/>
      <c r="G212" s="10"/>
      <c r="H212" s="466"/>
      <c r="K212" s="10"/>
      <c r="L212" s="10"/>
      <c r="M212" s="10"/>
      <c r="N212" s="10"/>
    </row>
    <row r="213" spans="2:14" x14ac:dyDescent="0.2">
      <c r="B213" s="10"/>
      <c r="E213" s="10"/>
      <c r="F213" s="10"/>
      <c r="G213" s="10"/>
      <c r="H213" s="466"/>
      <c r="K213" s="10"/>
      <c r="L213" s="10"/>
      <c r="M213" s="10"/>
      <c r="N213" s="10"/>
    </row>
    <row r="214" spans="2:14" x14ac:dyDescent="0.2">
      <c r="B214" s="10"/>
      <c r="E214" s="10"/>
      <c r="F214" s="10"/>
      <c r="G214" s="10"/>
      <c r="H214" s="466"/>
      <c r="K214" s="10"/>
      <c r="L214" s="10"/>
      <c r="M214" s="10"/>
      <c r="N214" s="10"/>
    </row>
    <row r="215" spans="2:14" x14ac:dyDescent="0.2">
      <c r="B215" s="10"/>
      <c r="E215" s="10"/>
      <c r="F215" s="10"/>
      <c r="G215" s="10"/>
      <c r="H215" s="466"/>
      <c r="K215" s="10"/>
      <c r="L215" s="10"/>
      <c r="M215" s="10"/>
      <c r="N215" s="10"/>
    </row>
    <row r="216" spans="2:14" x14ac:dyDescent="0.2">
      <c r="B216" s="10"/>
      <c r="E216" s="10"/>
      <c r="F216" s="10"/>
      <c r="G216" s="10"/>
      <c r="H216" s="466"/>
      <c r="K216" s="10"/>
      <c r="L216" s="10"/>
      <c r="M216" s="10"/>
      <c r="N216" s="10"/>
    </row>
    <row r="217" spans="2:14" x14ac:dyDescent="0.2">
      <c r="B217" s="10"/>
      <c r="E217" s="10"/>
      <c r="F217" s="10"/>
      <c r="G217" s="10"/>
      <c r="H217" s="466"/>
      <c r="K217" s="10"/>
      <c r="L217" s="10"/>
      <c r="M217" s="10"/>
      <c r="N217" s="10"/>
    </row>
    <row r="218" spans="2:14" x14ac:dyDescent="0.2">
      <c r="B218" s="10"/>
      <c r="E218" s="10"/>
      <c r="F218" s="10"/>
      <c r="G218" s="10"/>
      <c r="H218" s="466"/>
      <c r="K218" s="10"/>
      <c r="L218" s="10"/>
      <c r="M218" s="10"/>
      <c r="N218" s="10"/>
    </row>
    <row r="219" spans="2:14" x14ac:dyDescent="0.2">
      <c r="B219" s="10"/>
      <c r="E219" s="10"/>
      <c r="F219" s="10"/>
      <c r="G219" s="10"/>
      <c r="H219" s="466"/>
      <c r="K219" s="10"/>
      <c r="L219" s="10"/>
      <c r="M219" s="10"/>
      <c r="N219" s="10"/>
    </row>
    <row r="220" spans="2:14" x14ac:dyDescent="0.2">
      <c r="B220" s="10"/>
      <c r="E220" s="10"/>
      <c r="F220" s="10"/>
      <c r="G220" s="10"/>
      <c r="H220" s="466"/>
      <c r="K220" s="10"/>
      <c r="L220" s="10"/>
      <c r="M220" s="10"/>
      <c r="N220" s="10"/>
    </row>
    <row r="221" spans="2:14" x14ac:dyDescent="0.2">
      <c r="B221" s="10"/>
      <c r="E221" s="10"/>
      <c r="F221" s="10"/>
      <c r="G221" s="10"/>
      <c r="H221" s="466"/>
      <c r="K221" s="10"/>
      <c r="L221" s="10"/>
      <c r="M221" s="10"/>
      <c r="N221" s="10"/>
    </row>
    <row r="222" spans="2:14" x14ac:dyDescent="0.2">
      <c r="B222" s="10"/>
      <c r="E222" s="10"/>
      <c r="F222" s="10"/>
      <c r="G222" s="10"/>
      <c r="H222" s="466"/>
      <c r="K222" s="10"/>
      <c r="L222" s="10"/>
      <c r="M222" s="10"/>
      <c r="N222" s="10"/>
    </row>
    <row r="223" spans="2:14" x14ac:dyDescent="0.2">
      <c r="B223" s="10"/>
      <c r="E223" s="10"/>
      <c r="F223" s="10"/>
      <c r="G223" s="10"/>
      <c r="H223" s="466"/>
      <c r="K223" s="10"/>
      <c r="L223" s="10"/>
      <c r="M223" s="10"/>
      <c r="N223" s="10"/>
    </row>
    <row r="224" spans="2:14" x14ac:dyDescent="0.2">
      <c r="B224" s="10"/>
      <c r="E224" s="10"/>
      <c r="F224" s="10"/>
      <c r="G224" s="10"/>
      <c r="H224" s="466"/>
      <c r="K224" s="10"/>
      <c r="L224" s="10"/>
      <c r="M224" s="10"/>
      <c r="N224" s="10"/>
    </row>
    <row r="225" spans="2:14" x14ac:dyDescent="0.2">
      <c r="B225" s="10"/>
      <c r="E225" s="10"/>
      <c r="F225" s="10"/>
      <c r="G225" s="10"/>
      <c r="H225" s="466"/>
      <c r="K225" s="10"/>
      <c r="L225" s="10"/>
      <c r="M225" s="10"/>
      <c r="N225" s="10"/>
    </row>
    <row r="226" spans="2:14" x14ac:dyDescent="0.2">
      <c r="B226" s="10"/>
      <c r="E226" s="10"/>
      <c r="F226" s="10"/>
      <c r="G226" s="10"/>
      <c r="H226" s="466"/>
      <c r="K226" s="10"/>
      <c r="L226" s="10"/>
      <c r="M226" s="10"/>
      <c r="N226" s="10"/>
    </row>
    <row r="227" spans="2:14" x14ac:dyDescent="0.2">
      <c r="B227" s="10"/>
      <c r="E227" s="10"/>
      <c r="F227" s="10"/>
      <c r="G227" s="10"/>
      <c r="H227" s="466"/>
      <c r="K227" s="10"/>
      <c r="L227" s="10"/>
      <c r="M227" s="10"/>
      <c r="N227" s="10"/>
    </row>
    <row r="228" spans="2:14" x14ac:dyDescent="0.2">
      <c r="B228" s="10"/>
      <c r="E228" s="10"/>
      <c r="F228" s="10"/>
      <c r="G228" s="10"/>
      <c r="H228" s="466"/>
      <c r="K228" s="10"/>
      <c r="L228" s="10"/>
      <c r="M228" s="10"/>
      <c r="N228" s="10"/>
    </row>
    <row r="229" spans="2:14" x14ac:dyDescent="0.2">
      <c r="B229" s="10"/>
      <c r="E229" s="10"/>
      <c r="F229" s="10"/>
      <c r="G229" s="10"/>
      <c r="H229" s="466"/>
      <c r="K229" s="10"/>
      <c r="L229" s="10"/>
      <c r="M229" s="10"/>
      <c r="N229" s="10"/>
    </row>
    <row r="230" spans="2:14" x14ac:dyDescent="0.2">
      <c r="B230" s="10"/>
      <c r="E230" s="10"/>
      <c r="F230" s="10"/>
      <c r="G230" s="10"/>
      <c r="H230" s="466"/>
      <c r="K230" s="10"/>
      <c r="L230" s="10"/>
      <c r="M230" s="10"/>
      <c r="N230" s="10"/>
    </row>
    <row r="234" spans="2:14" x14ac:dyDescent="0.2">
      <c r="B234" s="10"/>
      <c r="E234" s="10"/>
      <c r="F234" s="10"/>
      <c r="G234" s="10"/>
      <c r="H234" s="466"/>
      <c r="K234" s="10"/>
      <c r="L234" s="10"/>
      <c r="M234" s="10"/>
      <c r="N234" s="10"/>
    </row>
  </sheetData>
  <mergeCells count="201">
    <mergeCell ref="F146:F150"/>
    <mergeCell ref="N23:N24"/>
    <mergeCell ref="K130:N130"/>
    <mergeCell ref="L93:L94"/>
    <mergeCell ref="M76:M78"/>
    <mergeCell ref="N76:N78"/>
    <mergeCell ref="K93:K94"/>
    <mergeCell ref="K96:K97"/>
    <mergeCell ref="L127:L129"/>
    <mergeCell ref="F127:F128"/>
    <mergeCell ref="L76:L78"/>
    <mergeCell ref="K118:K120"/>
    <mergeCell ref="C34:N34"/>
    <mergeCell ref="E129:G129"/>
    <mergeCell ref="D127:D129"/>
    <mergeCell ref="E127:E128"/>
    <mergeCell ref="K127:K129"/>
    <mergeCell ref="C130:G130"/>
    <mergeCell ref="D114:D117"/>
    <mergeCell ref="M114:M115"/>
    <mergeCell ref="D69:D71"/>
    <mergeCell ref="K69:K70"/>
    <mergeCell ref="D63:D64"/>
    <mergeCell ref="K64:K65"/>
    <mergeCell ref="L175:N175"/>
    <mergeCell ref="L72:L75"/>
    <mergeCell ref="M72:M75"/>
    <mergeCell ref="N72:N75"/>
    <mergeCell ref="M93:M94"/>
    <mergeCell ref="N93:N94"/>
    <mergeCell ref="F87:F91"/>
    <mergeCell ref="K87:K88"/>
    <mergeCell ref="K90:K91"/>
    <mergeCell ref="N114:N115"/>
    <mergeCell ref="E112:G112"/>
    <mergeCell ref="C98:G98"/>
    <mergeCell ref="K98:N98"/>
    <mergeCell ref="C99:N99"/>
    <mergeCell ref="D101:D104"/>
    <mergeCell ref="K101:K104"/>
    <mergeCell ref="D105:D108"/>
    <mergeCell ref="D109:D112"/>
    <mergeCell ref="K105:K108"/>
    <mergeCell ref="D92:D94"/>
    <mergeCell ref="K136:K137"/>
    <mergeCell ref="K140:K141"/>
    <mergeCell ref="C150:C153"/>
    <mergeCell ref="D151:D153"/>
    <mergeCell ref="E144:G144"/>
    <mergeCell ref="D140:D144"/>
    <mergeCell ref="F151:F153"/>
    <mergeCell ref="K151:K153"/>
    <mergeCell ref="A175:G175"/>
    <mergeCell ref="K143:K144"/>
    <mergeCell ref="D161:J161"/>
    <mergeCell ref="L162:N162"/>
    <mergeCell ref="C159:G159"/>
    <mergeCell ref="K159:N159"/>
    <mergeCell ref="B160:G160"/>
    <mergeCell ref="K160:N160"/>
    <mergeCell ref="A162:G162"/>
    <mergeCell ref="C154:C157"/>
    <mergeCell ref="D155:D157"/>
    <mergeCell ref="C158:G158"/>
    <mergeCell ref="K158:N158"/>
    <mergeCell ref="L173:N173"/>
    <mergeCell ref="L174:N174"/>
    <mergeCell ref="A166:G166"/>
    <mergeCell ref="A165:G165"/>
    <mergeCell ref="A164:G164"/>
    <mergeCell ref="A163:G163"/>
    <mergeCell ref="A167:G167"/>
    <mergeCell ref="A168:G168"/>
    <mergeCell ref="A169:G169"/>
    <mergeCell ref="A171:G171"/>
    <mergeCell ref="A172:G172"/>
    <mergeCell ref="A173:G173"/>
    <mergeCell ref="A174:G174"/>
    <mergeCell ref="L165:N165"/>
    <mergeCell ref="L167:N167"/>
    <mergeCell ref="A170:G170"/>
    <mergeCell ref="L171:N171"/>
    <mergeCell ref="L172:N172"/>
    <mergeCell ref="L166:N166"/>
    <mergeCell ref="L163:N163"/>
    <mergeCell ref="L164:N164"/>
    <mergeCell ref="E137:E139"/>
    <mergeCell ref="D136:D139"/>
    <mergeCell ref="C131:N131"/>
    <mergeCell ref="K133:K135"/>
    <mergeCell ref="A84:A85"/>
    <mergeCell ref="B84:B85"/>
    <mergeCell ref="D84:D86"/>
    <mergeCell ref="K84:K85"/>
    <mergeCell ref="A87:A88"/>
    <mergeCell ref="B87:B88"/>
    <mergeCell ref="D87:D91"/>
    <mergeCell ref="E87:E91"/>
    <mergeCell ref="D95:D97"/>
    <mergeCell ref="E95:E97"/>
    <mergeCell ref="F95:F97"/>
    <mergeCell ref="M127:M129"/>
    <mergeCell ref="N127:N129"/>
    <mergeCell ref="D121:D123"/>
    <mergeCell ref="D125:D126"/>
    <mergeCell ref="D118:D120"/>
    <mergeCell ref="E92:E94"/>
    <mergeCell ref="F92:F94"/>
    <mergeCell ref="A80:A81"/>
    <mergeCell ref="B80:B81"/>
    <mergeCell ref="D80:D83"/>
    <mergeCell ref="K80:K81"/>
    <mergeCell ref="A76:A78"/>
    <mergeCell ref="B76:B78"/>
    <mergeCell ref="D76:D79"/>
    <mergeCell ref="K76:K78"/>
    <mergeCell ref="A72:A75"/>
    <mergeCell ref="B72:B75"/>
    <mergeCell ref="C72:C75"/>
    <mergeCell ref="E72:E75"/>
    <mergeCell ref="D74:D75"/>
    <mergeCell ref="F72:F75"/>
    <mergeCell ref="K72:K75"/>
    <mergeCell ref="A60:A62"/>
    <mergeCell ref="B60:B62"/>
    <mergeCell ref="C60:C62"/>
    <mergeCell ref="D60:D62"/>
    <mergeCell ref="E60:E62"/>
    <mergeCell ref="D55:D56"/>
    <mergeCell ref="K55:K56"/>
    <mergeCell ref="L55:L56"/>
    <mergeCell ref="M55:M56"/>
    <mergeCell ref="F60:F62"/>
    <mergeCell ref="K60:K62"/>
    <mergeCell ref="P35:P41"/>
    <mergeCell ref="D50:D51"/>
    <mergeCell ref="D52:D53"/>
    <mergeCell ref="D48:D49"/>
    <mergeCell ref="D42:D43"/>
    <mergeCell ref="K35:K37"/>
    <mergeCell ref="D35:D36"/>
    <mergeCell ref="D57:D59"/>
    <mergeCell ref="N55:N56"/>
    <mergeCell ref="A31:A32"/>
    <mergeCell ref="B31:B32"/>
    <mergeCell ref="D31:D32"/>
    <mergeCell ref="C33:G33"/>
    <mergeCell ref="K33:N33"/>
    <mergeCell ref="M27:M28"/>
    <mergeCell ref="N27:N28"/>
    <mergeCell ref="A29:A30"/>
    <mergeCell ref="B29:B30"/>
    <mergeCell ref="C29:C30"/>
    <mergeCell ref="K29:K30"/>
    <mergeCell ref="L29:L30"/>
    <mergeCell ref="M29:M30"/>
    <mergeCell ref="N29:N30"/>
    <mergeCell ref="D27:D28"/>
    <mergeCell ref="K27:K28"/>
    <mergeCell ref="L27:L28"/>
    <mergeCell ref="A25:A26"/>
    <mergeCell ref="B25:B26"/>
    <mergeCell ref="C25:C26"/>
    <mergeCell ref="D25:D26"/>
    <mergeCell ref="E25:E26"/>
    <mergeCell ref="D23:D24"/>
    <mergeCell ref="K23:K24"/>
    <mergeCell ref="L23:L24"/>
    <mergeCell ref="M23:M24"/>
    <mergeCell ref="F25:F26"/>
    <mergeCell ref="K21:K22"/>
    <mergeCell ref="L21:L22"/>
    <mergeCell ref="M21:M22"/>
    <mergeCell ref="N21:N22"/>
    <mergeCell ref="K17:K18"/>
    <mergeCell ref="D12:D15"/>
    <mergeCell ref="K13:K14"/>
    <mergeCell ref="K6:K7"/>
    <mergeCell ref="L6:N6"/>
    <mergeCell ref="A8:N8"/>
    <mergeCell ref="A9:N9"/>
    <mergeCell ref="B10:N10"/>
    <mergeCell ref="C11:N11"/>
    <mergeCell ref="I5:I7"/>
    <mergeCell ref="J5:J7"/>
    <mergeCell ref="K5:N5"/>
    <mergeCell ref="F5:F7"/>
    <mergeCell ref="G5:G7"/>
    <mergeCell ref="D19:D20"/>
    <mergeCell ref="K19:K20"/>
    <mergeCell ref="D21:D22"/>
    <mergeCell ref="A1:N1"/>
    <mergeCell ref="A2:N2"/>
    <mergeCell ref="A3:N3"/>
    <mergeCell ref="A4:N4"/>
    <mergeCell ref="A5:A7"/>
    <mergeCell ref="B5:B7"/>
    <mergeCell ref="C5:C7"/>
    <mergeCell ref="D5:D7"/>
    <mergeCell ref="E5:E7"/>
    <mergeCell ref="H5:H7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72" orientation="portrait" r:id="rId1"/>
  <rowBreaks count="3" manualBreakCount="3">
    <brk id="54" max="13" man="1"/>
    <brk id="91" max="13" man="1"/>
    <brk id="139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zoomScale="110" zoomScaleNormal="110" zoomScaleSheetLayoutView="100" workbookViewId="0"/>
  </sheetViews>
  <sheetFormatPr defaultRowHeight="12.75" x14ac:dyDescent="0.2"/>
  <cols>
    <col min="1" max="1" width="2.7109375" style="10" customWidth="1"/>
    <col min="2" max="2" width="2.7109375" style="52" customWidth="1"/>
    <col min="3" max="3" width="2.85546875" style="10" customWidth="1"/>
    <col min="4" max="4" width="36.5703125" style="10" customWidth="1"/>
    <col min="5" max="5" width="3.7109375" style="52" customWidth="1"/>
    <col min="6" max="6" width="2.7109375" style="53" customWidth="1"/>
    <col min="7" max="7" width="7.5703125" style="52" customWidth="1"/>
    <col min="8" max="8" width="10.140625" style="465" customWidth="1"/>
    <col min="9" max="9" width="10.7109375" style="465" customWidth="1"/>
    <col min="10" max="10" width="10.140625" style="465" customWidth="1"/>
    <col min="11" max="16384" width="9.140625" style="10"/>
  </cols>
  <sheetData>
    <row r="1" spans="1:15" ht="24" customHeight="1" x14ac:dyDescent="0.2">
      <c r="H1" s="1161" t="s">
        <v>196</v>
      </c>
      <c r="I1" s="1161"/>
      <c r="J1" s="1161"/>
    </row>
    <row r="2" spans="1:15" x14ac:dyDescent="0.2">
      <c r="A2" s="820" t="s">
        <v>185</v>
      </c>
      <c r="B2" s="820"/>
      <c r="C2" s="820"/>
      <c r="D2" s="820"/>
      <c r="E2" s="820"/>
      <c r="F2" s="820"/>
      <c r="G2" s="820"/>
      <c r="H2" s="820"/>
      <c r="I2" s="820"/>
      <c r="J2" s="820"/>
    </row>
    <row r="3" spans="1:15" s="11" customFormat="1" x14ac:dyDescent="0.25">
      <c r="A3" s="821" t="s">
        <v>72</v>
      </c>
      <c r="B3" s="821"/>
      <c r="C3" s="821"/>
      <c r="D3" s="821"/>
      <c r="E3" s="821"/>
      <c r="F3" s="821"/>
      <c r="G3" s="821"/>
      <c r="H3" s="821"/>
      <c r="I3" s="821"/>
      <c r="J3" s="821"/>
    </row>
    <row r="4" spans="1:15" s="11" customFormat="1" x14ac:dyDescent="0.25">
      <c r="A4" s="822" t="s">
        <v>129</v>
      </c>
      <c r="B4" s="822"/>
      <c r="C4" s="822"/>
      <c r="D4" s="822"/>
      <c r="E4" s="822"/>
      <c r="F4" s="822"/>
      <c r="G4" s="822"/>
      <c r="H4" s="822"/>
      <c r="I4" s="822"/>
      <c r="J4" s="822"/>
    </row>
    <row r="5" spans="1:15" s="11" customFormat="1" ht="25.5" customHeight="1" thickBot="1" x14ac:dyDescent="0.25">
      <c r="A5" s="1151" t="s">
        <v>176</v>
      </c>
      <c r="B5" s="1151"/>
      <c r="C5" s="1151"/>
      <c r="D5" s="1151"/>
      <c r="E5" s="1151"/>
      <c r="F5" s="1151"/>
      <c r="G5" s="1151"/>
      <c r="H5" s="1151"/>
      <c r="I5" s="1151"/>
      <c r="J5" s="1151"/>
    </row>
    <row r="6" spans="1:15" s="12" customFormat="1" ht="12.75" customHeight="1" x14ac:dyDescent="0.25">
      <c r="A6" s="824" t="s">
        <v>0</v>
      </c>
      <c r="B6" s="827" t="s">
        <v>1</v>
      </c>
      <c r="C6" s="830" t="s">
        <v>2</v>
      </c>
      <c r="D6" s="833" t="s">
        <v>3</v>
      </c>
      <c r="E6" s="836" t="s">
        <v>4</v>
      </c>
      <c r="F6" s="877" t="s">
        <v>5</v>
      </c>
      <c r="G6" s="880" t="s">
        <v>6</v>
      </c>
      <c r="H6" s="1158" t="s">
        <v>131</v>
      </c>
      <c r="I6" s="1125" t="s">
        <v>191</v>
      </c>
      <c r="J6" s="1128" t="s">
        <v>186</v>
      </c>
    </row>
    <row r="7" spans="1:15" s="12" customFormat="1" ht="12" customHeight="1" x14ac:dyDescent="0.25">
      <c r="A7" s="825"/>
      <c r="B7" s="828"/>
      <c r="C7" s="831"/>
      <c r="D7" s="834"/>
      <c r="E7" s="837"/>
      <c r="F7" s="878"/>
      <c r="G7" s="881"/>
      <c r="H7" s="1159"/>
      <c r="I7" s="1126"/>
      <c r="J7" s="1129"/>
    </row>
    <row r="8" spans="1:15" s="12" customFormat="1" ht="100.5" customHeight="1" thickBot="1" x14ac:dyDescent="0.3">
      <c r="A8" s="826"/>
      <c r="B8" s="829"/>
      <c r="C8" s="832"/>
      <c r="D8" s="835"/>
      <c r="E8" s="838"/>
      <c r="F8" s="879"/>
      <c r="G8" s="882"/>
      <c r="H8" s="1160"/>
      <c r="I8" s="1127"/>
      <c r="J8" s="1130"/>
    </row>
    <row r="9" spans="1:15" s="11" customFormat="1" x14ac:dyDescent="0.25">
      <c r="A9" s="860" t="s">
        <v>124</v>
      </c>
      <c r="B9" s="861"/>
      <c r="C9" s="861"/>
      <c r="D9" s="861"/>
      <c r="E9" s="861"/>
      <c r="F9" s="861"/>
      <c r="G9" s="861"/>
      <c r="H9" s="861"/>
      <c r="I9" s="861"/>
      <c r="J9" s="862"/>
    </row>
    <row r="10" spans="1:15" s="11" customFormat="1" x14ac:dyDescent="0.25">
      <c r="A10" s="1152" t="s">
        <v>7</v>
      </c>
      <c r="B10" s="864"/>
      <c r="C10" s="864"/>
      <c r="D10" s="864"/>
      <c r="E10" s="864"/>
      <c r="F10" s="864"/>
      <c r="G10" s="864"/>
      <c r="H10" s="864"/>
      <c r="I10" s="864"/>
      <c r="J10" s="865"/>
      <c r="O10" s="12"/>
    </row>
    <row r="11" spans="1:15" s="12" customFormat="1" ht="15" customHeight="1" x14ac:dyDescent="0.25">
      <c r="A11" s="563" t="s">
        <v>8</v>
      </c>
      <c r="B11" s="1153" t="s">
        <v>9</v>
      </c>
      <c r="C11" s="1154"/>
      <c r="D11" s="1154"/>
      <c r="E11" s="1154"/>
      <c r="F11" s="1154"/>
      <c r="G11" s="1154"/>
      <c r="H11" s="1154"/>
      <c r="I11" s="1154"/>
      <c r="J11" s="1155"/>
    </row>
    <row r="12" spans="1:15" s="12" customFormat="1" ht="13.5" thickBot="1" x14ac:dyDescent="0.3">
      <c r="A12" s="657" t="s">
        <v>8</v>
      </c>
      <c r="B12" s="659" t="s">
        <v>8</v>
      </c>
      <c r="C12" s="1156" t="s">
        <v>10</v>
      </c>
      <c r="D12" s="1156"/>
      <c r="E12" s="1156"/>
      <c r="F12" s="1156"/>
      <c r="G12" s="1156"/>
      <c r="H12" s="1156"/>
      <c r="I12" s="1156"/>
      <c r="J12" s="1157"/>
    </row>
    <row r="13" spans="1:15" s="12" customFormat="1" ht="23.25" customHeight="1" x14ac:dyDescent="0.25">
      <c r="A13" s="640" t="s">
        <v>8</v>
      </c>
      <c r="B13" s="16" t="s">
        <v>8</v>
      </c>
      <c r="C13" s="644" t="s">
        <v>8</v>
      </c>
      <c r="D13" s="1162" t="s">
        <v>54</v>
      </c>
      <c r="E13" s="54"/>
      <c r="F13" s="662" t="s">
        <v>21</v>
      </c>
      <c r="G13" s="22" t="s">
        <v>12</v>
      </c>
      <c r="H13" s="691">
        <f>1102626+5949</f>
        <v>1108575</v>
      </c>
      <c r="I13" s="577">
        <f>1102626+5949</f>
        <v>1108575</v>
      </c>
      <c r="J13" s="528">
        <f>I13-H13</f>
        <v>0</v>
      </c>
    </row>
    <row r="14" spans="1:15" s="12" customFormat="1" ht="15" customHeight="1" x14ac:dyDescent="0.25">
      <c r="A14" s="646"/>
      <c r="B14" s="18"/>
      <c r="C14" s="672"/>
      <c r="D14" s="1163"/>
      <c r="E14" s="55"/>
      <c r="F14" s="118"/>
      <c r="G14" s="20" t="s">
        <v>22</v>
      </c>
      <c r="H14" s="692">
        <f>6221849-58637</f>
        <v>6163212</v>
      </c>
      <c r="I14" s="721">
        <f>6221849-58637-14013</f>
        <v>6149199</v>
      </c>
      <c r="J14" s="722">
        <f>I14-H14</f>
        <v>-14013</v>
      </c>
      <c r="K14" s="194"/>
    </row>
    <row r="15" spans="1:15" s="12" customFormat="1" ht="16.5" customHeight="1" thickBot="1" x14ac:dyDescent="0.3">
      <c r="A15" s="646"/>
      <c r="B15" s="18"/>
      <c r="C15" s="672"/>
      <c r="D15" s="1164"/>
      <c r="E15" s="55"/>
      <c r="F15" s="118"/>
      <c r="G15" s="78" t="s">
        <v>13</v>
      </c>
      <c r="H15" s="238">
        <f>SUM(H13:H14)</f>
        <v>7271787</v>
      </c>
      <c r="I15" s="494">
        <f>SUM(I13:I14)</f>
        <v>7257774</v>
      </c>
      <c r="J15" s="267">
        <f>SUM(J13:J14)</f>
        <v>-14013</v>
      </c>
    </row>
    <row r="16" spans="1:15" s="12" customFormat="1" ht="15.75" customHeight="1" x14ac:dyDescent="0.25">
      <c r="A16" s="640" t="s">
        <v>8</v>
      </c>
      <c r="B16" s="16" t="s">
        <v>8</v>
      </c>
      <c r="C16" s="644" t="s">
        <v>14</v>
      </c>
      <c r="D16" s="842" t="s">
        <v>55</v>
      </c>
      <c r="E16" s="54"/>
      <c r="F16" s="662" t="s">
        <v>21</v>
      </c>
      <c r="G16" s="19" t="s">
        <v>12</v>
      </c>
      <c r="H16" s="693">
        <v>1561132</v>
      </c>
      <c r="I16" s="495">
        <v>1561132</v>
      </c>
      <c r="J16" s="509">
        <f>I16-H16</f>
        <v>0</v>
      </c>
    </row>
    <row r="17" spans="1:15" s="12" customFormat="1" ht="15.75" customHeight="1" thickBot="1" x14ac:dyDescent="0.3">
      <c r="A17" s="646"/>
      <c r="B17" s="18"/>
      <c r="C17" s="672"/>
      <c r="D17" s="843"/>
      <c r="E17" s="55"/>
      <c r="F17" s="118"/>
      <c r="G17" s="78" t="s">
        <v>13</v>
      </c>
      <c r="H17" s="238">
        <f>H16</f>
        <v>1561132</v>
      </c>
      <c r="I17" s="494">
        <f>I16</f>
        <v>1561132</v>
      </c>
      <c r="J17" s="267">
        <f>J16</f>
        <v>0</v>
      </c>
    </row>
    <row r="18" spans="1:15" s="12" customFormat="1" ht="18" customHeight="1" x14ac:dyDescent="0.25">
      <c r="A18" s="640" t="s">
        <v>8</v>
      </c>
      <c r="B18" s="16" t="s">
        <v>8</v>
      </c>
      <c r="C18" s="644" t="s">
        <v>17</v>
      </c>
      <c r="D18" s="842" t="s">
        <v>56</v>
      </c>
      <c r="E18" s="54"/>
      <c r="F18" s="662" t="s">
        <v>21</v>
      </c>
      <c r="G18" s="22" t="s">
        <v>12</v>
      </c>
      <c r="H18" s="694">
        <v>171467</v>
      </c>
      <c r="I18" s="680">
        <v>171467</v>
      </c>
      <c r="J18" s="509">
        <f>I18-H18</f>
        <v>0</v>
      </c>
    </row>
    <row r="19" spans="1:15" s="12" customFormat="1" ht="13.5" thickBot="1" x14ac:dyDescent="0.3">
      <c r="A19" s="641"/>
      <c r="B19" s="21"/>
      <c r="C19" s="645"/>
      <c r="D19" s="843"/>
      <c r="E19" s="100"/>
      <c r="F19" s="663"/>
      <c r="G19" s="78" t="s">
        <v>13</v>
      </c>
      <c r="H19" s="238">
        <f>H18</f>
        <v>171467</v>
      </c>
      <c r="I19" s="494">
        <f>I18</f>
        <v>171467</v>
      </c>
      <c r="J19" s="267">
        <f>J18</f>
        <v>0</v>
      </c>
    </row>
    <row r="20" spans="1:15" s="12" customFormat="1" ht="19.5" customHeight="1" x14ac:dyDescent="0.25">
      <c r="A20" s="640" t="s">
        <v>8</v>
      </c>
      <c r="B20" s="16" t="s">
        <v>8</v>
      </c>
      <c r="C20" s="644" t="s">
        <v>19</v>
      </c>
      <c r="D20" s="851" t="s">
        <v>58</v>
      </c>
      <c r="E20" s="54"/>
      <c r="F20" s="662" t="s">
        <v>21</v>
      </c>
      <c r="G20" s="22" t="s">
        <v>12</v>
      </c>
      <c r="H20" s="694">
        <v>692974</v>
      </c>
      <c r="I20" s="680">
        <v>692974</v>
      </c>
      <c r="J20" s="528">
        <f>I20-H20</f>
        <v>0</v>
      </c>
    </row>
    <row r="21" spans="1:15" s="12" customFormat="1" ht="13.5" thickBot="1" x14ac:dyDescent="0.3">
      <c r="A21" s="641"/>
      <c r="B21" s="21"/>
      <c r="C21" s="645"/>
      <c r="D21" s="889"/>
      <c r="E21" s="100"/>
      <c r="F21" s="663"/>
      <c r="G21" s="78" t="s">
        <v>13</v>
      </c>
      <c r="H21" s="238">
        <f>H20</f>
        <v>692974</v>
      </c>
      <c r="I21" s="494">
        <f>I20</f>
        <v>692974</v>
      </c>
      <c r="J21" s="267">
        <f>J20</f>
        <v>0</v>
      </c>
    </row>
    <row r="22" spans="1:15" s="12" customFormat="1" ht="42.75" customHeight="1" x14ac:dyDescent="0.25">
      <c r="A22" s="883" t="s">
        <v>8</v>
      </c>
      <c r="B22" s="885" t="s">
        <v>8</v>
      </c>
      <c r="C22" s="887" t="s">
        <v>23</v>
      </c>
      <c r="D22" s="851" t="s">
        <v>15</v>
      </c>
      <c r="E22" s="890"/>
      <c r="F22" s="896" t="s">
        <v>21</v>
      </c>
      <c r="G22" s="17" t="s">
        <v>16</v>
      </c>
      <c r="H22" s="695">
        <f>36503/3.4528*1000</f>
        <v>10572000</v>
      </c>
      <c r="I22" s="496">
        <f>36503/3.4528*1000</f>
        <v>10572000</v>
      </c>
      <c r="J22" s="510"/>
    </row>
    <row r="23" spans="1:15" s="12" customFormat="1" ht="13.5" thickBot="1" x14ac:dyDescent="0.3">
      <c r="A23" s="884"/>
      <c r="B23" s="886"/>
      <c r="C23" s="888"/>
      <c r="D23" s="889"/>
      <c r="E23" s="891"/>
      <c r="F23" s="897"/>
      <c r="G23" s="78" t="s">
        <v>13</v>
      </c>
      <c r="H23" s="238">
        <f>H22</f>
        <v>10572000</v>
      </c>
      <c r="I23" s="494">
        <f>I22</f>
        <v>10572000</v>
      </c>
      <c r="J23" s="267"/>
    </row>
    <row r="24" spans="1:15" s="12" customFormat="1" ht="14.25" customHeight="1" x14ac:dyDescent="0.25">
      <c r="A24" s="640" t="s">
        <v>8</v>
      </c>
      <c r="B24" s="16" t="s">
        <v>8</v>
      </c>
      <c r="C24" s="644" t="s">
        <v>31</v>
      </c>
      <c r="D24" s="851" t="s">
        <v>18</v>
      </c>
      <c r="E24" s="678"/>
      <c r="F24" s="155" t="s">
        <v>21</v>
      </c>
      <c r="G24" s="25" t="s">
        <v>16</v>
      </c>
      <c r="H24" s="696">
        <f>8981/3.4528*1000</f>
        <v>2601077</v>
      </c>
      <c r="I24" s="497">
        <f>8981/3.4528*1000</f>
        <v>2601077</v>
      </c>
      <c r="J24" s="501"/>
    </row>
    <row r="25" spans="1:15" s="12" customFormat="1" ht="13.5" thickBot="1" x14ac:dyDescent="0.3">
      <c r="A25" s="641"/>
      <c r="B25" s="21"/>
      <c r="C25" s="645"/>
      <c r="D25" s="889"/>
      <c r="E25" s="100"/>
      <c r="F25" s="663"/>
      <c r="G25" s="78" t="s">
        <v>13</v>
      </c>
      <c r="H25" s="238">
        <f>H24</f>
        <v>2601077</v>
      </c>
      <c r="I25" s="494">
        <f>I24</f>
        <v>2601077</v>
      </c>
      <c r="J25" s="267"/>
    </row>
    <row r="26" spans="1:15" s="11" customFormat="1" ht="18" customHeight="1" x14ac:dyDescent="0.25">
      <c r="A26" s="883" t="s">
        <v>8</v>
      </c>
      <c r="B26" s="885" t="s">
        <v>8</v>
      </c>
      <c r="C26" s="910" t="s">
        <v>33</v>
      </c>
      <c r="D26" s="851" t="s">
        <v>20</v>
      </c>
      <c r="E26" s="678"/>
      <c r="F26" s="676" t="s">
        <v>21</v>
      </c>
      <c r="G26" s="23" t="s">
        <v>22</v>
      </c>
      <c r="H26" s="697">
        <f>532.1/3.4528*1000</f>
        <v>154107</v>
      </c>
      <c r="I26" s="498">
        <f>532.1/3.4528*1000</f>
        <v>154107</v>
      </c>
      <c r="J26" s="581"/>
    </row>
    <row r="27" spans="1:15" s="12" customFormat="1" ht="13.5" thickBot="1" x14ac:dyDescent="0.3">
      <c r="A27" s="908"/>
      <c r="B27" s="909"/>
      <c r="C27" s="911"/>
      <c r="D27" s="889"/>
      <c r="E27" s="55"/>
      <c r="F27" s="118"/>
      <c r="G27" s="78" t="s">
        <v>13</v>
      </c>
      <c r="H27" s="238">
        <f>H26</f>
        <v>154107</v>
      </c>
      <c r="I27" s="494">
        <f>I26</f>
        <v>154107</v>
      </c>
      <c r="J27" s="267"/>
    </row>
    <row r="28" spans="1:15" s="12" customFormat="1" ht="25.5" customHeight="1" x14ac:dyDescent="0.25">
      <c r="A28" s="883" t="s">
        <v>8</v>
      </c>
      <c r="B28" s="885" t="s">
        <v>8</v>
      </c>
      <c r="C28" s="24" t="s">
        <v>60</v>
      </c>
      <c r="D28" s="851" t="s">
        <v>24</v>
      </c>
      <c r="E28" s="54"/>
      <c r="F28" s="92">
        <v>3</v>
      </c>
      <c r="G28" s="25" t="s">
        <v>22</v>
      </c>
      <c r="H28" s="696">
        <f>570.1/3.4528*1000</f>
        <v>165112</v>
      </c>
      <c r="I28" s="497">
        <f>570.1/3.4528*1000</f>
        <v>165112</v>
      </c>
      <c r="J28" s="501"/>
    </row>
    <row r="29" spans="1:15" s="12" customFormat="1" ht="16.5" customHeight="1" thickBot="1" x14ac:dyDescent="0.3">
      <c r="A29" s="884"/>
      <c r="B29" s="886"/>
      <c r="C29" s="26"/>
      <c r="D29" s="889"/>
      <c r="E29" s="55"/>
      <c r="F29" s="161"/>
      <c r="G29" s="80" t="s">
        <v>13</v>
      </c>
      <c r="H29" s="698">
        <f>H28</f>
        <v>165112</v>
      </c>
      <c r="I29" s="499">
        <f>I28</f>
        <v>165112</v>
      </c>
      <c r="J29" s="582"/>
    </row>
    <row r="30" spans="1:15" s="11" customFormat="1" ht="13.5" thickBot="1" x14ac:dyDescent="0.3">
      <c r="A30" s="14" t="s">
        <v>8</v>
      </c>
      <c r="B30" s="15" t="s">
        <v>8</v>
      </c>
      <c r="C30" s="898" t="s">
        <v>25</v>
      </c>
      <c r="D30" s="899"/>
      <c r="E30" s="899"/>
      <c r="F30" s="899"/>
      <c r="G30" s="900"/>
      <c r="H30" s="500">
        <f t="shared" ref="H30" si="0">H29+H27+H25+H23+H21+H19+H17+H15</f>
        <v>23189656</v>
      </c>
      <c r="I30" s="500">
        <f t="shared" ref="I30" si="1">I29+I27+I25+I23+I21+I19+I17+I15</f>
        <v>23175643</v>
      </c>
      <c r="J30" s="492">
        <f>J29+J27+J25+J23+J21+J19+J17+J15</f>
        <v>-14013</v>
      </c>
      <c r="M30" s="89"/>
      <c r="O30" s="12"/>
    </row>
    <row r="31" spans="1:15" s="11" customFormat="1" ht="13.5" thickBot="1" x14ac:dyDescent="0.3">
      <c r="A31" s="35" t="s">
        <v>8</v>
      </c>
      <c r="B31" s="15" t="s">
        <v>14</v>
      </c>
      <c r="C31" s="1106" t="s">
        <v>26</v>
      </c>
      <c r="D31" s="1106"/>
      <c r="E31" s="1106"/>
      <c r="F31" s="1106"/>
      <c r="G31" s="1106"/>
      <c r="H31" s="1106"/>
      <c r="I31" s="1106"/>
      <c r="J31" s="1107"/>
      <c r="L31" s="12"/>
      <c r="M31" s="12"/>
    </row>
    <row r="32" spans="1:15" s="12" customFormat="1" ht="12.75" customHeight="1" x14ac:dyDescent="0.25">
      <c r="A32" s="640" t="s">
        <v>8</v>
      </c>
      <c r="B32" s="642" t="s">
        <v>14</v>
      </c>
      <c r="C32" s="168" t="s">
        <v>8</v>
      </c>
      <c r="D32" s="924" t="s">
        <v>51</v>
      </c>
      <c r="E32" s="169"/>
      <c r="F32" s="92">
        <v>3</v>
      </c>
      <c r="G32" s="22" t="s">
        <v>22</v>
      </c>
      <c r="H32" s="694">
        <f>2782612+13100+11537</f>
        <v>2807249</v>
      </c>
      <c r="I32" s="741">
        <f>2782612+13100+11537-13110</f>
        <v>2794139</v>
      </c>
      <c r="J32" s="742">
        <f>I32-H32</f>
        <v>-13110</v>
      </c>
      <c r="K32" s="174"/>
      <c r="L32" s="1150"/>
      <c r="M32" s="175"/>
    </row>
    <row r="33" spans="1:14" s="12" customFormat="1" ht="12.75" customHeight="1" x14ac:dyDescent="0.25">
      <c r="A33" s="646"/>
      <c r="B33" s="647"/>
      <c r="C33" s="28"/>
      <c r="D33" s="925"/>
      <c r="E33" s="85"/>
      <c r="F33" s="664"/>
      <c r="G33" s="20" t="s">
        <v>27</v>
      </c>
      <c r="H33" s="706">
        <f>1689.5/3.4528*1000</f>
        <v>489313</v>
      </c>
      <c r="I33" s="493">
        <f>1689.5/3.4528*1000</f>
        <v>489313</v>
      </c>
      <c r="J33" s="506"/>
      <c r="K33" s="174"/>
      <c r="L33" s="1150"/>
    </row>
    <row r="34" spans="1:14" s="12" customFormat="1" ht="12.75" customHeight="1" x14ac:dyDescent="0.25">
      <c r="A34" s="646"/>
      <c r="B34" s="647"/>
      <c r="C34" s="28"/>
      <c r="D34" s="179"/>
      <c r="E34" s="85"/>
      <c r="F34" s="664"/>
      <c r="G34" s="34" t="s">
        <v>12</v>
      </c>
      <c r="H34" s="692">
        <v>456353</v>
      </c>
      <c r="I34" s="511">
        <v>456353</v>
      </c>
      <c r="J34" s="527">
        <f>I34-H34</f>
        <v>0</v>
      </c>
      <c r="K34" s="174"/>
      <c r="L34" s="1150"/>
    </row>
    <row r="35" spans="1:14" s="12" customFormat="1" ht="12.75" customHeight="1" x14ac:dyDescent="0.25">
      <c r="A35" s="646"/>
      <c r="B35" s="647"/>
      <c r="C35" s="28"/>
      <c r="D35" s="179"/>
      <c r="E35" s="85"/>
      <c r="F35" s="664"/>
      <c r="G35" s="714" t="s">
        <v>16</v>
      </c>
      <c r="H35" s="707">
        <f>681/3.4528*1000</f>
        <v>197231</v>
      </c>
      <c r="I35" s="512">
        <f>681/3.4528*1000</f>
        <v>197231</v>
      </c>
      <c r="J35" s="377"/>
      <c r="K35" s="174"/>
      <c r="L35" s="1150"/>
    </row>
    <row r="36" spans="1:14" s="12" customFormat="1" ht="12.75" customHeight="1" x14ac:dyDescent="0.25">
      <c r="A36" s="646"/>
      <c r="B36" s="647"/>
      <c r="C36" s="28"/>
      <c r="D36" s="179"/>
      <c r="E36" s="85"/>
      <c r="F36" s="664"/>
      <c r="G36" s="34" t="s">
        <v>37</v>
      </c>
      <c r="H36" s="692">
        <f>88.1/3.4528*1000</f>
        <v>25516</v>
      </c>
      <c r="I36" s="511">
        <f>88.1/3.4528*1000</f>
        <v>25516</v>
      </c>
      <c r="J36" s="507"/>
      <c r="K36" s="174"/>
      <c r="L36" s="1150"/>
    </row>
    <row r="37" spans="1:14" s="12" customFormat="1" ht="12.75" customHeight="1" x14ac:dyDescent="0.25">
      <c r="A37" s="646"/>
      <c r="B37" s="647"/>
      <c r="C37" s="28"/>
      <c r="D37" s="56" t="s">
        <v>109</v>
      </c>
      <c r="E37" s="85"/>
      <c r="F37" s="664"/>
      <c r="G37" s="715" t="s">
        <v>100</v>
      </c>
      <c r="H37" s="692">
        <v>5263</v>
      </c>
      <c r="I37" s="511">
        <v>5263</v>
      </c>
      <c r="J37" s="507">
        <f>I37-H37</f>
        <v>0</v>
      </c>
      <c r="K37" s="87"/>
      <c r="L37" s="1150"/>
      <c r="M37" s="87"/>
      <c r="N37" s="87"/>
    </row>
    <row r="38" spans="1:14" s="12" customFormat="1" ht="28.5" customHeight="1" x14ac:dyDescent="0.25">
      <c r="A38" s="646"/>
      <c r="B38" s="647"/>
      <c r="C38" s="28"/>
      <c r="D38" s="56" t="s">
        <v>99</v>
      </c>
      <c r="E38" s="85"/>
      <c r="F38" s="664"/>
      <c r="G38" s="34" t="s">
        <v>197</v>
      </c>
      <c r="H38" s="692">
        <v>322891</v>
      </c>
      <c r="I38" s="511">
        <v>52926</v>
      </c>
      <c r="J38" s="507">
        <f>I38-H38</f>
        <v>-269965</v>
      </c>
      <c r="L38" s="1150"/>
    </row>
    <row r="39" spans="1:14" s="12" customFormat="1" ht="27" customHeight="1" x14ac:dyDescent="0.25">
      <c r="A39" s="646"/>
      <c r="B39" s="647"/>
      <c r="C39" s="28"/>
      <c r="D39" s="921" t="s">
        <v>112</v>
      </c>
      <c r="E39" s="85"/>
      <c r="F39" s="664"/>
      <c r="G39" s="716"/>
      <c r="H39" s="708"/>
      <c r="I39" s="513"/>
      <c r="J39" s="377"/>
    </row>
    <row r="40" spans="1:14" s="12" customFormat="1" ht="17.25" customHeight="1" x14ac:dyDescent="0.25">
      <c r="A40" s="221"/>
      <c r="B40" s="222"/>
      <c r="C40" s="589"/>
      <c r="D40" s="1084"/>
      <c r="E40" s="590"/>
      <c r="F40" s="224"/>
      <c r="G40" s="717"/>
      <c r="H40" s="709"/>
      <c r="I40" s="518"/>
      <c r="J40" s="532"/>
    </row>
    <row r="41" spans="1:14" s="12" customFormat="1" ht="15" customHeight="1" x14ac:dyDescent="0.25">
      <c r="A41" s="646"/>
      <c r="B41" s="647"/>
      <c r="C41" s="28"/>
      <c r="D41" s="743" t="s">
        <v>113</v>
      </c>
      <c r="E41" s="85"/>
      <c r="F41" s="664"/>
      <c r="G41" s="20"/>
      <c r="H41" s="706"/>
      <c r="I41" s="493"/>
      <c r="J41" s="506"/>
    </row>
    <row r="42" spans="1:14" s="12" customFormat="1" ht="25.5" x14ac:dyDescent="0.25">
      <c r="A42" s="646"/>
      <c r="B42" s="647"/>
      <c r="C42" s="28"/>
      <c r="D42" s="743" t="s">
        <v>153</v>
      </c>
      <c r="E42" s="667"/>
      <c r="F42" s="664"/>
      <c r="G42" s="20"/>
      <c r="H42" s="706"/>
      <c r="I42" s="493"/>
      <c r="J42" s="506"/>
    </row>
    <row r="43" spans="1:14" s="12" customFormat="1" ht="38.25" x14ac:dyDescent="0.25">
      <c r="A43" s="646"/>
      <c r="B43" s="647"/>
      <c r="C43" s="28"/>
      <c r="D43" s="743" t="s">
        <v>154</v>
      </c>
      <c r="E43" s="667"/>
      <c r="F43" s="664"/>
      <c r="G43" s="20"/>
      <c r="H43" s="706"/>
      <c r="I43" s="493"/>
      <c r="J43" s="506"/>
    </row>
    <row r="44" spans="1:14" s="12" customFormat="1" ht="17.25" customHeight="1" x14ac:dyDescent="0.25">
      <c r="A44" s="646"/>
      <c r="B44" s="647"/>
      <c r="C44" s="28"/>
      <c r="D44" s="56" t="s">
        <v>114</v>
      </c>
      <c r="E44" s="667"/>
      <c r="F44" s="664"/>
      <c r="G44" s="20"/>
      <c r="H44" s="706"/>
      <c r="I44" s="493"/>
      <c r="J44" s="506"/>
    </row>
    <row r="45" spans="1:14" s="12" customFormat="1" ht="12.75" customHeight="1" x14ac:dyDescent="0.25">
      <c r="A45" s="646"/>
      <c r="B45" s="647"/>
      <c r="C45" s="28"/>
      <c r="D45" s="650" t="s">
        <v>115</v>
      </c>
      <c r="E45" s="667"/>
      <c r="F45" s="664"/>
      <c r="G45" s="20"/>
      <c r="H45" s="706"/>
      <c r="I45" s="493"/>
      <c r="J45" s="506"/>
    </row>
    <row r="46" spans="1:14" s="12" customFormat="1" x14ac:dyDescent="0.25">
      <c r="A46" s="646"/>
      <c r="B46" s="647"/>
      <c r="C46" s="216"/>
      <c r="D46" s="921" t="s">
        <v>151</v>
      </c>
      <c r="E46" s="84"/>
      <c r="F46" s="217"/>
      <c r="G46" s="20"/>
      <c r="H46" s="706"/>
      <c r="I46" s="493"/>
      <c r="J46" s="506"/>
    </row>
    <row r="47" spans="1:14" s="12" customFormat="1" ht="12" customHeight="1" x14ac:dyDescent="0.25">
      <c r="A47" s="646"/>
      <c r="B47" s="647"/>
      <c r="C47" s="666"/>
      <c r="D47" s="921"/>
      <c r="E47" s="591"/>
      <c r="F47" s="217"/>
      <c r="G47" s="20"/>
      <c r="H47" s="706"/>
      <c r="I47" s="493"/>
      <c r="J47" s="506"/>
    </row>
    <row r="48" spans="1:14" s="27" customFormat="1" x14ac:dyDescent="0.25">
      <c r="A48" s="646"/>
      <c r="B48" s="647"/>
      <c r="C48" s="219"/>
      <c r="D48" s="650" t="s">
        <v>116</v>
      </c>
      <c r="E48" s="85"/>
      <c r="F48" s="664"/>
      <c r="G48" s="20"/>
      <c r="H48" s="706"/>
      <c r="I48" s="493"/>
      <c r="J48" s="506"/>
    </row>
    <row r="49" spans="1:18" s="12" customFormat="1" ht="31.5" customHeight="1" x14ac:dyDescent="0.25">
      <c r="A49" s="646"/>
      <c r="B49" s="647"/>
      <c r="C49" s="677"/>
      <c r="D49" s="656" t="s">
        <v>117</v>
      </c>
      <c r="E49" s="667"/>
      <c r="F49" s="664"/>
      <c r="G49" s="20"/>
      <c r="H49" s="706"/>
      <c r="I49" s="493"/>
      <c r="J49" s="506"/>
    </row>
    <row r="50" spans="1:18" s="12" customFormat="1" ht="30" customHeight="1" x14ac:dyDescent="0.25">
      <c r="A50" s="646"/>
      <c r="B50" s="647"/>
      <c r="C50" s="28"/>
      <c r="D50" s="656" t="s">
        <v>152</v>
      </c>
      <c r="E50" s="667"/>
      <c r="F50" s="664"/>
      <c r="G50" s="20"/>
      <c r="H50" s="706"/>
      <c r="I50" s="493"/>
      <c r="J50" s="506"/>
    </row>
    <row r="51" spans="1:18" s="12" customFormat="1" ht="28.5" customHeight="1" x14ac:dyDescent="0.25">
      <c r="A51" s="646"/>
      <c r="B51" s="647"/>
      <c r="C51" s="28"/>
      <c r="D51" s="921" t="s">
        <v>62</v>
      </c>
      <c r="E51" s="667"/>
      <c r="F51" s="664"/>
      <c r="G51" s="20"/>
      <c r="H51" s="706"/>
      <c r="I51" s="493"/>
      <c r="J51" s="506"/>
    </row>
    <row r="52" spans="1:18" s="12" customFormat="1" ht="15" customHeight="1" thickBot="1" x14ac:dyDescent="0.3">
      <c r="A52" s="641"/>
      <c r="B52" s="21"/>
      <c r="C52" s="480"/>
      <c r="D52" s="926"/>
      <c r="E52" s="481"/>
      <c r="F52" s="161"/>
      <c r="G52" s="81" t="s">
        <v>13</v>
      </c>
      <c r="H52" s="238">
        <f>SUM(H32:H51)</f>
        <v>4303816</v>
      </c>
      <c r="I52" s="494">
        <f>SUM(I32:I51)</f>
        <v>4020741</v>
      </c>
      <c r="J52" s="508">
        <f>SUM(J32:J51)</f>
        <v>-283075</v>
      </c>
    </row>
    <row r="53" spans="1:18" s="11" customFormat="1" ht="21.75" customHeight="1" x14ac:dyDescent="0.25">
      <c r="A53" s="929" t="s">
        <v>8</v>
      </c>
      <c r="B53" s="932" t="s">
        <v>14</v>
      </c>
      <c r="C53" s="935" t="s">
        <v>14</v>
      </c>
      <c r="D53" s="842" t="s">
        <v>49</v>
      </c>
      <c r="E53" s="939"/>
      <c r="F53" s="950" t="s">
        <v>21</v>
      </c>
      <c r="G53" s="30" t="s">
        <v>22</v>
      </c>
      <c r="H53" s="696">
        <f>960/3.4528*1000</f>
        <v>278035</v>
      </c>
      <c r="I53" s="497">
        <f>960/3.4528*1000</f>
        <v>278035</v>
      </c>
      <c r="J53" s="501"/>
    </row>
    <row r="54" spans="1:18" s="11" customFormat="1" ht="8.25" customHeight="1" x14ac:dyDescent="0.25">
      <c r="A54" s="930"/>
      <c r="B54" s="933"/>
      <c r="C54" s="936"/>
      <c r="D54" s="938"/>
      <c r="E54" s="940"/>
      <c r="F54" s="951"/>
      <c r="G54" s="82"/>
      <c r="H54" s="708"/>
      <c r="I54" s="513"/>
      <c r="J54" s="377"/>
    </row>
    <row r="55" spans="1:18" s="12" customFormat="1" ht="13.5" thickBot="1" x14ac:dyDescent="0.3">
      <c r="A55" s="931"/>
      <c r="B55" s="934"/>
      <c r="C55" s="937"/>
      <c r="D55" s="843"/>
      <c r="E55" s="941"/>
      <c r="F55" s="952"/>
      <c r="G55" s="78" t="s">
        <v>13</v>
      </c>
      <c r="H55" s="238">
        <f>H53</f>
        <v>278035</v>
      </c>
      <c r="I55" s="494">
        <f>I53</f>
        <v>278035</v>
      </c>
      <c r="J55" s="267">
        <f>SUM(J53:J54)</f>
        <v>0</v>
      </c>
    </row>
    <row r="56" spans="1:18" s="11" customFormat="1" ht="27.75" customHeight="1" x14ac:dyDescent="0.25">
      <c r="A56" s="652" t="s">
        <v>8</v>
      </c>
      <c r="B56" s="653" t="s">
        <v>14</v>
      </c>
      <c r="C56" s="644" t="s">
        <v>17</v>
      </c>
      <c r="D56" s="1117" t="s">
        <v>50</v>
      </c>
      <c r="E56" s="242"/>
      <c r="F56" s="673" t="s">
        <v>21</v>
      </c>
      <c r="G56" s="30" t="s">
        <v>22</v>
      </c>
      <c r="H56" s="696">
        <f>1217.9/3.4528*1000</f>
        <v>352728</v>
      </c>
      <c r="I56" s="497">
        <f>1217.9/3.4528*1000</f>
        <v>352728</v>
      </c>
      <c r="J56" s="501"/>
      <c r="N56" s="12"/>
      <c r="R56" s="12"/>
    </row>
    <row r="57" spans="1:18" s="11" customFormat="1" ht="28.5" customHeight="1" x14ac:dyDescent="0.25">
      <c r="A57" s="670"/>
      <c r="B57" s="671"/>
      <c r="C57" s="672"/>
      <c r="D57" s="1118"/>
      <c r="E57" s="246"/>
      <c r="F57" s="674"/>
      <c r="G57" s="82"/>
      <c r="H57" s="708"/>
      <c r="I57" s="513"/>
      <c r="J57" s="377"/>
      <c r="N57" s="12"/>
    </row>
    <row r="58" spans="1:18" s="11" customFormat="1" ht="39.75" customHeight="1" x14ac:dyDescent="0.25">
      <c r="A58" s="670"/>
      <c r="B58" s="671"/>
      <c r="C58" s="672"/>
      <c r="D58" s="83" t="s">
        <v>118</v>
      </c>
      <c r="E58" s="246"/>
      <c r="F58" s="674"/>
      <c r="G58" s="82"/>
      <c r="H58" s="708"/>
      <c r="I58" s="513"/>
      <c r="J58" s="377"/>
      <c r="R58" s="12"/>
    </row>
    <row r="59" spans="1:18" s="11" customFormat="1" ht="39.75" customHeight="1" x14ac:dyDescent="0.25">
      <c r="A59" s="670"/>
      <c r="B59" s="671"/>
      <c r="C59" s="672"/>
      <c r="D59" s="83" t="s">
        <v>119</v>
      </c>
      <c r="E59" s="246"/>
      <c r="F59" s="674"/>
      <c r="G59" s="82"/>
      <c r="H59" s="708"/>
      <c r="I59" s="513"/>
      <c r="J59" s="377"/>
    </row>
    <row r="60" spans="1:18" s="11" customFormat="1" ht="30.75" customHeight="1" x14ac:dyDescent="0.25">
      <c r="A60" s="670"/>
      <c r="B60" s="671"/>
      <c r="C60" s="672"/>
      <c r="D60" s="83" t="s">
        <v>120</v>
      </c>
      <c r="E60" s="246"/>
      <c r="F60" s="674"/>
      <c r="G60" s="82"/>
      <c r="H60" s="708"/>
      <c r="I60" s="513"/>
      <c r="J60" s="377"/>
    </row>
    <row r="61" spans="1:18" s="11" customFormat="1" ht="54.75" customHeight="1" x14ac:dyDescent="0.25">
      <c r="A61" s="670"/>
      <c r="B61" s="671"/>
      <c r="C61" s="672"/>
      <c r="D61" s="159" t="s">
        <v>121</v>
      </c>
      <c r="E61" s="246"/>
      <c r="F61" s="674"/>
      <c r="G61" s="82"/>
      <c r="H61" s="708"/>
      <c r="I61" s="513"/>
      <c r="J61" s="377"/>
      <c r="M61" s="12"/>
    </row>
    <row r="62" spans="1:18" s="11" customFormat="1" ht="31.5" customHeight="1" x14ac:dyDescent="0.25">
      <c r="A62" s="670"/>
      <c r="B62" s="671"/>
      <c r="C62" s="672"/>
      <c r="D62" s="938" t="s">
        <v>145</v>
      </c>
      <c r="E62" s="246"/>
      <c r="F62" s="674"/>
      <c r="G62" s="88"/>
      <c r="H62" s="708"/>
      <c r="I62" s="513"/>
      <c r="J62" s="377"/>
      <c r="O62" s="12"/>
    </row>
    <row r="63" spans="1:18" s="11" customFormat="1" ht="25.5" customHeight="1" x14ac:dyDescent="0.25">
      <c r="A63" s="670"/>
      <c r="B63" s="671"/>
      <c r="C63" s="672"/>
      <c r="D63" s="938"/>
      <c r="E63" s="246"/>
      <c r="F63" s="674"/>
      <c r="G63" s="88"/>
      <c r="H63" s="708"/>
      <c r="I63" s="513"/>
      <c r="J63" s="377"/>
    </row>
    <row r="64" spans="1:18" s="12" customFormat="1" ht="13.5" thickBot="1" x14ac:dyDescent="0.3">
      <c r="A64" s="6"/>
      <c r="B64" s="654"/>
      <c r="C64" s="8"/>
      <c r="D64" s="843"/>
      <c r="E64" s="258"/>
      <c r="F64" s="675"/>
      <c r="G64" s="78" t="s">
        <v>13</v>
      </c>
      <c r="H64" s="238">
        <f>SUM(H56:H63)</f>
        <v>352728</v>
      </c>
      <c r="I64" s="494">
        <f>SUM(I56:I63)</f>
        <v>352728</v>
      </c>
      <c r="J64" s="267"/>
    </row>
    <row r="65" spans="1:10" s="11" customFormat="1" ht="15.75" customHeight="1" x14ac:dyDescent="0.25">
      <c r="A65" s="548" t="s">
        <v>8</v>
      </c>
      <c r="B65" s="550" t="s">
        <v>14</v>
      </c>
      <c r="C65" s="389" t="s">
        <v>19</v>
      </c>
      <c r="D65" s="262" t="s">
        <v>160</v>
      </c>
      <c r="E65" s="70"/>
      <c r="F65" s="553" t="s">
        <v>21</v>
      </c>
      <c r="G65" s="30"/>
      <c r="H65" s="696"/>
      <c r="I65" s="497"/>
      <c r="J65" s="501"/>
    </row>
    <row r="66" spans="1:10" s="11" customFormat="1" ht="30" customHeight="1" x14ac:dyDescent="0.25">
      <c r="A66" s="597"/>
      <c r="B66" s="598"/>
      <c r="C66" s="416"/>
      <c r="D66" s="679" t="s">
        <v>28</v>
      </c>
      <c r="E66" s="599"/>
      <c r="F66" s="600"/>
      <c r="G66" s="33" t="s">
        <v>22</v>
      </c>
      <c r="H66" s="709">
        <f>110/3.4528*1000</f>
        <v>31858</v>
      </c>
      <c r="I66" s="518">
        <f>110/3.4528*1000</f>
        <v>31858</v>
      </c>
      <c r="J66" s="532"/>
    </row>
    <row r="67" spans="1:10" s="11" customFormat="1" ht="52.5" customHeight="1" x14ac:dyDescent="0.25">
      <c r="A67" s="549"/>
      <c r="B67" s="551"/>
      <c r="C67" s="398"/>
      <c r="D67" s="965" t="s">
        <v>193</v>
      </c>
      <c r="E67" s="58"/>
      <c r="F67" s="554"/>
      <c r="G67" s="264" t="s">
        <v>22</v>
      </c>
      <c r="H67" s="707">
        <f>160/3.4528*1000+31000</f>
        <v>77339</v>
      </c>
      <c r="I67" s="512">
        <f>160/3.4528*1000+31000</f>
        <v>77339</v>
      </c>
      <c r="J67" s="532">
        <f>I67-H67</f>
        <v>0</v>
      </c>
    </row>
    <row r="68" spans="1:10" s="11" customFormat="1" ht="15.75" customHeight="1" thickBot="1" x14ac:dyDescent="0.3">
      <c r="A68" s="6"/>
      <c r="B68" s="7"/>
      <c r="C68" s="552"/>
      <c r="D68" s="966"/>
      <c r="E68" s="59"/>
      <c r="F68" s="555"/>
      <c r="G68" s="80" t="s">
        <v>13</v>
      </c>
      <c r="H68" s="710">
        <f>SUM(H65:H67)</f>
        <v>109197</v>
      </c>
      <c r="I68" s="522">
        <f>SUM(I65:I67)</f>
        <v>109197</v>
      </c>
      <c r="J68" s="503">
        <f>SUM(J65:J67)</f>
        <v>0</v>
      </c>
    </row>
    <row r="69" spans="1:10" s="11" customFormat="1" ht="12" customHeight="1" x14ac:dyDescent="0.25">
      <c r="A69" s="883" t="s">
        <v>8</v>
      </c>
      <c r="B69" s="885" t="s">
        <v>14</v>
      </c>
      <c r="C69" s="648" t="s">
        <v>23</v>
      </c>
      <c r="D69" s="851" t="s">
        <v>29</v>
      </c>
      <c r="E69" s="60"/>
      <c r="F69" s="268" t="s">
        <v>30</v>
      </c>
      <c r="G69" s="31" t="s">
        <v>22</v>
      </c>
      <c r="H69" s="711">
        <f>100/3.4528*1000</f>
        <v>28962</v>
      </c>
      <c r="I69" s="514">
        <f>100/3.4528*1000</f>
        <v>28962</v>
      </c>
      <c r="J69" s="504"/>
    </row>
    <row r="70" spans="1:10" s="11" customFormat="1" ht="12" customHeight="1" x14ac:dyDescent="0.25">
      <c r="A70" s="908"/>
      <c r="B70" s="909"/>
      <c r="C70" s="649"/>
      <c r="D70" s="852"/>
      <c r="E70" s="61"/>
      <c r="F70" s="271"/>
      <c r="G70" s="82" t="s">
        <v>100</v>
      </c>
      <c r="H70" s="708">
        <v>716</v>
      </c>
      <c r="I70" s="513">
        <v>716</v>
      </c>
      <c r="J70" s="377">
        <f>I70-H70</f>
        <v>0</v>
      </c>
    </row>
    <row r="71" spans="1:10" s="11" customFormat="1" x14ac:dyDescent="0.25">
      <c r="A71" s="908"/>
      <c r="B71" s="909"/>
      <c r="C71" s="649"/>
      <c r="D71" s="852"/>
      <c r="E71" s="61"/>
      <c r="F71" s="271"/>
      <c r="G71" s="32" t="s">
        <v>16</v>
      </c>
      <c r="H71" s="707">
        <v>52699</v>
      </c>
      <c r="I71" s="512">
        <v>52699</v>
      </c>
      <c r="J71" s="502">
        <f>I71-H71</f>
        <v>0</v>
      </c>
    </row>
    <row r="72" spans="1:10" s="11" customFormat="1" ht="13.5" thickBot="1" x14ac:dyDescent="0.3">
      <c r="A72" s="646"/>
      <c r="B72" s="647"/>
      <c r="C72" s="649"/>
      <c r="D72" s="889"/>
      <c r="E72" s="61"/>
      <c r="F72" s="271"/>
      <c r="G72" s="80" t="s">
        <v>13</v>
      </c>
      <c r="H72" s="710">
        <f>SUM(H69:H71)</f>
        <v>82377</v>
      </c>
      <c r="I72" s="522">
        <f>SUM(I69:I71)</f>
        <v>82377</v>
      </c>
      <c r="J72" s="503">
        <f>SUM(J69:J71)</f>
        <v>0</v>
      </c>
    </row>
    <row r="73" spans="1:10" s="11" customFormat="1" ht="12" customHeight="1" x14ac:dyDescent="0.25">
      <c r="A73" s="883" t="s">
        <v>8</v>
      </c>
      <c r="B73" s="885" t="s">
        <v>14</v>
      </c>
      <c r="C73" s="648" t="s">
        <v>31</v>
      </c>
      <c r="D73" s="842" t="s">
        <v>32</v>
      </c>
      <c r="E73" s="60"/>
      <c r="F73" s="673" t="s">
        <v>21</v>
      </c>
      <c r="G73" s="33" t="s">
        <v>22</v>
      </c>
      <c r="H73" s="709">
        <f>74.8/3.4528*1000</f>
        <v>21664</v>
      </c>
      <c r="I73" s="518">
        <f>74.8/3.4528*1000</f>
        <v>21664</v>
      </c>
      <c r="J73" s="505"/>
    </row>
    <row r="74" spans="1:10" s="11" customFormat="1" x14ac:dyDescent="0.2">
      <c r="A74" s="908"/>
      <c r="B74" s="909"/>
      <c r="C74" s="649"/>
      <c r="D74" s="938"/>
      <c r="E74" s="62"/>
      <c r="F74" s="279"/>
      <c r="G74" s="20" t="s">
        <v>16</v>
      </c>
      <c r="H74" s="706">
        <f>722.4/3.4528*1000</f>
        <v>209222</v>
      </c>
      <c r="I74" s="493">
        <f>722.4/3.4528*1000</f>
        <v>209222</v>
      </c>
      <c r="J74" s="506"/>
    </row>
    <row r="75" spans="1:10" s="11" customFormat="1" x14ac:dyDescent="0.2">
      <c r="A75" s="646"/>
      <c r="B75" s="647"/>
      <c r="C75" s="649"/>
      <c r="D75" s="938"/>
      <c r="E75" s="62"/>
      <c r="F75" s="279"/>
      <c r="G75" s="19" t="s">
        <v>16</v>
      </c>
      <c r="H75" s="692">
        <f>36.1/3.4528*1000</f>
        <v>10455</v>
      </c>
      <c r="I75" s="511">
        <f>36.1/3.4528*1000</f>
        <v>10455</v>
      </c>
      <c r="J75" s="507"/>
    </row>
    <row r="76" spans="1:10" s="11" customFormat="1" ht="13.5" thickBot="1" x14ac:dyDescent="0.25">
      <c r="A76" s="641"/>
      <c r="B76" s="643"/>
      <c r="C76" s="660"/>
      <c r="D76" s="843"/>
      <c r="E76" s="63"/>
      <c r="F76" s="283"/>
      <c r="G76" s="81" t="s">
        <v>13</v>
      </c>
      <c r="H76" s="238">
        <f>SUM(H73:H75)</f>
        <v>241341</v>
      </c>
      <c r="I76" s="494">
        <f>SUM(I73:I75)</f>
        <v>241341</v>
      </c>
      <c r="J76" s="508"/>
    </row>
    <row r="77" spans="1:10" s="11" customFormat="1" ht="12" customHeight="1" x14ac:dyDescent="0.25">
      <c r="A77" s="883" t="s">
        <v>8</v>
      </c>
      <c r="B77" s="885" t="s">
        <v>14</v>
      </c>
      <c r="C77" s="648" t="s">
        <v>33</v>
      </c>
      <c r="D77" s="983" t="s">
        <v>179</v>
      </c>
      <c r="E77" s="60"/>
      <c r="F77" s="673" t="s">
        <v>61</v>
      </c>
      <c r="G77" s="30" t="s">
        <v>16</v>
      </c>
      <c r="H77" s="696">
        <f>500/3.4528*1000</f>
        <v>144810</v>
      </c>
      <c r="I77" s="497">
        <f>500/3.4528*1000</f>
        <v>144810</v>
      </c>
      <c r="J77" s="501"/>
    </row>
    <row r="78" spans="1:10" s="11" customFormat="1" x14ac:dyDescent="0.2">
      <c r="A78" s="908"/>
      <c r="B78" s="909"/>
      <c r="C78" s="649"/>
      <c r="D78" s="984"/>
      <c r="E78" s="62"/>
      <c r="F78" s="286">
        <v>3</v>
      </c>
      <c r="G78" s="20"/>
      <c r="H78" s="706"/>
      <c r="I78" s="493"/>
      <c r="J78" s="506"/>
    </row>
    <row r="79" spans="1:10" s="11" customFormat="1" ht="13.5" thickBot="1" x14ac:dyDescent="0.25">
      <c r="A79" s="646"/>
      <c r="B79" s="647"/>
      <c r="C79" s="660"/>
      <c r="D79" s="985"/>
      <c r="E79" s="62"/>
      <c r="F79" s="279">
        <v>6</v>
      </c>
      <c r="G79" s="81" t="s">
        <v>13</v>
      </c>
      <c r="H79" s="238">
        <f>SUM(H77:H78)</f>
        <v>144810</v>
      </c>
      <c r="I79" s="494">
        <f>SUM(I77:I78)</f>
        <v>144810</v>
      </c>
      <c r="J79" s="508"/>
    </row>
    <row r="80" spans="1:10" s="11" customFormat="1" ht="13.5" customHeight="1" x14ac:dyDescent="0.25">
      <c r="A80" s="883" t="s">
        <v>8</v>
      </c>
      <c r="B80" s="885" t="s">
        <v>14</v>
      </c>
      <c r="C80" s="648" t="s">
        <v>60</v>
      </c>
      <c r="D80" s="986" t="s">
        <v>180</v>
      </c>
      <c r="E80" s="989"/>
      <c r="F80" s="994" t="s">
        <v>21</v>
      </c>
      <c r="G80" s="20" t="s">
        <v>36</v>
      </c>
      <c r="H80" s="706">
        <f>390.2/3.4528*1000</f>
        <v>113010</v>
      </c>
      <c r="I80" s="493">
        <f>390.2/3.4528*1000</f>
        <v>113010</v>
      </c>
      <c r="J80" s="528"/>
    </row>
    <row r="81" spans="1:19" s="11" customFormat="1" ht="13.5" customHeight="1" x14ac:dyDescent="0.25">
      <c r="A81" s="908"/>
      <c r="B81" s="909"/>
      <c r="C81" s="649"/>
      <c r="D81" s="987"/>
      <c r="E81" s="990"/>
      <c r="F81" s="995"/>
      <c r="G81" s="19" t="s">
        <v>12</v>
      </c>
      <c r="H81" s="712">
        <f>347.8/3.4528*1000</f>
        <v>100730</v>
      </c>
      <c r="I81" s="515">
        <f>347.8/3.4528*1000</f>
        <v>100730</v>
      </c>
      <c r="J81" s="506"/>
    </row>
    <row r="82" spans="1:19" s="11" customFormat="1" ht="13.5" customHeight="1" x14ac:dyDescent="0.25">
      <c r="A82" s="646"/>
      <c r="B82" s="647"/>
      <c r="C82" s="649"/>
      <c r="D82" s="987"/>
      <c r="E82" s="990"/>
      <c r="F82" s="995"/>
      <c r="G82" s="19" t="s">
        <v>12</v>
      </c>
      <c r="H82" s="693">
        <f>327.2/3.4528*1000</f>
        <v>94764</v>
      </c>
      <c r="I82" s="495">
        <f>327.2/3.4528*1000</f>
        <v>94764</v>
      </c>
      <c r="J82" s="527"/>
    </row>
    <row r="83" spans="1:19" s="11" customFormat="1" ht="15" customHeight="1" thickBot="1" x14ac:dyDescent="0.3">
      <c r="A83" s="641"/>
      <c r="B83" s="643"/>
      <c r="C83" s="660"/>
      <c r="D83" s="988"/>
      <c r="E83" s="991"/>
      <c r="F83" s="996"/>
      <c r="G83" s="78" t="s">
        <v>13</v>
      </c>
      <c r="H83" s="238">
        <f>SUM(H80:H82)</f>
        <v>308504</v>
      </c>
      <c r="I83" s="494">
        <f>SUM(I80:I82)</f>
        <v>308504</v>
      </c>
      <c r="J83" s="267"/>
    </row>
    <row r="84" spans="1:19" s="11" customFormat="1" ht="16.5" customHeight="1" x14ac:dyDescent="0.25">
      <c r="A84" s="640" t="s">
        <v>8</v>
      </c>
      <c r="B84" s="642" t="s">
        <v>14</v>
      </c>
      <c r="C84" s="648" t="s">
        <v>73</v>
      </c>
      <c r="D84" s="851" t="s">
        <v>181</v>
      </c>
      <c r="E84" s="989"/>
      <c r="F84" s="994" t="s">
        <v>21</v>
      </c>
      <c r="G84" s="17" t="s">
        <v>36</v>
      </c>
      <c r="H84" s="695">
        <f>653.8/3.4528*1000</f>
        <v>189354</v>
      </c>
      <c r="I84" s="496">
        <f>653.8/3.4528*1000</f>
        <v>189354</v>
      </c>
      <c r="J84" s="510"/>
    </row>
    <row r="85" spans="1:19" s="11" customFormat="1" ht="16.5" customHeight="1" x14ac:dyDescent="0.25">
      <c r="A85" s="646"/>
      <c r="B85" s="647"/>
      <c r="C85" s="649"/>
      <c r="D85" s="852"/>
      <c r="E85" s="990"/>
      <c r="F85" s="995"/>
      <c r="G85" s="19" t="s">
        <v>16</v>
      </c>
      <c r="H85" s="712">
        <f>115.4/3.4528*1000</f>
        <v>33422</v>
      </c>
      <c r="I85" s="515">
        <f>115.4/3.4528*1000</f>
        <v>33422</v>
      </c>
      <c r="J85" s="527"/>
      <c r="S85" s="12"/>
    </row>
    <row r="86" spans="1:19" s="11" customFormat="1" ht="13.5" thickBot="1" x14ac:dyDescent="0.3">
      <c r="A86" s="641"/>
      <c r="B86" s="643"/>
      <c r="C86" s="660"/>
      <c r="D86" s="889"/>
      <c r="E86" s="991"/>
      <c r="F86" s="996"/>
      <c r="G86" s="718" t="s">
        <v>13</v>
      </c>
      <c r="H86" s="713">
        <f>SUM(H84:H85)</f>
        <v>222776</v>
      </c>
      <c r="I86" s="516">
        <f>SUM(I84:I85)</f>
        <v>222776</v>
      </c>
      <c r="J86" s="536"/>
      <c r="M86" s="12"/>
    </row>
    <row r="87" spans="1:19" s="11" customFormat="1" ht="13.5" customHeight="1" x14ac:dyDescent="0.25">
      <c r="A87" s="640" t="s">
        <v>8</v>
      </c>
      <c r="B87" s="642" t="s">
        <v>14</v>
      </c>
      <c r="C87" s="648" t="s">
        <v>11</v>
      </c>
      <c r="D87" s="1148" t="s">
        <v>146</v>
      </c>
      <c r="E87" s="989"/>
      <c r="F87" s="994" t="s">
        <v>21</v>
      </c>
      <c r="G87" s="17" t="s">
        <v>22</v>
      </c>
      <c r="H87" s="695">
        <v>14585</v>
      </c>
      <c r="I87" s="744">
        <f>14585+13500</f>
        <v>28085</v>
      </c>
      <c r="J87" s="745">
        <f>I87-H87</f>
        <v>13500</v>
      </c>
    </row>
    <row r="88" spans="1:19" s="11" customFormat="1" ht="13.5" customHeight="1" thickBot="1" x14ac:dyDescent="0.3">
      <c r="A88" s="641"/>
      <c r="B88" s="643"/>
      <c r="C88" s="660"/>
      <c r="D88" s="1149"/>
      <c r="E88" s="991"/>
      <c r="F88" s="996"/>
      <c r="G88" s="78" t="s">
        <v>13</v>
      </c>
      <c r="H88" s="238">
        <f>SUM(H87:H87)</f>
        <v>14585</v>
      </c>
      <c r="I88" s="494">
        <f>SUM(I87:I87)</f>
        <v>28085</v>
      </c>
      <c r="J88" s="267">
        <f>J87</f>
        <v>13500</v>
      </c>
    </row>
    <row r="89" spans="1:19" s="11" customFormat="1" ht="13.5" thickBot="1" x14ac:dyDescent="0.3">
      <c r="A89" s="14" t="s">
        <v>8</v>
      </c>
      <c r="B89" s="15" t="s">
        <v>14</v>
      </c>
      <c r="C89" s="1053" t="s">
        <v>25</v>
      </c>
      <c r="D89" s="1053"/>
      <c r="E89" s="1053"/>
      <c r="F89" s="1053"/>
      <c r="G89" s="1078"/>
      <c r="H89" s="167">
        <f>H88+H86+H83+H79+H76+H72+H68+H64+H55+H52</f>
        <v>6058169</v>
      </c>
      <c r="I89" s="517">
        <f>I88+I86+I83+I79+I76+I72+I68+I64+I55+I52</f>
        <v>5788594</v>
      </c>
      <c r="J89" s="531">
        <f>J88+J86+J83+J79+J76+J72+J68+J64+J55+J52</f>
        <v>-269575</v>
      </c>
    </row>
    <row r="90" spans="1:19" s="11" customFormat="1" ht="13.5" thickBot="1" x14ac:dyDescent="0.3">
      <c r="A90" s="35" t="s">
        <v>8</v>
      </c>
      <c r="B90" s="15" t="s">
        <v>17</v>
      </c>
      <c r="C90" s="1082" t="s">
        <v>34</v>
      </c>
      <c r="D90" s="1082"/>
      <c r="E90" s="1082"/>
      <c r="F90" s="1082"/>
      <c r="G90" s="1082"/>
      <c r="H90" s="1082"/>
      <c r="I90" s="1082"/>
      <c r="J90" s="1083"/>
    </row>
    <row r="91" spans="1:19" s="12" customFormat="1" ht="43.5" customHeight="1" x14ac:dyDescent="0.25">
      <c r="A91" s="46" t="s">
        <v>8</v>
      </c>
      <c r="B91" s="642" t="s">
        <v>17</v>
      </c>
      <c r="C91" s="558" t="s">
        <v>8</v>
      </c>
      <c r="D91" s="315" t="s">
        <v>35</v>
      </c>
      <c r="E91" s="316"/>
      <c r="F91" s="317"/>
      <c r="G91" s="107"/>
      <c r="H91" s="700"/>
      <c r="I91" s="514"/>
      <c r="J91" s="504"/>
    </row>
    <row r="92" spans="1:19" s="12" customFormat="1" ht="13.5" customHeight="1" x14ac:dyDescent="0.25">
      <c r="A92" s="44"/>
      <c r="B92" s="647"/>
      <c r="C92" s="94"/>
      <c r="D92" s="921" t="s">
        <v>182</v>
      </c>
      <c r="E92" s="324" t="s">
        <v>83</v>
      </c>
      <c r="F92" s="664">
        <v>5</v>
      </c>
      <c r="G92" s="41" t="s">
        <v>47</v>
      </c>
      <c r="H92" s="701">
        <v>17957</v>
      </c>
      <c r="I92" s="681">
        <v>17957</v>
      </c>
      <c r="J92" s="532">
        <f>I92-H92</f>
        <v>0</v>
      </c>
      <c r="K92" s="194"/>
    </row>
    <row r="93" spans="1:19" s="12" customFormat="1" ht="13.5" customHeight="1" x14ac:dyDescent="0.25">
      <c r="A93" s="44"/>
      <c r="B93" s="647"/>
      <c r="C93" s="94"/>
      <c r="D93" s="921"/>
      <c r="E93" s="324"/>
      <c r="F93" s="664"/>
      <c r="G93" s="37" t="s">
        <v>22</v>
      </c>
      <c r="H93" s="702">
        <v>24096</v>
      </c>
      <c r="I93" s="603">
        <f>24096+1373</f>
        <v>25469</v>
      </c>
      <c r="J93" s="564">
        <f>I93-H93</f>
        <v>1373</v>
      </c>
      <c r="K93" s="194"/>
    </row>
    <row r="94" spans="1:19" s="12" customFormat="1" ht="13.5" customHeight="1" x14ac:dyDescent="0.25">
      <c r="A94" s="44"/>
      <c r="B94" s="647"/>
      <c r="C94" s="94"/>
      <c r="D94" s="921"/>
      <c r="E94" s="324"/>
      <c r="F94" s="664"/>
      <c r="G94" s="40" t="s">
        <v>36</v>
      </c>
      <c r="H94" s="703">
        <v>127260</v>
      </c>
      <c r="I94" s="682">
        <v>127260</v>
      </c>
      <c r="J94" s="526">
        <f>I94-H94</f>
        <v>0</v>
      </c>
      <c r="K94" s="194"/>
    </row>
    <row r="95" spans="1:19" s="12" customFormat="1" ht="13.5" customHeight="1" x14ac:dyDescent="0.25">
      <c r="A95" s="44"/>
      <c r="B95" s="647"/>
      <c r="C95" s="101"/>
      <c r="D95" s="921"/>
      <c r="E95" s="324"/>
      <c r="F95" s="664"/>
      <c r="G95" s="381" t="s">
        <v>13</v>
      </c>
      <c r="H95" s="521">
        <f>SUM(H92:H94)</f>
        <v>169313</v>
      </c>
      <c r="I95" s="521">
        <f>SUM(I92:I94)</f>
        <v>170686</v>
      </c>
      <c r="J95" s="539">
        <f>SUM(J92:J94)</f>
        <v>1373</v>
      </c>
    </row>
    <row r="96" spans="1:19" s="12" customFormat="1" ht="13.5" customHeight="1" x14ac:dyDescent="0.25">
      <c r="A96" s="44"/>
      <c r="B96" s="647"/>
      <c r="C96" s="94"/>
      <c r="D96" s="1086" t="s">
        <v>183</v>
      </c>
      <c r="E96" s="559" t="s">
        <v>83</v>
      </c>
      <c r="F96" s="342">
        <v>5</v>
      </c>
      <c r="G96" s="38" t="s">
        <v>47</v>
      </c>
      <c r="H96" s="702">
        <f>75.4/3.4528*1000</f>
        <v>21837</v>
      </c>
      <c r="I96" s="606">
        <f>75.4/3.4528*1000</f>
        <v>21837</v>
      </c>
      <c r="J96" s="561"/>
    </row>
    <row r="97" spans="1:10" s="12" customFormat="1" ht="13.5" customHeight="1" x14ac:dyDescent="0.25">
      <c r="A97" s="44"/>
      <c r="B97" s="647"/>
      <c r="C97" s="94"/>
      <c r="D97" s="921"/>
      <c r="E97" s="338"/>
      <c r="F97" s="39"/>
      <c r="G97" s="37" t="s">
        <v>22</v>
      </c>
      <c r="H97" s="702">
        <v>22967</v>
      </c>
      <c r="I97" s="605">
        <f>22967+2043</f>
        <v>25010</v>
      </c>
      <c r="J97" s="610">
        <f>I97-H97</f>
        <v>2043</v>
      </c>
    </row>
    <row r="98" spans="1:10" s="12" customFormat="1" ht="13.5" customHeight="1" x14ac:dyDescent="0.25">
      <c r="A98" s="44"/>
      <c r="B98" s="647"/>
      <c r="C98" s="94"/>
      <c r="D98" s="921"/>
      <c r="E98" s="338"/>
      <c r="F98" s="39"/>
      <c r="G98" s="41" t="s">
        <v>36</v>
      </c>
      <c r="H98" s="701">
        <v>145361</v>
      </c>
      <c r="I98" s="683">
        <v>145361</v>
      </c>
      <c r="J98" s="532">
        <f>I98-H98</f>
        <v>0</v>
      </c>
    </row>
    <row r="99" spans="1:10" s="12" customFormat="1" ht="13.5" customHeight="1" x14ac:dyDescent="0.25">
      <c r="A99" s="44"/>
      <c r="B99" s="647"/>
      <c r="C99" s="94"/>
      <c r="D99" s="921"/>
      <c r="E99" s="338"/>
      <c r="F99" s="39"/>
      <c r="G99" s="98" t="s">
        <v>13</v>
      </c>
      <c r="H99" s="534">
        <f>SUM(H96:H98)</f>
        <v>190165</v>
      </c>
      <c r="I99" s="534">
        <f>SUM(I96:I98)</f>
        <v>192208</v>
      </c>
      <c r="J99" s="539">
        <f>SUM(J96:J98)</f>
        <v>2043</v>
      </c>
    </row>
    <row r="100" spans="1:10" s="12" customFormat="1" ht="13.5" customHeight="1" x14ac:dyDescent="0.25">
      <c r="A100" s="44"/>
      <c r="B100" s="647"/>
      <c r="C100" s="94"/>
      <c r="D100" s="1086" t="s">
        <v>184</v>
      </c>
      <c r="E100" s="341" t="s">
        <v>83</v>
      </c>
      <c r="F100" s="342">
        <v>5</v>
      </c>
      <c r="G100" s="38" t="s">
        <v>22</v>
      </c>
      <c r="H100" s="704">
        <f>80.3/3.4528*1000</f>
        <v>23256</v>
      </c>
      <c r="I100" s="519">
        <f>80.3/3.4528*1000</f>
        <v>23256</v>
      </c>
      <c r="J100" s="561"/>
    </row>
    <row r="101" spans="1:10" s="12" customFormat="1" ht="13.5" customHeight="1" x14ac:dyDescent="0.25">
      <c r="A101" s="44"/>
      <c r="B101" s="647"/>
      <c r="C101" s="94"/>
      <c r="D101" s="921"/>
      <c r="E101" s="338"/>
      <c r="F101" s="39"/>
      <c r="G101" s="38" t="s">
        <v>36</v>
      </c>
      <c r="H101" s="704">
        <f>338.5/3.4528*1000</f>
        <v>98036</v>
      </c>
      <c r="I101" s="519">
        <f>338.5/3.4528*1000</f>
        <v>98036</v>
      </c>
      <c r="J101" s="526"/>
    </row>
    <row r="102" spans="1:10" s="12" customFormat="1" ht="13.5" customHeight="1" x14ac:dyDescent="0.25">
      <c r="A102" s="44"/>
      <c r="B102" s="647"/>
      <c r="C102" s="94"/>
      <c r="D102" s="921"/>
      <c r="E102" s="338"/>
      <c r="F102" s="39"/>
      <c r="G102" s="99" t="s">
        <v>13</v>
      </c>
      <c r="H102" s="535">
        <f>SUM(H100:H101)</f>
        <v>121292</v>
      </c>
      <c r="I102" s="535">
        <f>SUM(I100:I101)</f>
        <v>121292</v>
      </c>
      <c r="J102" s="583"/>
    </row>
    <row r="103" spans="1:10" s="27" customFormat="1" ht="13.5" customHeight="1" thickBot="1" x14ac:dyDescent="0.3">
      <c r="A103" s="348"/>
      <c r="B103" s="643"/>
      <c r="C103" s="104"/>
      <c r="D103" s="926"/>
      <c r="E103" s="1075" t="s">
        <v>128</v>
      </c>
      <c r="F103" s="1076"/>
      <c r="G103" s="1077"/>
      <c r="H103" s="522">
        <f>H102+H99+H95</f>
        <v>480770</v>
      </c>
      <c r="I103" s="522">
        <f>I102+I99+I95</f>
        <v>484186</v>
      </c>
      <c r="J103" s="503">
        <f>J102+J99+J95</f>
        <v>3416</v>
      </c>
    </row>
    <row r="104" spans="1:10" s="12" customFormat="1" ht="42" customHeight="1" x14ac:dyDescent="0.25">
      <c r="A104" s="592" t="s">
        <v>8</v>
      </c>
      <c r="B104" s="658" t="s">
        <v>17</v>
      </c>
      <c r="C104" s="601" t="s">
        <v>14</v>
      </c>
      <c r="D104" s="315" t="s">
        <v>38</v>
      </c>
      <c r="E104" s="316"/>
      <c r="F104" s="317"/>
      <c r="G104" s="602"/>
      <c r="H104" s="700"/>
      <c r="I104" s="514"/>
      <c r="J104" s="504"/>
    </row>
    <row r="105" spans="1:10" s="12" customFormat="1" x14ac:dyDescent="0.25">
      <c r="A105" s="44"/>
      <c r="B105" s="647"/>
      <c r="C105" s="94"/>
      <c r="D105" s="1146" t="s">
        <v>203</v>
      </c>
      <c r="E105" s="324" t="s">
        <v>52</v>
      </c>
      <c r="F105" s="664">
        <v>5</v>
      </c>
      <c r="G105" s="41" t="s">
        <v>22</v>
      </c>
      <c r="H105" s="607">
        <v>93924</v>
      </c>
      <c r="I105" s="572">
        <f>93924+10207</f>
        <v>104131</v>
      </c>
      <c r="J105" s="604">
        <f>I105-H105</f>
        <v>10207</v>
      </c>
    </row>
    <row r="106" spans="1:10" s="12" customFormat="1" ht="32.25" customHeight="1" x14ac:dyDescent="0.25">
      <c r="A106" s="44"/>
      <c r="B106" s="647"/>
      <c r="C106" s="94"/>
      <c r="D106" s="1146"/>
      <c r="E106" s="360"/>
      <c r="F106" s="64"/>
      <c r="G106" s="65" t="s">
        <v>36</v>
      </c>
      <c r="H106" s="704">
        <v>21041</v>
      </c>
      <c r="I106" s="519">
        <v>21041</v>
      </c>
      <c r="J106" s="532">
        <f t="shared" ref="J106:J107" si="2">I106-H106</f>
        <v>0</v>
      </c>
    </row>
    <row r="107" spans="1:10" s="12" customFormat="1" ht="49.5" customHeight="1" x14ac:dyDescent="0.25">
      <c r="A107" s="44"/>
      <c r="B107" s="647"/>
      <c r="C107" s="94"/>
      <c r="D107" s="1146"/>
      <c r="E107" s="360"/>
      <c r="F107" s="64"/>
      <c r="G107" s="65" t="s">
        <v>16</v>
      </c>
      <c r="H107" s="607">
        <v>3713</v>
      </c>
      <c r="I107" s="512">
        <v>3713</v>
      </c>
      <c r="J107" s="532">
        <f t="shared" si="2"/>
        <v>0</v>
      </c>
    </row>
    <row r="108" spans="1:10" s="12" customFormat="1" ht="11.25" customHeight="1" x14ac:dyDescent="0.25">
      <c r="A108" s="44"/>
      <c r="B108" s="647"/>
      <c r="C108" s="94"/>
      <c r="D108" s="1147"/>
      <c r="E108" s="360"/>
      <c r="F108" s="64"/>
      <c r="G108" s="362" t="s">
        <v>13</v>
      </c>
      <c r="H108" s="535">
        <f>SUM(H105:H107)</f>
        <v>118678</v>
      </c>
      <c r="I108" s="535">
        <f>SUM(I105:I107)</f>
        <v>128885</v>
      </c>
      <c r="J108" s="583">
        <f>SUM(J105:J107)</f>
        <v>10207</v>
      </c>
    </row>
    <row r="109" spans="1:10" s="12" customFormat="1" ht="18.75" customHeight="1" x14ac:dyDescent="0.25">
      <c r="A109" s="44"/>
      <c r="B109" s="647"/>
      <c r="C109" s="94"/>
      <c r="D109" s="943" t="s">
        <v>162</v>
      </c>
      <c r="E109" s="360"/>
      <c r="F109" s="64"/>
      <c r="G109" s="38" t="s">
        <v>22</v>
      </c>
      <c r="H109" s="704">
        <f>30/3.4528*1000</f>
        <v>8689</v>
      </c>
      <c r="I109" s="519">
        <f>30/3.4528*1000</f>
        <v>8689</v>
      </c>
      <c r="J109" s="561"/>
    </row>
    <row r="110" spans="1:10" s="12" customFormat="1" x14ac:dyDescent="0.25">
      <c r="A110" s="44"/>
      <c r="B110" s="647"/>
      <c r="C110" s="94"/>
      <c r="D110" s="1003"/>
      <c r="E110" s="368"/>
      <c r="F110" s="66"/>
      <c r="G110" s="362" t="s">
        <v>13</v>
      </c>
      <c r="H110" s="535">
        <f>SUM(H109:H109)</f>
        <v>8689</v>
      </c>
      <c r="I110" s="535">
        <f>SUM(I109:I109)</f>
        <v>8689</v>
      </c>
      <c r="J110" s="583"/>
    </row>
    <row r="111" spans="1:10" s="12" customFormat="1" ht="15" customHeight="1" x14ac:dyDescent="0.25">
      <c r="A111" s="44"/>
      <c r="B111" s="647"/>
      <c r="C111" s="94"/>
      <c r="D111" s="942" t="s">
        <v>137</v>
      </c>
      <c r="E111" s="360"/>
      <c r="F111" s="64"/>
      <c r="G111" s="38" t="s">
        <v>22</v>
      </c>
      <c r="H111" s="704"/>
      <c r="I111" s="519"/>
      <c r="J111" s="561"/>
    </row>
    <row r="112" spans="1:10" s="12" customFormat="1" ht="15" customHeight="1" x14ac:dyDescent="0.25">
      <c r="A112" s="44"/>
      <c r="B112" s="647"/>
      <c r="C112" s="94"/>
      <c r="D112" s="943"/>
      <c r="E112" s="368"/>
      <c r="F112" s="66"/>
      <c r="G112" s="38" t="s">
        <v>36</v>
      </c>
      <c r="H112" s="704"/>
      <c r="I112" s="519"/>
      <c r="J112" s="561"/>
    </row>
    <row r="113" spans="1:17" s="12" customFormat="1" x14ac:dyDescent="0.25">
      <c r="A113" s="44"/>
      <c r="B113" s="647"/>
      <c r="C113" s="101"/>
      <c r="D113" s="1003"/>
      <c r="E113" s="369"/>
      <c r="F113" s="370"/>
      <c r="G113" s="362" t="s">
        <v>13</v>
      </c>
      <c r="H113" s="535"/>
      <c r="I113" s="535"/>
      <c r="J113" s="583"/>
    </row>
    <row r="114" spans="1:17" ht="28.5" customHeight="1" x14ac:dyDescent="0.2">
      <c r="A114" s="44"/>
      <c r="B114" s="647"/>
      <c r="C114" s="101"/>
      <c r="D114" s="669" t="s">
        <v>148</v>
      </c>
      <c r="E114" s="75"/>
      <c r="F114" s="372" t="s">
        <v>30</v>
      </c>
      <c r="G114" s="556" t="s">
        <v>22</v>
      </c>
      <c r="H114" s="688">
        <f>10/3.4528*1000</f>
        <v>2896</v>
      </c>
      <c r="I114" s="495">
        <f>10/3.4528*1000</f>
        <v>2896</v>
      </c>
      <c r="J114" s="509"/>
      <c r="M114" s="42"/>
      <c r="N114" s="42"/>
      <c r="O114" s="42"/>
    </row>
    <row r="115" spans="1:17" s="12" customFormat="1" ht="42.75" customHeight="1" x14ac:dyDescent="0.25">
      <c r="A115" s="44"/>
      <c r="B115" s="647"/>
      <c r="C115" s="94"/>
      <c r="D115" s="655" t="s">
        <v>178</v>
      </c>
      <c r="E115" s="324"/>
      <c r="F115" s="95"/>
      <c r="G115" s="38" t="s">
        <v>22</v>
      </c>
      <c r="H115" s="704">
        <f>100/3.4528*1000</f>
        <v>28962</v>
      </c>
      <c r="I115" s="519">
        <f>100/3.4528*1000</f>
        <v>28962</v>
      </c>
      <c r="J115" s="561"/>
    </row>
    <row r="116" spans="1:17" s="12" customFormat="1" ht="29.25" customHeight="1" x14ac:dyDescent="0.25">
      <c r="A116" s="44"/>
      <c r="B116" s="647"/>
      <c r="C116" s="94"/>
      <c r="D116" s="1143" t="s">
        <v>135</v>
      </c>
      <c r="E116" s="1112"/>
      <c r="F116" s="1103"/>
      <c r="G116" s="38" t="s">
        <v>22</v>
      </c>
      <c r="H116" s="704">
        <f>60/3.4528*1000</f>
        <v>17377</v>
      </c>
      <c r="I116" s="739">
        <f>60/3.4528*1000-7553</f>
        <v>9824</v>
      </c>
      <c r="J116" s="740">
        <f>I116-H116</f>
        <v>-7553</v>
      </c>
    </row>
    <row r="117" spans="1:17" s="11" customFormat="1" ht="13.5" customHeight="1" x14ac:dyDescent="0.25">
      <c r="A117" s="44"/>
      <c r="B117" s="647"/>
      <c r="C117" s="94"/>
      <c r="D117" s="1144"/>
      <c r="E117" s="1112"/>
      <c r="F117" s="1103"/>
      <c r="G117" s="381" t="s">
        <v>13</v>
      </c>
      <c r="H117" s="521">
        <f>SUM(H114:H116)</f>
        <v>49235</v>
      </c>
      <c r="I117" s="521">
        <f>SUM(I114:I116)</f>
        <v>41682</v>
      </c>
      <c r="J117" s="582">
        <f>J116</f>
        <v>-7553</v>
      </c>
    </row>
    <row r="118" spans="1:17" s="11" customFormat="1" ht="13.5" customHeight="1" thickBot="1" x14ac:dyDescent="0.3">
      <c r="A118" s="348"/>
      <c r="B118" s="21"/>
      <c r="C118" s="383"/>
      <c r="D118" s="1145"/>
      <c r="E118" s="1108" t="s">
        <v>128</v>
      </c>
      <c r="F118" s="1109"/>
      <c r="G118" s="1110"/>
      <c r="H118" s="143">
        <f>H117+H113+H110+H108</f>
        <v>176602</v>
      </c>
      <c r="I118" s="494">
        <f>I117+I113+I110+I108</f>
        <v>179256</v>
      </c>
      <c r="J118" s="267">
        <f>J117+J113+J110+J108</f>
        <v>2654</v>
      </c>
    </row>
    <row r="119" spans="1:17" s="11" customFormat="1" ht="13.5" thickBot="1" x14ac:dyDescent="0.3">
      <c r="A119" s="14" t="s">
        <v>8</v>
      </c>
      <c r="B119" s="43" t="s">
        <v>17</v>
      </c>
      <c r="C119" s="1116" t="s">
        <v>25</v>
      </c>
      <c r="D119" s="1053"/>
      <c r="E119" s="1053"/>
      <c r="F119" s="1053"/>
      <c r="G119" s="1078"/>
      <c r="H119" s="385">
        <f>H118+H103</f>
        <v>657372</v>
      </c>
      <c r="I119" s="520">
        <f>I118+I103</f>
        <v>663442</v>
      </c>
      <c r="J119" s="584">
        <f>J118+J103</f>
        <v>6070</v>
      </c>
    </row>
    <row r="120" spans="1:17" ht="27.75" customHeight="1" thickBot="1" x14ac:dyDescent="0.25">
      <c r="A120" s="14" t="s">
        <v>8</v>
      </c>
      <c r="B120" s="43" t="s">
        <v>19</v>
      </c>
      <c r="C120" s="1140" t="s">
        <v>85</v>
      </c>
      <c r="D120" s="1141"/>
      <c r="E120" s="1141"/>
      <c r="F120" s="1141"/>
      <c r="G120" s="1141"/>
      <c r="H120" s="1141"/>
      <c r="I120" s="1141"/>
      <c r="J120" s="1142"/>
    </row>
    <row r="121" spans="1:17" x14ac:dyDescent="0.2">
      <c r="A121" s="46" t="s">
        <v>8</v>
      </c>
      <c r="B121" s="47" t="s">
        <v>19</v>
      </c>
      <c r="C121" s="106" t="s">
        <v>8</v>
      </c>
      <c r="D121" s="387" t="s">
        <v>136</v>
      </c>
      <c r="E121" s="388"/>
      <c r="F121" s="389"/>
      <c r="G121" s="36"/>
      <c r="H121" s="690"/>
      <c r="I121" s="497"/>
      <c r="J121" s="501"/>
    </row>
    <row r="122" spans="1:17" ht="15" customHeight="1" x14ac:dyDescent="0.2">
      <c r="A122" s="44"/>
      <c r="B122" s="45"/>
      <c r="C122" s="103"/>
      <c r="D122" s="390" t="s">
        <v>149</v>
      </c>
      <c r="E122" s="371"/>
      <c r="F122" s="391" t="s">
        <v>48</v>
      </c>
      <c r="G122" s="37" t="s">
        <v>22</v>
      </c>
      <c r="H122" s="607">
        <f>400/3.4528*1000</f>
        <v>115848</v>
      </c>
      <c r="I122" s="512">
        <f>400/3.4528*1000</f>
        <v>115848</v>
      </c>
      <c r="J122" s="502"/>
    </row>
    <row r="123" spans="1:17" ht="15" customHeight="1" x14ac:dyDescent="0.2">
      <c r="A123" s="44"/>
      <c r="B123" s="45"/>
      <c r="C123" s="103"/>
      <c r="D123" s="396"/>
      <c r="E123" s="397"/>
      <c r="F123" s="91"/>
      <c r="G123" s="86" t="s">
        <v>189</v>
      </c>
      <c r="H123" s="705">
        <v>94138</v>
      </c>
      <c r="I123" s="630">
        <v>94138</v>
      </c>
      <c r="J123" s="526">
        <f>I123-H123</f>
        <v>0</v>
      </c>
    </row>
    <row r="124" spans="1:17" x14ac:dyDescent="0.2">
      <c r="A124" s="44"/>
      <c r="B124" s="45"/>
      <c r="C124" s="103"/>
      <c r="D124" s="396"/>
      <c r="E124" s="397"/>
      <c r="F124" s="398"/>
      <c r="G124" s="402" t="s">
        <v>13</v>
      </c>
      <c r="H124" s="521">
        <f>SUM(H122:H123)</f>
        <v>209986</v>
      </c>
      <c r="I124" s="521">
        <f>SUM(I122:I123)</f>
        <v>209986</v>
      </c>
      <c r="J124" s="538">
        <f>SUM(J122:J123)</f>
        <v>0</v>
      </c>
    </row>
    <row r="125" spans="1:17" ht="12" customHeight="1" x14ac:dyDescent="0.2">
      <c r="A125" s="44"/>
      <c r="B125" s="45"/>
      <c r="C125" s="103"/>
      <c r="D125" s="975" t="s">
        <v>138</v>
      </c>
      <c r="E125" s="407" t="s">
        <v>52</v>
      </c>
      <c r="F125" s="391" t="s">
        <v>84</v>
      </c>
      <c r="G125" s="37" t="s">
        <v>189</v>
      </c>
      <c r="H125" s="607">
        <f>53.7/3.4528*1000</f>
        <v>15553</v>
      </c>
      <c r="I125" s="512">
        <f>53.7/3.4528*1000</f>
        <v>15553</v>
      </c>
      <c r="J125" s="561">
        <f>I125-H125</f>
        <v>0</v>
      </c>
      <c r="K125" s="466"/>
      <c r="Q125" s="42"/>
    </row>
    <row r="126" spans="1:17" ht="14.25" customHeight="1" x14ac:dyDescent="0.2">
      <c r="A126" s="44"/>
      <c r="B126" s="45"/>
      <c r="C126" s="103"/>
      <c r="D126" s="852"/>
      <c r="E126" s="972" t="s">
        <v>139</v>
      </c>
      <c r="F126" s="91"/>
      <c r="G126" s="41" t="s">
        <v>22</v>
      </c>
      <c r="H126" s="611"/>
      <c r="I126" s="518"/>
      <c r="J126" s="526"/>
    </row>
    <row r="127" spans="1:17" x14ac:dyDescent="0.2">
      <c r="A127" s="44"/>
      <c r="B127" s="45"/>
      <c r="C127" s="103"/>
      <c r="D127" s="852"/>
      <c r="E127" s="973"/>
      <c r="F127" s="398"/>
      <c r="G127" s="38" t="s">
        <v>36</v>
      </c>
      <c r="H127" s="704"/>
      <c r="I127" s="519"/>
      <c r="J127" s="561"/>
    </row>
    <row r="128" spans="1:17" x14ac:dyDescent="0.2">
      <c r="A128" s="44"/>
      <c r="B128" s="45"/>
      <c r="C128" s="103"/>
      <c r="D128" s="976"/>
      <c r="E128" s="974"/>
      <c r="F128" s="416"/>
      <c r="G128" s="99" t="s">
        <v>13</v>
      </c>
      <c r="H128" s="535">
        <f>SUM(H125:H127)</f>
        <v>15553</v>
      </c>
      <c r="I128" s="535">
        <f>SUM(I125:I127)</f>
        <v>15553</v>
      </c>
      <c r="J128" s="583">
        <f>SUM(J125:J127)</f>
        <v>0</v>
      </c>
    </row>
    <row r="129" spans="1:17" ht="15.75" customHeight="1" x14ac:dyDescent="0.2">
      <c r="A129" s="44"/>
      <c r="B129" s="45"/>
      <c r="C129" s="103"/>
      <c r="D129" s="852" t="s">
        <v>141</v>
      </c>
      <c r="E129" s="67"/>
      <c r="F129" s="398"/>
      <c r="G129" s="40" t="s">
        <v>189</v>
      </c>
      <c r="H129" s="612">
        <f>112.6/3.4528*1000</f>
        <v>32611</v>
      </c>
      <c r="I129" s="513">
        <f>112.6/3.4528*1000</f>
        <v>32611</v>
      </c>
      <c r="J129" s="377">
        <f>I129-H129</f>
        <v>0</v>
      </c>
    </row>
    <row r="130" spans="1:17" ht="14.25" customHeight="1" x14ac:dyDescent="0.2">
      <c r="A130" s="44"/>
      <c r="B130" s="45"/>
      <c r="C130" s="103"/>
      <c r="D130" s="852"/>
      <c r="E130" s="415"/>
      <c r="F130" s="416"/>
      <c r="G130" s="381" t="s">
        <v>13</v>
      </c>
      <c r="H130" s="521">
        <f>SUM(H129:H129)</f>
        <v>32611</v>
      </c>
      <c r="I130" s="521">
        <f>SUM(I129:I129)</f>
        <v>32611</v>
      </c>
      <c r="J130" s="582">
        <f>SUM(J129:J129)</f>
        <v>0</v>
      </c>
    </row>
    <row r="131" spans="1:17" ht="12.75" customHeight="1" thickBot="1" x14ac:dyDescent="0.25">
      <c r="A131" s="646"/>
      <c r="B131" s="647"/>
      <c r="C131" s="216"/>
      <c r="D131" s="889"/>
      <c r="E131" s="1025" t="s">
        <v>128</v>
      </c>
      <c r="F131" s="1025"/>
      <c r="G131" s="1026"/>
      <c r="H131" s="522">
        <f>H130+H128+H124</f>
        <v>258150</v>
      </c>
      <c r="I131" s="522">
        <f>I130+I128+I124</f>
        <v>258150</v>
      </c>
      <c r="J131" s="585">
        <f>J130+J128</f>
        <v>0</v>
      </c>
    </row>
    <row r="132" spans="1:17" ht="44.25" customHeight="1" x14ac:dyDescent="0.2">
      <c r="A132" s="46" t="s">
        <v>8</v>
      </c>
      <c r="B132" s="642" t="s">
        <v>19</v>
      </c>
      <c r="C132" s="109" t="s">
        <v>14</v>
      </c>
      <c r="D132" s="73" t="s">
        <v>86</v>
      </c>
      <c r="E132" s="557" t="s">
        <v>140</v>
      </c>
      <c r="F132" s="665"/>
      <c r="G132" s="17"/>
      <c r="H132" s="689"/>
      <c r="I132" s="496"/>
      <c r="J132" s="510"/>
      <c r="Q132" s="42"/>
    </row>
    <row r="133" spans="1:17" ht="25.5" x14ac:dyDescent="0.2">
      <c r="A133" s="44"/>
      <c r="B133" s="647"/>
      <c r="C133" s="108"/>
      <c r="D133" s="651" t="s">
        <v>63</v>
      </c>
      <c r="E133" s="560"/>
      <c r="F133" s="752" t="s">
        <v>202</v>
      </c>
      <c r="G133" s="20" t="s">
        <v>27</v>
      </c>
      <c r="H133" s="699">
        <f>2900/3.4528*1000</f>
        <v>839898</v>
      </c>
      <c r="I133" s="493">
        <f>2900/3.4528*1000</f>
        <v>839898</v>
      </c>
      <c r="J133" s="506"/>
      <c r="K133" s="69"/>
      <c r="L133" s="69"/>
      <c r="M133" s="69"/>
      <c r="N133" s="69"/>
    </row>
    <row r="134" spans="1:17" ht="29.25" customHeight="1" x14ac:dyDescent="0.2">
      <c r="A134" s="44"/>
      <c r="B134" s="647"/>
      <c r="C134" s="108"/>
      <c r="D134" s="651" t="s">
        <v>64</v>
      </c>
      <c r="E134" s="593"/>
      <c r="F134" s="666" t="s">
        <v>21</v>
      </c>
      <c r="G134" s="34" t="s">
        <v>197</v>
      </c>
      <c r="H134" s="687">
        <v>0</v>
      </c>
      <c r="I134" s="511">
        <v>269965</v>
      </c>
      <c r="J134" s="507">
        <f>I134-H134</f>
        <v>269965</v>
      </c>
      <c r="P134" s="42"/>
    </row>
    <row r="135" spans="1:17" ht="42.75" customHeight="1" x14ac:dyDescent="0.2">
      <c r="A135" s="44"/>
      <c r="B135" s="647"/>
      <c r="C135" s="661"/>
      <c r="D135" s="651" t="s">
        <v>65</v>
      </c>
      <c r="E135" s="96"/>
      <c r="F135" s="666" t="s">
        <v>21</v>
      </c>
      <c r="G135" s="20"/>
      <c r="H135" s="699"/>
      <c r="I135" s="493"/>
      <c r="J135" s="506"/>
      <c r="P135" s="42"/>
    </row>
    <row r="136" spans="1:17" ht="29.25" customHeight="1" x14ac:dyDescent="0.2">
      <c r="A136" s="44"/>
      <c r="B136" s="647"/>
      <c r="C136" s="661"/>
      <c r="D136" s="651" t="s">
        <v>66</v>
      </c>
      <c r="E136" s="68"/>
      <c r="F136" s="666" t="s">
        <v>21</v>
      </c>
      <c r="G136" s="20"/>
      <c r="H136" s="699"/>
      <c r="I136" s="493"/>
      <c r="J136" s="506"/>
    </row>
    <row r="137" spans="1:17" ht="29.25" customHeight="1" x14ac:dyDescent="0.2">
      <c r="A137" s="422"/>
      <c r="B137" s="222"/>
      <c r="C137" s="634"/>
      <c r="D137" s="750" t="s">
        <v>67</v>
      </c>
      <c r="E137" s="635"/>
      <c r="F137" s="751" t="s">
        <v>21</v>
      </c>
      <c r="G137" s="29"/>
      <c r="H137" s="688"/>
      <c r="I137" s="495"/>
      <c r="J137" s="509"/>
    </row>
    <row r="138" spans="1:17" ht="17.25" customHeight="1" x14ac:dyDescent="0.2">
      <c r="A138" s="44"/>
      <c r="B138" s="647"/>
      <c r="C138" s="633"/>
      <c r="D138" s="938" t="s">
        <v>68</v>
      </c>
      <c r="E138" s="68"/>
      <c r="F138" s="995" t="s">
        <v>21</v>
      </c>
      <c r="G138" s="20" t="s">
        <v>16</v>
      </c>
      <c r="H138" s="699">
        <f>19/3.4528*1000</f>
        <v>5503</v>
      </c>
      <c r="I138" s="493">
        <f>19/3.4528*1000</f>
        <v>5503</v>
      </c>
      <c r="J138" s="506"/>
    </row>
    <row r="139" spans="1:17" x14ac:dyDescent="0.2">
      <c r="A139" s="428"/>
      <c r="B139" s="222"/>
      <c r="C139" s="634"/>
      <c r="D139" s="1089"/>
      <c r="E139" s="429"/>
      <c r="F139" s="1028"/>
      <c r="G139" s="430" t="s">
        <v>13</v>
      </c>
      <c r="H139" s="523">
        <f>SUM(H133:H138)</f>
        <v>845401</v>
      </c>
      <c r="I139" s="523">
        <f>SUM(I133:I138)</f>
        <v>1115366</v>
      </c>
      <c r="J139" s="586"/>
      <c r="L139" s="42"/>
    </row>
    <row r="140" spans="1:17" ht="42.75" customHeight="1" x14ac:dyDescent="0.2">
      <c r="A140" s="44" t="s">
        <v>8</v>
      </c>
      <c r="B140" s="647" t="s">
        <v>19</v>
      </c>
      <c r="C140" s="1051" t="s">
        <v>17</v>
      </c>
      <c r="D140" s="613" t="s">
        <v>70</v>
      </c>
      <c r="E140" s="96"/>
      <c r="F140" s="677"/>
      <c r="G140" s="29"/>
      <c r="H140" s="688"/>
      <c r="I140" s="495"/>
      <c r="J140" s="509"/>
    </row>
    <row r="141" spans="1:17" ht="17.25" customHeight="1" x14ac:dyDescent="0.2">
      <c r="A141" s="71"/>
      <c r="B141" s="647"/>
      <c r="C141" s="1051"/>
      <c r="D141" s="852" t="s">
        <v>71</v>
      </c>
      <c r="E141" s="96"/>
      <c r="F141" s="74" t="s">
        <v>48</v>
      </c>
      <c r="G141" s="34" t="s">
        <v>16</v>
      </c>
      <c r="H141" s="687">
        <f>619/3.4528*1000</f>
        <v>179275</v>
      </c>
      <c r="I141" s="511">
        <f>619/3.4528*1000</f>
        <v>179275</v>
      </c>
      <c r="J141" s="506"/>
    </row>
    <row r="142" spans="1:17" ht="17.25" customHeight="1" x14ac:dyDescent="0.2">
      <c r="A142" s="71"/>
      <c r="B142" s="647"/>
      <c r="C142" s="1051"/>
      <c r="D142" s="852"/>
      <c r="E142" s="96"/>
      <c r="F142" s="677"/>
      <c r="G142" s="34" t="s">
        <v>12</v>
      </c>
      <c r="H142" s="687">
        <v>405468</v>
      </c>
      <c r="I142" s="511">
        <v>405468</v>
      </c>
      <c r="J142" s="527">
        <f>I142-H142</f>
        <v>0</v>
      </c>
    </row>
    <row r="143" spans="1:17" ht="14.25" customHeight="1" thickBot="1" x14ac:dyDescent="0.25">
      <c r="A143" s="77"/>
      <c r="B143" s="643"/>
      <c r="C143" s="1052"/>
      <c r="D143" s="889"/>
      <c r="E143" s="97"/>
      <c r="F143" s="72"/>
      <c r="G143" s="78" t="s">
        <v>13</v>
      </c>
      <c r="H143" s="133">
        <f>SUM(H141:H142)</f>
        <v>584743</v>
      </c>
      <c r="I143" s="494">
        <f>SUM(I141:I142)</f>
        <v>584743</v>
      </c>
      <c r="J143" s="267">
        <f>SUM(J141:J142)</f>
        <v>0</v>
      </c>
    </row>
    <row r="144" spans="1:17" s="11" customFormat="1" ht="13.5" thickBot="1" x14ac:dyDescent="0.3">
      <c r="A144" s="14" t="s">
        <v>8</v>
      </c>
      <c r="B144" s="15" t="s">
        <v>19</v>
      </c>
      <c r="C144" s="1053" t="s">
        <v>25</v>
      </c>
      <c r="D144" s="1053"/>
      <c r="E144" s="1053"/>
      <c r="F144" s="1053"/>
      <c r="G144" s="1053"/>
      <c r="H144" s="487">
        <f>H143+H139+H131</f>
        <v>1688294</v>
      </c>
      <c r="I144" s="517">
        <f>I143+I139+I131</f>
        <v>1958259</v>
      </c>
      <c r="J144" s="537">
        <f>I144-H144</f>
        <v>269965</v>
      </c>
    </row>
    <row r="145" spans="1:11" ht="14.25" customHeight="1" thickBot="1" x14ac:dyDescent="0.25">
      <c r="A145" s="641" t="s">
        <v>8</v>
      </c>
      <c r="B145" s="48"/>
      <c r="C145" s="1039" t="s">
        <v>39</v>
      </c>
      <c r="D145" s="1039"/>
      <c r="E145" s="1039"/>
      <c r="F145" s="1039"/>
      <c r="G145" s="1039"/>
      <c r="H145" s="488">
        <f>H144+H119+H89+H30</f>
        <v>31593491</v>
      </c>
      <c r="I145" s="524">
        <f>I144+I119+I89+I30</f>
        <v>31585938</v>
      </c>
      <c r="J145" s="587">
        <f>J144+J119+J89+J30</f>
        <v>-7553</v>
      </c>
    </row>
    <row r="146" spans="1:11" s="11" customFormat="1" ht="13.5" customHeight="1" thickBot="1" x14ac:dyDescent="0.3">
      <c r="A146" s="49" t="s">
        <v>40</v>
      </c>
      <c r="B146" s="1043" t="s">
        <v>41</v>
      </c>
      <c r="C146" s="1044"/>
      <c r="D146" s="1044"/>
      <c r="E146" s="1044"/>
      <c r="F146" s="1044"/>
      <c r="G146" s="1044"/>
      <c r="H146" s="489">
        <f>H145</f>
        <v>31593491</v>
      </c>
      <c r="I146" s="525">
        <f>I145</f>
        <v>31585938</v>
      </c>
      <c r="J146" s="588">
        <f>J145</f>
        <v>-7553</v>
      </c>
      <c r="K146" s="12"/>
    </row>
    <row r="147" spans="1:11" s="42" customFormat="1" ht="27" customHeight="1" thickBot="1" x14ac:dyDescent="0.25">
      <c r="B147" s="668"/>
      <c r="C147" s="50"/>
      <c r="D147" s="1037" t="s">
        <v>42</v>
      </c>
      <c r="E147" s="1037"/>
      <c r="F147" s="1037"/>
      <c r="G147" s="1037"/>
      <c r="H147" s="1037"/>
      <c r="I147" s="1037"/>
      <c r="J147" s="1037"/>
    </row>
    <row r="148" spans="1:11" s="11" customFormat="1" ht="54" customHeight="1" x14ac:dyDescent="0.25">
      <c r="A148" s="1048" t="s">
        <v>43</v>
      </c>
      <c r="B148" s="1049"/>
      <c r="C148" s="1049"/>
      <c r="D148" s="1049"/>
      <c r="E148" s="1049"/>
      <c r="F148" s="1049"/>
      <c r="G148" s="1050"/>
      <c r="H148" s="616" t="s">
        <v>155</v>
      </c>
      <c r="I148" s="547" t="s">
        <v>187</v>
      </c>
      <c r="J148" s="567" t="s">
        <v>186</v>
      </c>
    </row>
    <row r="149" spans="1:11" s="11" customFormat="1" ht="13.5" customHeight="1" x14ac:dyDescent="0.25">
      <c r="A149" s="1137" t="s">
        <v>44</v>
      </c>
      <c r="B149" s="1138"/>
      <c r="C149" s="1138"/>
      <c r="D149" s="1138"/>
      <c r="E149" s="1138"/>
      <c r="F149" s="1138"/>
      <c r="G149" s="1139"/>
      <c r="H149" s="617">
        <f>SUM(H150:H156)</f>
        <v>16864506</v>
      </c>
      <c r="I149" s="545">
        <f>SUM(I150:I156)</f>
        <v>16856953</v>
      </c>
      <c r="J149" s="594">
        <f>SUM(J150:J156)</f>
        <v>-7553</v>
      </c>
    </row>
    <row r="150" spans="1:11" s="11" customFormat="1" ht="12.75" customHeight="1" x14ac:dyDescent="0.25">
      <c r="A150" s="1016" t="s">
        <v>87</v>
      </c>
      <c r="B150" s="1017"/>
      <c r="C150" s="1017"/>
      <c r="D150" s="1017"/>
      <c r="E150" s="1017"/>
      <c r="F150" s="1017"/>
      <c r="G150" s="1018"/>
      <c r="H150" s="618">
        <f>SUMIF(G13:G141,"sb",H13:H141)</f>
        <v>10432866</v>
      </c>
      <c r="I150" s="540">
        <f>SUMIF(G13:G141,"sb",I13:I141)</f>
        <v>10425313</v>
      </c>
      <c r="J150" s="595">
        <f>I150-H150</f>
        <v>-7553</v>
      </c>
    </row>
    <row r="151" spans="1:11" s="11" customFormat="1" ht="15.75" customHeight="1" x14ac:dyDescent="0.25">
      <c r="A151" s="1016" t="s">
        <v>88</v>
      </c>
      <c r="B151" s="1017"/>
      <c r="C151" s="1017"/>
      <c r="D151" s="1017"/>
      <c r="E151" s="1017"/>
      <c r="F151" s="1017"/>
      <c r="G151" s="1018"/>
      <c r="H151" s="619">
        <f>SUMIF(G13:G141,"sb(sp)",H13:H141)</f>
        <v>1329211</v>
      </c>
      <c r="I151" s="529">
        <f>SUMIF(G13:G141,"sb(sp)",I13:I141)</f>
        <v>1329211</v>
      </c>
      <c r="J151" s="684">
        <f t="shared" ref="J151:J155" si="3">I151-H151</f>
        <v>0</v>
      </c>
    </row>
    <row r="152" spans="1:11" s="11" customFormat="1" ht="15.75" customHeight="1" x14ac:dyDescent="0.25">
      <c r="A152" s="1016" t="s">
        <v>89</v>
      </c>
      <c r="B152" s="1017"/>
      <c r="C152" s="1017"/>
      <c r="D152" s="1017"/>
      <c r="E152" s="1017"/>
      <c r="F152" s="1017"/>
      <c r="G152" s="1018"/>
      <c r="H152" s="619">
        <f>SUMIF(G13:G142,"sb(vb)",H13:H142)</f>
        <v>4591463</v>
      </c>
      <c r="I152" s="529">
        <f>SUMIF(G13:G142,"sb(vb)",I13:I142)</f>
        <v>4591463</v>
      </c>
      <c r="J152" s="595">
        <f>I152-H152</f>
        <v>0</v>
      </c>
    </row>
    <row r="153" spans="1:11" s="11" customFormat="1" ht="12.75" customHeight="1" x14ac:dyDescent="0.25">
      <c r="A153" s="1004" t="s">
        <v>90</v>
      </c>
      <c r="B153" s="1005"/>
      <c r="C153" s="1005"/>
      <c r="D153" s="1005"/>
      <c r="E153" s="1005"/>
      <c r="F153" s="1005"/>
      <c r="G153" s="1006"/>
      <c r="H153" s="201">
        <f>SUMIF(G13:G141,"sb(p)",H13:H141)</f>
        <v>39794</v>
      </c>
      <c r="I153" s="530">
        <f>SUMIF(G13:G141,"sb(p)",I13:I141)</f>
        <v>39794</v>
      </c>
      <c r="J153" s="684">
        <f t="shared" si="3"/>
        <v>0</v>
      </c>
    </row>
    <row r="154" spans="1:11" s="11" customFormat="1" ht="12.75" customHeight="1" x14ac:dyDescent="0.25">
      <c r="A154" s="1119" t="s">
        <v>195</v>
      </c>
      <c r="B154" s="1120"/>
      <c r="C154" s="1120"/>
      <c r="D154" s="1120"/>
      <c r="E154" s="1120"/>
      <c r="F154" s="1120"/>
      <c r="G154" s="1121"/>
      <c r="H154" s="565">
        <f>SUMIF(G13:G142,"sb(l)",H13:H142)</f>
        <v>5979</v>
      </c>
      <c r="I154" s="542">
        <f>SUMIF(G13:G141,"sb(l)",I13:I141)</f>
        <v>5979</v>
      </c>
      <c r="J154" s="684">
        <f t="shared" si="3"/>
        <v>0</v>
      </c>
    </row>
    <row r="155" spans="1:11" s="11" customFormat="1" ht="13.5" customHeight="1" x14ac:dyDescent="0.25">
      <c r="A155" s="1004" t="s">
        <v>190</v>
      </c>
      <c r="B155" s="1005"/>
      <c r="C155" s="1005"/>
      <c r="D155" s="1005"/>
      <c r="E155" s="1005"/>
      <c r="F155" s="1005"/>
      <c r="G155" s="1006"/>
      <c r="H155" s="565">
        <f>SUMIF(G13:G141,"sb(pbl)",H13:H141)</f>
        <v>142302</v>
      </c>
      <c r="I155" s="542">
        <f>SUMIF(G13:G141,"sb(pbl)",I13:I141)</f>
        <v>142302</v>
      </c>
      <c r="J155" s="684">
        <f t="shared" si="3"/>
        <v>0</v>
      </c>
    </row>
    <row r="156" spans="1:11" s="11" customFormat="1" ht="13.5" customHeight="1" x14ac:dyDescent="0.25">
      <c r="A156" s="1119" t="s">
        <v>198</v>
      </c>
      <c r="B156" s="1120"/>
      <c r="C156" s="1120"/>
      <c r="D156" s="1120"/>
      <c r="E156" s="1120"/>
      <c r="F156" s="1120"/>
      <c r="G156" s="1121"/>
      <c r="H156" s="565">
        <f>SUMIF(G13:G141,"SB(SPL)",H13:H141)</f>
        <v>322891</v>
      </c>
      <c r="I156" s="542">
        <f>SUMIF(G13:G141,"SB(SPL)",I13:I141)</f>
        <v>322891</v>
      </c>
      <c r="J156" s="685">
        <f>SUMIF(G13:G141,"SB(SPL)",J13:J141)</f>
        <v>0</v>
      </c>
    </row>
    <row r="157" spans="1:11" s="11" customFormat="1" ht="13.5" customHeight="1" x14ac:dyDescent="0.25">
      <c r="A157" s="1131" t="s">
        <v>45</v>
      </c>
      <c r="B157" s="1132"/>
      <c r="C157" s="1132"/>
      <c r="D157" s="1132"/>
      <c r="E157" s="1132"/>
      <c r="F157" s="1132"/>
      <c r="G157" s="1133"/>
      <c r="H157" s="620">
        <f>SUM(H158:H160)</f>
        <v>14728985</v>
      </c>
      <c r="I157" s="543">
        <f t="shared" ref="I157:J157" si="4">SUM(I158:I160)</f>
        <v>14728985</v>
      </c>
      <c r="J157" s="615">
        <f t="shared" si="4"/>
        <v>0</v>
      </c>
    </row>
    <row r="158" spans="1:11" s="11" customFormat="1" ht="12.75" customHeight="1" x14ac:dyDescent="0.25">
      <c r="A158" s="1134" t="s">
        <v>91</v>
      </c>
      <c r="B158" s="1135"/>
      <c r="C158" s="1135"/>
      <c r="D158" s="1135"/>
      <c r="E158" s="1135"/>
      <c r="F158" s="1135"/>
      <c r="G158" s="1136"/>
      <c r="H158" s="392">
        <f>SUMIF(G13:G141,"es",H13:H141)</f>
        <v>694062</v>
      </c>
      <c r="I158" s="533">
        <f>SUMIF(G13:G141,"es",I13:I141)</f>
        <v>694062</v>
      </c>
      <c r="J158" s="330">
        <f>SUMIF(G13:G141,"es",J13:J141)</f>
        <v>0</v>
      </c>
    </row>
    <row r="159" spans="1:11" s="11" customFormat="1" ht="12.75" customHeight="1" x14ac:dyDescent="0.25">
      <c r="A159" s="1016" t="s">
        <v>92</v>
      </c>
      <c r="B159" s="1017"/>
      <c r="C159" s="1017"/>
      <c r="D159" s="1017"/>
      <c r="E159" s="1017"/>
      <c r="F159" s="1017"/>
      <c r="G159" s="1018"/>
      <c r="H159" s="619">
        <f>SUMIF(G13:G141,"lrvb",H13:H141)</f>
        <v>14009407</v>
      </c>
      <c r="I159" s="529">
        <f>SUMIF(G13:G141,"lrvb",I13:I141)</f>
        <v>14009407</v>
      </c>
      <c r="J159" s="686">
        <f>SUMIF(G13:G141,"lrvb",J13:J141)</f>
        <v>0</v>
      </c>
    </row>
    <row r="160" spans="1:11" s="11" customFormat="1" ht="13.5" customHeight="1" x14ac:dyDescent="0.25">
      <c r="A160" s="1016" t="s">
        <v>95</v>
      </c>
      <c r="B160" s="1017"/>
      <c r="C160" s="1017"/>
      <c r="D160" s="1017"/>
      <c r="E160" s="1017"/>
      <c r="F160" s="1017"/>
      <c r="G160" s="1018"/>
      <c r="H160" s="621">
        <f>SUMIF(G13:G141,"kt",H13:H141)</f>
        <v>25516</v>
      </c>
      <c r="I160" s="546">
        <f>SUMIF(G13:G141,"kt",I13:I141)</f>
        <v>25516</v>
      </c>
      <c r="J160" s="596">
        <f>SUMIF(G13:G141,"kt",J13:J141)</f>
        <v>0</v>
      </c>
    </row>
    <row r="161" spans="1:10" s="11" customFormat="1" ht="13.5" customHeight="1" thickBot="1" x14ac:dyDescent="0.3">
      <c r="A161" s="1122" t="s">
        <v>46</v>
      </c>
      <c r="B161" s="1123"/>
      <c r="C161" s="1123"/>
      <c r="D161" s="1123"/>
      <c r="E161" s="1123"/>
      <c r="F161" s="1123"/>
      <c r="G161" s="1124"/>
      <c r="H161" s="622">
        <f>H157+H149</f>
        <v>31593491</v>
      </c>
      <c r="I161" s="544">
        <f t="shared" ref="I161" si="5">I157+I149</f>
        <v>31585938</v>
      </c>
      <c r="J161" s="632">
        <f>J157+J149</f>
        <v>-7553</v>
      </c>
    </row>
    <row r="162" spans="1:10" x14ac:dyDescent="0.2">
      <c r="B162" s="464"/>
      <c r="C162" s="51"/>
      <c r="D162" s="51"/>
      <c r="E162" s="51"/>
    </row>
    <row r="163" spans="1:10" x14ac:dyDescent="0.2">
      <c r="H163" s="469"/>
      <c r="I163" s="469"/>
    </row>
    <row r="167" spans="1:10" x14ac:dyDescent="0.2">
      <c r="B167" s="10"/>
      <c r="E167" s="10"/>
      <c r="F167" s="52"/>
    </row>
    <row r="182" spans="2:10" x14ac:dyDescent="0.2">
      <c r="B182" s="10"/>
      <c r="E182" s="10"/>
      <c r="F182" s="10"/>
      <c r="G182" s="10"/>
      <c r="H182" s="10"/>
      <c r="I182" s="10"/>
      <c r="J182" s="10"/>
    </row>
    <row r="183" spans="2:10" x14ac:dyDescent="0.2">
      <c r="B183" s="10"/>
      <c r="E183" s="10"/>
      <c r="F183" s="10"/>
      <c r="G183" s="10"/>
      <c r="H183" s="10"/>
      <c r="I183" s="10"/>
      <c r="J183" s="10"/>
    </row>
    <row r="184" spans="2:10" x14ac:dyDescent="0.2">
      <c r="B184" s="10"/>
      <c r="E184" s="10"/>
      <c r="F184" s="10"/>
      <c r="G184" s="10"/>
      <c r="H184" s="10"/>
      <c r="I184" s="10"/>
      <c r="J184" s="10"/>
    </row>
    <row r="185" spans="2:10" x14ac:dyDescent="0.2">
      <c r="B185" s="10"/>
      <c r="E185" s="10"/>
      <c r="F185" s="10"/>
      <c r="G185" s="10"/>
      <c r="H185" s="10"/>
      <c r="I185" s="10"/>
      <c r="J185" s="10"/>
    </row>
    <row r="186" spans="2:10" x14ac:dyDescent="0.2">
      <c r="B186" s="10"/>
      <c r="E186" s="10"/>
      <c r="F186" s="10"/>
      <c r="G186" s="10"/>
      <c r="H186" s="10"/>
      <c r="I186" s="10"/>
      <c r="J186" s="10"/>
    </row>
    <row r="187" spans="2:10" x14ac:dyDescent="0.2">
      <c r="B187" s="10"/>
      <c r="E187" s="10"/>
      <c r="F187" s="10"/>
      <c r="G187" s="10"/>
      <c r="H187" s="10"/>
      <c r="I187" s="10"/>
      <c r="J187" s="10"/>
    </row>
    <row r="188" spans="2:10" x14ac:dyDescent="0.2">
      <c r="B188" s="10"/>
      <c r="E188" s="10"/>
      <c r="F188" s="10"/>
      <c r="G188" s="10"/>
      <c r="H188" s="10"/>
      <c r="I188" s="10"/>
      <c r="J188" s="10"/>
    </row>
    <row r="189" spans="2:10" x14ac:dyDescent="0.2">
      <c r="B189" s="10"/>
      <c r="E189" s="10"/>
      <c r="F189" s="10"/>
      <c r="G189" s="10"/>
      <c r="H189" s="10"/>
      <c r="I189" s="10"/>
      <c r="J189" s="10"/>
    </row>
    <row r="190" spans="2:10" x14ac:dyDescent="0.2">
      <c r="B190" s="10"/>
      <c r="E190" s="10"/>
      <c r="F190" s="10"/>
      <c r="G190" s="10"/>
      <c r="H190" s="10"/>
      <c r="I190" s="10"/>
      <c r="J190" s="10"/>
    </row>
    <row r="191" spans="2:10" x14ac:dyDescent="0.2">
      <c r="B191" s="10"/>
      <c r="E191" s="10"/>
      <c r="F191" s="10"/>
      <c r="G191" s="10"/>
      <c r="H191" s="10"/>
      <c r="I191" s="10"/>
      <c r="J191" s="10"/>
    </row>
    <row r="192" spans="2:10" x14ac:dyDescent="0.2">
      <c r="B192" s="10"/>
      <c r="E192" s="10"/>
      <c r="F192" s="10"/>
      <c r="G192" s="10"/>
      <c r="H192" s="10"/>
      <c r="I192" s="10"/>
      <c r="J192" s="10"/>
    </row>
    <row r="193" spans="2:10" x14ac:dyDescent="0.2">
      <c r="B193" s="10"/>
      <c r="E193" s="10"/>
      <c r="F193" s="10"/>
      <c r="G193" s="10"/>
      <c r="H193" s="10"/>
      <c r="I193" s="10"/>
      <c r="J193" s="10"/>
    </row>
    <row r="194" spans="2:10" x14ac:dyDescent="0.2">
      <c r="B194" s="10"/>
      <c r="E194" s="10"/>
      <c r="F194" s="10"/>
      <c r="G194" s="10"/>
      <c r="H194" s="10"/>
      <c r="I194" s="10"/>
      <c r="J194" s="10"/>
    </row>
    <row r="195" spans="2:10" x14ac:dyDescent="0.2">
      <c r="B195" s="10"/>
      <c r="E195" s="10"/>
      <c r="F195" s="10"/>
      <c r="G195" s="10"/>
      <c r="H195" s="10"/>
      <c r="I195" s="10"/>
      <c r="J195" s="10"/>
    </row>
    <row r="196" spans="2:10" x14ac:dyDescent="0.2">
      <c r="B196" s="10"/>
      <c r="E196" s="10"/>
      <c r="F196" s="10"/>
      <c r="G196" s="10"/>
      <c r="H196" s="10"/>
      <c r="I196" s="10"/>
      <c r="J196" s="10"/>
    </row>
    <row r="197" spans="2:10" x14ac:dyDescent="0.2">
      <c r="B197" s="10"/>
      <c r="E197" s="10"/>
      <c r="F197" s="10"/>
      <c r="G197" s="10"/>
      <c r="H197" s="10"/>
      <c r="I197" s="10"/>
      <c r="J197" s="10"/>
    </row>
    <row r="198" spans="2:10" x14ac:dyDescent="0.2">
      <c r="B198" s="10"/>
      <c r="E198" s="10"/>
      <c r="F198" s="10"/>
      <c r="G198" s="10"/>
      <c r="H198" s="10"/>
      <c r="I198" s="10"/>
      <c r="J198" s="10"/>
    </row>
    <row r="199" spans="2:10" x14ac:dyDescent="0.2">
      <c r="B199" s="10"/>
      <c r="E199" s="10"/>
      <c r="F199" s="10"/>
      <c r="G199" s="10"/>
      <c r="H199" s="10"/>
      <c r="I199" s="10"/>
      <c r="J199" s="10"/>
    </row>
    <row r="200" spans="2:10" x14ac:dyDescent="0.2">
      <c r="B200" s="10"/>
      <c r="E200" s="10"/>
      <c r="F200" s="10"/>
      <c r="G200" s="10"/>
      <c r="H200" s="10"/>
      <c r="I200" s="10"/>
      <c r="J200" s="10"/>
    </row>
    <row r="201" spans="2:10" x14ac:dyDescent="0.2">
      <c r="B201" s="10"/>
      <c r="E201" s="10"/>
      <c r="F201" s="10"/>
      <c r="G201" s="10"/>
      <c r="H201" s="10"/>
      <c r="I201" s="10"/>
      <c r="J201" s="10"/>
    </row>
    <row r="202" spans="2:10" x14ac:dyDescent="0.2">
      <c r="B202" s="10"/>
      <c r="E202" s="10"/>
      <c r="F202" s="10"/>
      <c r="G202" s="10"/>
      <c r="H202" s="10"/>
      <c r="I202" s="10"/>
      <c r="J202" s="10"/>
    </row>
    <row r="203" spans="2:10" x14ac:dyDescent="0.2">
      <c r="B203" s="10"/>
      <c r="E203" s="10"/>
      <c r="F203" s="10"/>
      <c r="G203" s="10"/>
      <c r="H203" s="10"/>
      <c r="I203" s="10"/>
      <c r="J203" s="10"/>
    </row>
    <row r="204" spans="2:10" x14ac:dyDescent="0.2">
      <c r="B204" s="10"/>
      <c r="E204" s="10"/>
      <c r="F204" s="10"/>
      <c r="G204" s="10"/>
      <c r="H204" s="10"/>
      <c r="I204" s="10"/>
      <c r="J204" s="10"/>
    </row>
    <row r="205" spans="2:10" x14ac:dyDescent="0.2">
      <c r="B205" s="10"/>
      <c r="E205" s="10"/>
      <c r="F205" s="10"/>
      <c r="G205" s="10"/>
      <c r="H205" s="10"/>
      <c r="I205" s="10"/>
      <c r="J205" s="10"/>
    </row>
    <row r="206" spans="2:10" x14ac:dyDescent="0.2">
      <c r="B206" s="10"/>
      <c r="E206" s="10"/>
      <c r="F206" s="10"/>
      <c r="G206" s="10"/>
      <c r="H206" s="10"/>
      <c r="I206" s="10"/>
      <c r="J206" s="10"/>
    </row>
    <row r="207" spans="2:10" x14ac:dyDescent="0.2">
      <c r="B207" s="10"/>
      <c r="E207" s="10"/>
      <c r="F207" s="10"/>
      <c r="G207" s="10"/>
      <c r="H207" s="10"/>
      <c r="I207" s="10"/>
      <c r="J207" s="10"/>
    </row>
    <row r="208" spans="2:10" x14ac:dyDescent="0.2">
      <c r="B208" s="10"/>
      <c r="E208" s="10"/>
      <c r="F208" s="10"/>
      <c r="G208" s="10"/>
      <c r="H208" s="10"/>
      <c r="I208" s="10"/>
      <c r="J208" s="10"/>
    </row>
    <row r="209" spans="2:10" x14ac:dyDescent="0.2">
      <c r="B209" s="10"/>
      <c r="E209" s="10"/>
      <c r="F209" s="10"/>
      <c r="G209" s="10"/>
      <c r="H209" s="10"/>
      <c r="I209" s="10"/>
      <c r="J209" s="10"/>
    </row>
    <row r="210" spans="2:10" x14ac:dyDescent="0.2">
      <c r="B210" s="10"/>
      <c r="E210" s="10"/>
      <c r="F210" s="10"/>
      <c r="G210" s="10"/>
      <c r="H210" s="10"/>
      <c r="I210" s="10"/>
      <c r="J210" s="10"/>
    </row>
    <row r="211" spans="2:10" x14ac:dyDescent="0.2">
      <c r="B211" s="10"/>
      <c r="E211" s="10"/>
      <c r="F211" s="10"/>
      <c r="G211" s="10"/>
      <c r="H211" s="10"/>
      <c r="I211" s="10"/>
      <c r="J211" s="10"/>
    </row>
    <row r="212" spans="2:10" x14ac:dyDescent="0.2">
      <c r="B212" s="10"/>
      <c r="E212" s="10"/>
      <c r="F212" s="10"/>
      <c r="G212" s="10"/>
      <c r="H212" s="10"/>
      <c r="I212" s="10"/>
      <c r="J212" s="10"/>
    </row>
    <row r="213" spans="2:10" x14ac:dyDescent="0.2">
      <c r="B213" s="10"/>
      <c r="E213" s="10"/>
      <c r="F213" s="10"/>
      <c r="G213" s="10"/>
      <c r="H213" s="10"/>
      <c r="I213" s="10"/>
      <c r="J213" s="10"/>
    </row>
    <row r="214" spans="2:10" x14ac:dyDescent="0.2">
      <c r="B214" s="10"/>
      <c r="E214" s="10"/>
      <c r="F214" s="10"/>
      <c r="G214" s="10"/>
      <c r="H214" s="10"/>
      <c r="I214" s="10"/>
      <c r="J214" s="10"/>
    </row>
    <row r="215" spans="2:10" x14ac:dyDescent="0.2">
      <c r="B215" s="10"/>
      <c r="E215" s="10"/>
      <c r="F215" s="10"/>
      <c r="G215" s="10"/>
      <c r="H215" s="10"/>
      <c r="I215" s="10"/>
      <c r="J215" s="10"/>
    </row>
    <row r="216" spans="2:10" x14ac:dyDescent="0.2">
      <c r="B216" s="10"/>
      <c r="E216" s="10"/>
      <c r="F216" s="10"/>
      <c r="G216" s="10"/>
      <c r="H216" s="10"/>
      <c r="I216" s="10"/>
      <c r="J216" s="10"/>
    </row>
    <row r="220" spans="2:10" x14ac:dyDescent="0.2">
      <c r="B220" s="10"/>
      <c r="E220" s="10"/>
      <c r="F220" s="10"/>
      <c r="G220" s="10"/>
      <c r="H220" s="10"/>
      <c r="I220" s="10"/>
      <c r="J220" s="10"/>
    </row>
  </sheetData>
  <mergeCells count="114">
    <mergeCell ref="G6:G8"/>
    <mergeCell ref="H6:H8"/>
    <mergeCell ref="H1:J1"/>
    <mergeCell ref="A22:A23"/>
    <mergeCell ref="B22:B23"/>
    <mergeCell ref="C22:C23"/>
    <mergeCell ref="D22:D23"/>
    <mergeCell ref="E22:E23"/>
    <mergeCell ref="F22:F23"/>
    <mergeCell ref="D13:D15"/>
    <mergeCell ref="A154:G154"/>
    <mergeCell ref="A2:J2"/>
    <mergeCell ref="A3:J3"/>
    <mergeCell ref="A4:J4"/>
    <mergeCell ref="A5:J5"/>
    <mergeCell ref="A6:A8"/>
    <mergeCell ref="B6:B8"/>
    <mergeCell ref="C6:C8"/>
    <mergeCell ref="D6:D8"/>
    <mergeCell ref="E6:E8"/>
    <mergeCell ref="F6:F8"/>
    <mergeCell ref="D20:D21"/>
    <mergeCell ref="D16:D17"/>
    <mergeCell ref="D18:D19"/>
    <mergeCell ref="A9:J9"/>
    <mergeCell ref="A10:J10"/>
    <mergeCell ref="B11:J11"/>
    <mergeCell ref="C12:J12"/>
    <mergeCell ref="D51:D52"/>
    <mergeCell ref="A53:A55"/>
    <mergeCell ref="B53:B55"/>
    <mergeCell ref="C53:C55"/>
    <mergeCell ref="D53:D55"/>
    <mergeCell ref="E53:E55"/>
    <mergeCell ref="L32:L38"/>
    <mergeCell ref="D39:D40"/>
    <mergeCell ref="A28:A29"/>
    <mergeCell ref="B28:B29"/>
    <mergeCell ref="D28:D29"/>
    <mergeCell ref="C30:G30"/>
    <mergeCell ref="D24:D25"/>
    <mergeCell ref="A26:A27"/>
    <mergeCell ref="B26:B27"/>
    <mergeCell ref="C26:C27"/>
    <mergeCell ref="D26:D27"/>
    <mergeCell ref="F53:F55"/>
    <mergeCell ref="D46:D47"/>
    <mergeCell ref="C31:J31"/>
    <mergeCell ref="D32:D33"/>
    <mergeCell ref="A73:A74"/>
    <mergeCell ref="B73:B74"/>
    <mergeCell ref="D73:D76"/>
    <mergeCell ref="D67:D68"/>
    <mergeCell ref="A69:A71"/>
    <mergeCell ref="B69:B71"/>
    <mergeCell ref="D69:D72"/>
    <mergeCell ref="D56:D57"/>
    <mergeCell ref="D62:D64"/>
    <mergeCell ref="D84:D86"/>
    <mergeCell ref="E84:E86"/>
    <mergeCell ref="F84:F86"/>
    <mergeCell ref="A77:A78"/>
    <mergeCell ref="B77:B78"/>
    <mergeCell ref="D77:D79"/>
    <mergeCell ref="A80:A81"/>
    <mergeCell ref="B80:B81"/>
    <mergeCell ref="D80:D83"/>
    <mergeCell ref="E80:E83"/>
    <mergeCell ref="F80:F83"/>
    <mergeCell ref="D100:D103"/>
    <mergeCell ref="E103:G103"/>
    <mergeCell ref="D105:D108"/>
    <mergeCell ref="D109:D110"/>
    <mergeCell ref="C89:G89"/>
    <mergeCell ref="C90:J90"/>
    <mergeCell ref="D92:D95"/>
    <mergeCell ref="D96:D99"/>
    <mergeCell ref="D87:D88"/>
    <mergeCell ref="E87:E88"/>
    <mergeCell ref="F87:F88"/>
    <mergeCell ref="D125:D128"/>
    <mergeCell ref="E126:E128"/>
    <mergeCell ref="D129:D131"/>
    <mergeCell ref="E131:G131"/>
    <mergeCell ref="E118:G118"/>
    <mergeCell ref="C119:G119"/>
    <mergeCell ref="D111:D113"/>
    <mergeCell ref="D116:D118"/>
    <mergeCell ref="E116:E117"/>
    <mergeCell ref="F116:F117"/>
    <mergeCell ref="A156:G156"/>
    <mergeCell ref="A159:G159"/>
    <mergeCell ref="A160:G160"/>
    <mergeCell ref="A161:G161"/>
    <mergeCell ref="I6:I8"/>
    <mergeCell ref="J6:J8"/>
    <mergeCell ref="A152:G152"/>
    <mergeCell ref="A155:G155"/>
    <mergeCell ref="A157:G157"/>
    <mergeCell ref="A158:G158"/>
    <mergeCell ref="A151:G151"/>
    <mergeCell ref="A153:G153"/>
    <mergeCell ref="D147:J147"/>
    <mergeCell ref="A150:G150"/>
    <mergeCell ref="A149:G149"/>
    <mergeCell ref="A148:G148"/>
    <mergeCell ref="C144:G144"/>
    <mergeCell ref="C145:G145"/>
    <mergeCell ref="B146:G146"/>
    <mergeCell ref="D138:D139"/>
    <mergeCell ref="F138:F139"/>
    <mergeCell ref="C140:C143"/>
    <mergeCell ref="D141:D143"/>
    <mergeCell ref="C120:J120"/>
  </mergeCells>
  <printOptions horizontalCentered="1"/>
  <pageMargins left="0.78740157480314965" right="0" top="0.39370078740157483" bottom="0.19685039370078741" header="0.31496062992125984" footer="0.31496062992125984"/>
  <pageSetup paperSize="9" orientation="portrait" r:id="rId1"/>
  <rowBreaks count="3" manualBreakCount="3">
    <brk id="40" max="9" man="1"/>
    <brk id="66" max="9" man="1"/>
    <brk id="10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Asignavimų valdytojai</vt:lpstr>
      <vt:lpstr>12 programa</vt:lpstr>
      <vt:lpstr>Lyginamasis variantas</vt:lpstr>
      <vt:lpstr>'12 programa'!Print_Area</vt:lpstr>
      <vt:lpstr>'Lyginamasis variantas'!Print_Area</vt:lpstr>
      <vt:lpstr>'12 programa'!Print_Titles</vt:lpstr>
      <vt:lpstr>'Lyginamasis variantas'!Print_Titles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Virginija Palaimiene</cp:lastModifiedBy>
  <cp:lastPrinted>2015-05-29T12:36:03Z</cp:lastPrinted>
  <dcterms:created xsi:type="dcterms:W3CDTF">2011-12-01T09:04:40Z</dcterms:created>
  <dcterms:modified xsi:type="dcterms:W3CDTF">2015-06-11T13:58:30Z</dcterms:modified>
</cp:coreProperties>
</file>