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785" windowWidth="19200" windowHeight="8400" tabRatio="595" firstSheet="1" activeTab="1"/>
  </bookViews>
  <sheets>
    <sheet name="Asignavimų valdytojų kodai" sheetId="29" state="hidden" r:id="rId1"/>
    <sheet name="3 programa" sheetId="41" r:id="rId2"/>
    <sheet name="Lyginamasis variantas " sheetId="43" state="hidden" r:id="rId3"/>
    <sheet name="Aiškinamoji lentelė" sheetId="44" state="hidden" r:id="rId4"/>
    <sheet name="2015 MVP" sheetId="40" state="hidden" r:id="rId5"/>
  </sheets>
  <definedNames>
    <definedName name="_xlnm.Print_Area" localSheetId="4">'2015 MVP'!$A$1:$M$163</definedName>
    <definedName name="_xlnm.Print_Area" localSheetId="1">'3 programa'!$A$1:$N$136</definedName>
    <definedName name="_xlnm.Print_Area" localSheetId="3">'Aiškinamoji lentelė'!$A$1:$X$164</definedName>
    <definedName name="_xlnm.Print_Area" localSheetId="2">'Lyginamasis variantas '!$A$1:$J$134</definedName>
    <definedName name="_xlnm.Print_Titles" localSheetId="4">'2015 MVP'!$8:$10</definedName>
    <definedName name="_xlnm.Print_Titles" localSheetId="1">'3 programa'!$5:$7</definedName>
    <definedName name="_xlnm.Print_Titles" localSheetId="3">'Aiškinamoji lentelė'!$5:$7</definedName>
    <definedName name="_xlnm.Print_Titles" localSheetId="2">'Lyginamasis variantas '!$6:$8</definedName>
  </definedNames>
  <calcPr calcId="145621" fullPrecision="0"/>
</workbook>
</file>

<file path=xl/calcChain.xml><?xml version="1.0" encoding="utf-8"?>
<calcChain xmlns="http://schemas.openxmlformats.org/spreadsheetml/2006/main">
  <c r="H39" i="41" l="1"/>
  <c r="I39" i="43"/>
  <c r="H100" i="41" l="1"/>
  <c r="I125" i="43" l="1"/>
  <c r="H128" i="43" l="1"/>
  <c r="I128" i="43"/>
  <c r="H41" i="43"/>
  <c r="H98" i="43"/>
  <c r="H68" i="43"/>
  <c r="H17" i="43"/>
  <c r="H127" i="43" s="1"/>
  <c r="H15" i="43"/>
  <c r="H14" i="43"/>
  <c r="H13" i="43"/>
  <c r="H35" i="43"/>
  <c r="H30" i="43"/>
  <c r="H44" i="43"/>
  <c r="H124" i="41" l="1"/>
  <c r="J74" i="43"/>
  <c r="I81" i="41" l="1"/>
  <c r="H81" i="41"/>
  <c r="J128" i="41" l="1"/>
  <c r="I128" i="41"/>
  <c r="H128" i="41"/>
  <c r="K162" i="40" l="1"/>
  <c r="K157" i="40"/>
  <c r="K156" i="40"/>
  <c r="K155" i="40"/>
  <c r="K152" i="40"/>
  <c r="K140" i="40"/>
  <c r="K141" i="40" s="1"/>
  <c r="K139" i="40"/>
  <c r="K138" i="40"/>
  <c r="K136" i="40"/>
  <c r="K135" i="40"/>
  <c r="K132" i="40"/>
  <c r="K131" i="40"/>
  <c r="K137" i="40" s="1"/>
  <c r="K124" i="40"/>
  <c r="K125" i="40" s="1"/>
  <c r="K122" i="40"/>
  <c r="K123" i="40" s="1"/>
  <c r="K121" i="40"/>
  <c r="K117" i="40"/>
  <c r="K118" i="40" s="1"/>
  <c r="K116" i="40"/>
  <c r="K114" i="40"/>
  <c r="K160" i="40" s="1"/>
  <c r="K113" i="40"/>
  <c r="K161" i="40" s="1"/>
  <c r="K111" i="40"/>
  <c r="K112" i="40" s="1"/>
  <c r="K110" i="40"/>
  <c r="K109" i="40"/>
  <c r="K103" i="40"/>
  <c r="K92" i="40"/>
  <c r="K153" i="40" s="1"/>
  <c r="K89" i="40"/>
  <c r="K90" i="40" s="1"/>
  <c r="K86" i="40"/>
  <c r="K82" i="40"/>
  <c r="K80" i="40"/>
  <c r="K79" i="40"/>
  <c r="K78" i="40"/>
  <c r="K158" i="40" s="1"/>
  <c r="K77" i="40"/>
  <c r="K76" i="40"/>
  <c r="K75" i="40"/>
  <c r="K72" i="40"/>
  <c r="K88" i="40" s="1"/>
  <c r="K70" i="40"/>
  <c r="K163" i="40" s="1"/>
  <c r="K66" i="40"/>
  <c r="K67" i="40" s="1"/>
  <c r="K65" i="40"/>
  <c r="K61" i="40"/>
  <c r="K60" i="40"/>
  <c r="K62" i="40" s="1"/>
  <c r="K57" i="40"/>
  <c r="K56" i="40"/>
  <c r="K54" i="40"/>
  <c r="K55" i="40" s="1"/>
  <c r="K53" i="40"/>
  <c r="K52" i="40"/>
  <c r="K50" i="40"/>
  <c r="K51" i="40" s="1"/>
  <c r="K48" i="40"/>
  <c r="K47" i="40"/>
  <c r="K46" i="40"/>
  <c r="K45" i="40"/>
  <c r="K44" i="40"/>
  <c r="K43" i="40"/>
  <c r="K41" i="40"/>
  <c r="K151" i="40" s="1"/>
  <c r="K40" i="40"/>
  <c r="K39" i="40"/>
  <c r="K38" i="40"/>
  <c r="K37" i="40"/>
  <c r="K36" i="40"/>
  <c r="K34" i="40"/>
  <c r="K30" i="40"/>
  <c r="K29" i="40"/>
  <c r="K26" i="40"/>
  <c r="K49" i="40" s="1"/>
  <c r="K25" i="40"/>
  <c r="K150" i="40" s="1"/>
  <c r="K149" i="40" l="1"/>
  <c r="K148" i="40" s="1"/>
  <c r="K164" i="40" s="1"/>
  <c r="K159" i="40"/>
  <c r="K126" i="40"/>
  <c r="K142" i="40" s="1"/>
  <c r="K143" i="40" s="1"/>
  <c r="K94" i="40"/>
  <c r="K95" i="40" s="1"/>
  <c r="K115" i="40"/>
  <c r="K119" i="40" s="1"/>
  <c r="K154" i="40"/>
  <c r="H16" i="41" l="1"/>
  <c r="H130" i="41" l="1"/>
  <c r="H129" i="41"/>
  <c r="J18" i="43" l="1"/>
  <c r="J128" i="43" s="1"/>
  <c r="I17" i="43"/>
  <c r="I127" i="43" s="1"/>
  <c r="J17" i="43" l="1"/>
  <c r="J127" i="43" s="1"/>
  <c r="I44" i="43"/>
  <c r="H41" i="41"/>
  <c r="I41" i="43"/>
  <c r="J40" i="43"/>
  <c r="J125" i="43" s="1"/>
  <c r="P126" i="44" l="1"/>
  <c r="J44" i="41"/>
  <c r="I44" i="41"/>
  <c r="P83" i="44"/>
  <c r="Q83" i="44"/>
  <c r="R83" i="44"/>
  <c r="S83" i="44"/>
  <c r="T83" i="44"/>
  <c r="O83" i="44"/>
  <c r="O79" i="44"/>
  <c r="H44" i="41"/>
  <c r="O82" i="44"/>
  <c r="I98" i="43" l="1"/>
  <c r="R57" i="44"/>
  <c r="P57" i="44"/>
  <c r="H70" i="41" l="1"/>
  <c r="H72" i="41" s="1"/>
  <c r="I68" i="43"/>
  <c r="I70" i="43" l="1"/>
  <c r="I122" i="43"/>
  <c r="J68" i="43"/>
  <c r="J70" i="41"/>
  <c r="I70" i="41"/>
  <c r="H12" i="41" l="1"/>
  <c r="I13" i="43"/>
  <c r="H35" i="41"/>
  <c r="I35" i="43"/>
  <c r="H30" i="41"/>
  <c r="I30" i="43"/>
  <c r="J30" i="43" s="1"/>
  <c r="I133" i="43" l="1"/>
  <c r="I107" i="43"/>
  <c r="I94" i="43"/>
  <c r="I95" i="43" s="1"/>
  <c r="I92" i="43"/>
  <c r="I91" i="43"/>
  <c r="I87" i="43"/>
  <c r="I86" i="43"/>
  <c r="I84" i="43"/>
  <c r="I83" i="43"/>
  <c r="I132" i="43" s="1"/>
  <c r="I81" i="43"/>
  <c r="I123" i="43" s="1"/>
  <c r="I80" i="43"/>
  <c r="I73" i="43"/>
  <c r="I79" i="43" s="1"/>
  <c r="I65" i="43"/>
  <c r="I66" i="43" s="1"/>
  <c r="I46" i="43"/>
  <c r="I45" i="43"/>
  <c r="I126" i="43" s="1"/>
  <c r="I42" i="43"/>
  <c r="I43" i="43" s="1"/>
  <c r="I36" i="43"/>
  <c r="I38" i="43" s="1"/>
  <c r="I32" i="43"/>
  <c r="I33" i="43" s="1"/>
  <c r="I31" i="43"/>
  <c r="I28" i="43"/>
  <c r="I29" i="43" s="1"/>
  <c r="I26" i="43"/>
  <c r="I27" i="43" s="1"/>
  <c r="I15" i="43"/>
  <c r="I121" i="43" s="1"/>
  <c r="I14" i="43"/>
  <c r="I124" i="43" s="1"/>
  <c r="I120" i="43" l="1"/>
  <c r="I119" i="43" s="1"/>
  <c r="I82" i="43"/>
  <c r="I88" i="43"/>
  <c r="I64" i="43"/>
  <c r="I25" i="43"/>
  <c r="I71" i="43" s="1"/>
  <c r="I129" i="43"/>
  <c r="I93" i="43"/>
  <c r="I96" i="43" s="1"/>
  <c r="I85" i="43"/>
  <c r="I110" i="43"/>
  <c r="I111" i="43" s="1"/>
  <c r="I131" i="43"/>
  <c r="I130" i="43" s="1"/>
  <c r="I118" i="43" l="1"/>
  <c r="I134" i="43" s="1"/>
  <c r="I89" i="43"/>
  <c r="I112" i="43" s="1"/>
  <c r="I113" i="43" s="1"/>
  <c r="I12" i="41" l="1"/>
  <c r="T162" i="44" l="1"/>
  <c r="S162" i="44"/>
  <c r="T161" i="44"/>
  <c r="S161" i="44"/>
  <c r="O161" i="44"/>
  <c r="K161" i="44"/>
  <c r="T160" i="44"/>
  <c r="S160" i="44"/>
  <c r="T159" i="44"/>
  <c r="T158" i="44" s="1"/>
  <c r="S159" i="44"/>
  <c r="S158" i="44" s="1"/>
  <c r="T157" i="44"/>
  <c r="S157" i="44"/>
  <c r="T156" i="44"/>
  <c r="S156" i="44"/>
  <c r="S155" i="44"/>
  <c r="T154" i="44"/>
  <c r="S154" i="44"/>
  <c r="O154" i="44"/>
  <c r="T153" i="44"/>
  <c r="S153" i="44"/>
  <c r="T152" i="44"/>
  <c r="S152" i="44"/>
  <c r="N140" i="44"/>
  <c r="M140" i="44"/>
  <c r="L140" i="44"/>
  <c r="K139" i="44"/>
  <c r="K138" i="44"/>
  <c r="T137" i="44"/>
  <c r="S137" i="44"/>
  <c r="R137" i="44"/>
  <c r="Q137" i="44"/>
  <c r="P137" i="44"/>
  <c r="N137" i="44"/>
  <c r="M137" i="44"/>
  <c r="L137" i="44"/>
  <c r="O136" i="44"/>
  <c r="K136" i="44"/>
  <c r="K160" i="44" s="1"/>
  <c r="O135" i="44"/>
  <c r="K135" i="44"/>
  <c r="T134" i="44"/>
  <c r="S134" i="44"/>
  <c r="R134" i="44"/>
  <c r="Q134" i="44"/>
  <c r="N134" i="44"/>
  <c r="M134" i="44"/>
  <c r="L134" i="44"/>
  <c r="O133" i="44"/>
  <c r="K133" i="44"/>
  <c r="O132" i="44"/>
  <c r="P131" i="44"/>
  <c r="P134" i="44" s="1"/>
  <c r="O130" i="44"/>
  <c r="O129" i="44"/>
  <c r="O128" i="44"/>
  <c r="O127" i="44"/>
  <c r="K127" i="44"/>
  <c r="O126" i="44"/>
  <c r="K126" i="44"/>
  <c r="P122" i="44"/>
  <c r="O122" i="44" s="1"/>
  <c r="L122" i="44"/>
  <c r="K122" i="44" s="1"/>
  <c r="O121" i="44"/>
  <c r="K121" i="44"/>
  <c r="T120" i="44"/>
  <c r="T123" i="44" s="1"/>
  <c r="S120" i="44"/>
  <c r="S123" i="44" s="1"/>
  <c r="R120" i="44"/>
  <c r="R123" i="44" s="1"/>
  <c r="Q120" i="44"/>
  <c r="Q123" i="44" s="1"/>
  <c r="P120" i="44"/>
  <c r="P123" i="44" s="1"/>
  <c r="N120" i="44"/>
  <c r="N123" i="44" s="1"/>
  <c r="M120" i="44"/>
  <c r="M123" i="44" s="1"/>
  <c r="L120" i="44"/>
  <c r="O119" i="44"/>
  <c r="K119" i="44"/>
  <c r="O118" i="44"/>
  <c r="K118" i="44"/>
  <c r="R115" i="44"/>
  <c r="Q115" i="44"/>
  <c r="P115" i="44"/>
  <c r="O115" i="44"/>
  <c r="N115" i="44"/>
  <c r="M115" i="44"/>
  <c r="L115" i="44"/>
  <c r="K115" i="44"/>
  <c r="T112" i="44"/>
  <c r="S112" i="44"/>
  <c r="R112" i="44"/>
  <c r="Q112" i="44"/>
  <c r="P112" i="44"/>
  <c r="N112" i="44"/>
  <c r="M112" i="44"/>
  <c r="L112" i="44"/>
  <c r="K112" i="44"/>
  <c r="O111" i="44"/>
  <c r="O159" i="44" s="1"/>
  <c r="O110" i="44"/>
  <c r="O160" i="44" s="1"/>
  <c r="T109" i="44"/>
  <c r="S109" i="44"/>
  <c r="R109" i="44"/>
  <c r="Q109" i="44"/>
  <c r="P109" i="44"/>
  <c r="N109" i="44"/>
  <c r="M109" i="44"/>
  <c r="L109" i="44"/>
  <c r="O108" i="44"/>
  <c r="O156" i="44" s="1"/>
  <c r="K108" i="44"/>
  <c r="K156" i="44" s="1"/>
  <c r="O107" i="44"/>
  <c r="K107" i="44"/>
  <c r="T106" i="44"/>
  <c r="T116" i="44" s="1"/>
  <c r="S106" i="44"/>
  <c r="R106" i="44"/>
  <c r="Q106" i="44"/>
  <c r="P106" i="44"/>
  <c r="M106" i="44"/>
  <c r="L106" i="44"/>
  <c r="O97" i="44"/>
  <c r="O92" i="44"/>
  <c r="N91" i="44"/>
  <c r="K91" i="44" s="1"/>
  <c r="K106" i="44" s="1"/>
  <c r="T88" i="44"/>
  <c r="S88" i="44"/>
  <c r="R88" i="44"/>
  <c r="Q88" i="44"/>
  <c r="P88" i="44"/>
  <c r="N88" i="44"/>
  <c r="M88" i="44"/>
  <c r="L88" i="44"/>
  <c r="O87" i="44"/>
  <c r="K87" i="44"/>
  <c r="O86" i="44"/>
  <c r="K86" i="44"/>
  <c r="T85" i="44"/>
  <c r="S85" i="44"/>
  <c r="R85" i="44"/>
  <c r="Q85" i="44"/>
  <c r="P85" i="44"/>
  <c r="N85" i="44"/>
  <c r="M85" i="44"/>
  <c r="L85" i="44"/>
  <c r="O84" i="44"/>
  <c r="O85" i="44" s="1"/>
  <c r="K84" i="44"/>
  <c r="K85" i="44" s="1"/>
  <c r="N83" i="44"/>
  <c r="M83" i="44"/>
  <c r="L83" i="44"/>
  <c r="O81" i="44"/>
  <c r="K81" i="44"/>
  <c r="O77" i="44"/>
  <c r="O75" i="44"/>
  <c r="K75" i="44"/>
  <c r="O74" i="44"/>
  <c r="K74" i="44"/>
  <c r="O73" i="44"/>
  <c r="O157" i="44" s="1"/>
  <c r="K73" i="44"/>
  <c r="K157" i="44" s="1"/>
  <c r="O72" i="44"/>
  <c r="K72" i="44"/>
  <c r="O71" i="44"/>
  <c r="K71" i="44"/>
  <c r="O70" i="44"/>
  <c r="K70" i="44"/>
  <c r="S69" i="44"/>
  <c r="O69" i="44"/>
  <c r="K69" i="44"/>
  <c r="K68" i="44"/>
  <c r="K154" i="44" s="1"/>
  <c r="O67" i="44"/>
  <c r="K67" i="44"/>
  <c r="O65" i="44"/>
  <c r="O162" i="44" s="1"/>
  <c r="K65" i="44"/>
  <c r="K162" i="44" s="1"/>
  <c r="O64" i="44"/>
  <c r="K64" i="44"/>
  <c r="T60" i="44"/>
  <c r="S60" i="44"/>
  <c r="R60" i="44"/>
  <c r="Q60" i="44"/>
  <c r="P60" i="44"/>
  <c r="N60" i="44"/>
  <c r="M60" i="44"/>
  <c r="L60" i="44"/>
  <c r="O59" i="44"/>
  <c r="O60" i="44" s="1"/>
  <c r="K59" i="44"/>
  <c r="K60" i="44" s="1"/>
  <c r="T58" i="44"/>
  <c r="S58" i="44"/>
  <c r="R58" i="44"/>
  <c r="Q58" i="44"/>
  <c r="P58" i="44"/>
  <c r="N58" i="44"/>
  <c r="M58" i="44"/>
  <c r="L58" i="44"/>
  <c r="O57" i="44"/>
  <c r="O58" i="44" s="1"/>
  <c r="K57" i="44"/>
  <c r="K58" i="44" s="1"/>
  <c r="T56" i="44"/>
  <c r="S56" i="44"/>
  <c r="R56" i="44"/>
  <c r="Q56" i="44"/>
  <c r="N56" i="44"/>
  <c r="M56" i="44"/>
  <c r="L56" i="44"/>
  <c r="O55" i="44"/>
  <c r="K55" i="44"/>
  <c r="O54" i="44"/>
  <c r="K54" i="44"/>
  <c r="P53" i="44"/>
  <c r="O53" i="44" s="1"/>
  <c r="K53" i="44"/>
  <c r="T51" i="44"/>
  <c r="S51" i="44"/>
  <c r="R51" i="44"/>
  <c r="Q51" i="44"/>
  <c r="P51" i="44"/>
  <c r="N51" i="44"/>
  <c r="M51" i="44"/>
  <c r="L51" i="44"/>
  <c r="O50" i="44"/>
  <c r="O51" i="44" s="1"/>
  <c r="K50" i="44"/>
  <c r="K51" i="44" s="1"/>
  <c r="T49" i="44"/>
  <c r="S49" i="44"/>
  <c r="R49" i="44"/>
  <c r="N49" i="44"/>
  <c r="M49" i="44"/>
  <c r="L49" i="44"/>
  <c r="Q48" i="44"/>
  <c r="Q49" i="44" s="1"/>
  <c r="P48" i="44"/>
  <c r="O48" i="44" s="1"/>
  <c r="O49" i="44" s="1"/>
  <c r="K48" i="44"/>
  <c r="K49" i="44" s="1"/>
  <c r="T47" i="44"/>
  <c r="S47" i="44"/>
  <c r="R47" i="44"/>
  <c r="Q47" i="44"/>
  <c r="P47" i="44"/>
  <c r="N47" i="44"/>
  <c r="M47" i="44"/>
  <c r="L47" i="44"/>
  <c r="O46" i="44"/>
  <c r="O47" i="44" s="1"/>
  <c r="K46" i="44"/>
  <c r="K47" i="44" s="1"/>
  <c r="T45" i="44"/>
  <c r="S45" i="44"/>
  <c r="R45" i="44"/>
  <c r="Q45" i="44"/>
  <c r="P45" i="44"/>
  <c r="N45" i="44"/>
  <c r="M45" i="44"/>
  <c r="L45" i="44"/>
  <c r="O44" i="44"/>
  <c r="O45" i="44" s="1"/>
  <c r="K44" i="44"/>
  <c r="K45" i="44" s="1"/>
  <c r="R43" i="44"/>
  <c r="N43" i="44"/>
  <c r="M43" i="44"/>
  <c r="O42" i="44"/>
  <c r="K42" i="44"/>
  <c r="T41" i="44"/>
  <c r="T151" i="44" s="1"/>
  <c r="S41" i="44"/>
  <c r="P41" i="44"/>
  <c r="O41" i="44" s="1"/>
  <c r="K41" i="44"/>
  <c r="O40" i="44"/>
  <c r="K40" i="44"/>
  <c r="O39" i="44"/>
  <c r="K39" i="44"/>
  <c r="O38" i="44"/>
  <c r="L38" i="44"/>
  <c r="K38" i="44" s="1"/>
  <c r="O37" i="44"/>
  <c r="K37" i="44"/>
  <c r="O36" i="44"/>
  <c r="O152" i="44" s="1"/>
  <c r="K36" i="44"/>
  <c r="K152" i="44" s="1"/>
  <c r="O35" i="44"/>
  <c r="O34" i="44"/>
  <c r="K34" i="44"/>
  <c r="O33" i="44"/>
  <c r="L33" i="44"/>
  <c r="K33" i="44" s="1"/>
  <c r="S32" i="44"/>
  <c r="S43" i="44" s="1"/>
  <c r="P32" i="44"/>
  <c r="O32" i="44" s="1"/>
  <c r="O31" i="44"/>
  <c r="K31" i="44"/>
  <c r="O30" i="44"/>
  <c r="O29" i="44"/>
  <c r="K29" i="44"/>
  <c r="P25" i="44"/>
  <c r="O25" i="44"/>
  <c r="K25" i="44"/>
  <c r="O24" i="44"/>
  <c r="K24" i="44"/>
  <c r="O23" i="44"/>
  <c r="K23" i="44"/>
  <c r="P21" i="44"/>
  <c r="O21" i="44" s="1"/>
  <c r="K21" i="44"/>
  <c r="O20" i="44"/>
  <c r="K20" i="44"/>
  <c r="O17" i="44"/>
  <c r="O153" i="44" s="1"/>
  <c r="K17" i="44"/>
  <c r="K153" i="44" s="1"/>
  <c r="O16" i="44"/>
  <c r="L16" i="44"/>
  <c r="K16" i="44"/>
  <c r="Q15" i="44"/>
  <c r="P15" i="44"/>
  <c r="O15" i="44" s="1"/>
  <c r="T14" i="44"/>
  <c r="O14" i="44"/>
  <c r="O155" i="44" s="1"/>
  <c r="K14" i="44"/>
  <c r="K155" i="44" s="1"/>
  <c r="Q13" i="44"/>
  <c r="P13" i="44"/>
  <c r="O13" i="44"/>
  <c r="K13" i="44"/>
  <c r="T150" i="44" l="1"/>
  <c r="Q43" i="44"/>
  <c r="P49" i="44"/>
  <c r="T43" i="44"/>
  <c r="K159" i="44"/>
  <c r="K158" i="44" s="1"/>
  <c r="K88" i="44"/>
  <c r="S116" i="44"/>
  <c r="O120" i="44"/>
  <c r="O123" i="44" s="1"/>
  <c r="O131" i="44"/>
  <c r="O134" i="44" s="1"/>
  <c r="O141" i="44" s="1"/>
  <c r="O137" i="44"/>
  <c r="O88" i="44"/>
  <c r="K120" i="44"/>
  <c r="Q141" i="44"/>
  <c r="K140" i="44"/>
  <c r="K123" i="44"/>
  <c r="M89" i="44"/>
  <c r="R89" i="44"/>
  <c r="N106" i="44"/>
  <c r="L116" i="44"/>
  <c r="P116" i="44"/>
  <c r="S141" i="44"/>
  <c r="S151" i="44"/>
  <c r="S150" i="44" s="1"/>
  <c r="S149" i="44" s="1"/>
  <c r="S163" i="44" s="1"/>
  <c r="S164" i="44" s="1"/>
  <c r="O56" i="44"/>
  <c r="K83" i="44"/>
  <c r="N89" i="44"/>
  <c r="O106" i="44"/>
  <c r="O116" i="44" s="1"/>
  <c r="O109" i="44"/>
  <c r="O112" i="44"/>
  <c r="M116" i="44"/>
  <c r="Q116" i="44"/>
  <c r="K134" i="44"/>
  <c r="K137" i="44"/>
  <c r="P141" i="44"/>
  <c r="T141" i="44"/>
  <c r="T142" i="44" s="1"/>
  <c r="T143" i="44" s="1"/>
  <c r="L141" i="44"/>
  <c r="P43" i="44"/>
  <c r="L43" i="44"/>
  <c r="L89" i="44" s="1"/>
  <c r="K56" i="44"/>
  <c r="T89" i="44"/>
  <c r="K109" i="44"/>
  <c r="N116" i="44"/>
  <c r="R116" i="44"/>
  <c r="M141" i="44"/>
  <c r="L123" i="44"/>
  <c r="R141" i="44"/>
  <c r="N141" i="44"/>
  <c r="K151" i="44"/>
  <c r="K150" i="44" s="1"/>
  <c r="K149" i="44" s="1"/>
  <c r="O151" i="44"/>
  <c r="O150" i="44" s="1"/>
  <c r="O149" i="44" s="1"/>
  <c r="Q89" i="44"/>
  <c r="K116" i="44"/>
  <c r="N142" i="44"/>
  <c r="N143" i="44" s="1"/>
  <c r="O158" i="44"/>
  <c r="S89" i="44"/>
  <c r="T155" i="44"/>
  <c r="T149" i="44" s="1"/>
  <c r="T163" i="44" s="1"/>
  <c r="T164" i="44" s="1"/>
  <c r="K43" i="44"/>
  <c r="O43" i="44"/>
  <c r="P56" i="44"/>
  <c r="P89" i="44" s="1"/>
  <c r="H133" i="43"/>
  <c r="H125" i="43"/>
  <c r="H108" i="43"/>
  <c r="J108" i="43" s="1"/>
  <c r="J110" i="43" s="1"/>
  <c r="H94" i="43"/>
  <c r="H95" i="43" s="1"/>
  <c r="J93" i="43"/>
  <c r="J96" i="43" s="1"/>
  <c r="H92" i="43"/>
  <c r="H91" i="43"/>
  <c r="H87" i="43"/>
  <c r="H86" i="43"/>
  <c r="J85" i="43"/>
  <c r="H84" i="43"/>
  <c r="H83" i="43"/>
  <c r="H132" i="43" s="1"/>
  <c r="J82" i="43"/>
  <c r="H81" i="43"/>
  <c r="H80" i="43"/>
  <c r="J79" i="43"/>
  <c r="H73" i="43"/>
  <c r="H79" i="43" s="1"/>
  <c r="J66" i="43"/>
  <c r="H65" i="43"/>
  <c r="H66" i="43" s="1"/>
  <c r="H46" i="43"/>
  <c r="H129" i="43" s="1"/>
  <c r="H45" i="43"/>
  <c r="H126" i="43" s="1"/>
  <c r="J44" i="43"/>
  <c r="J64" i="43" s="1"/>
  <c r="J43" i="43"/>
  <c r="H42" i="43"/>
  <c r="H43" i="43" s="1"/>
  <c r="H36" i="43"/>
  <c r="J35" i="43"/>
  <c r="J38" i="43" s="1"/>
  <c r="H32" i="43"/>
  <c r="H33" i="43" s="1"/>
  <c r="J31" i="43"/>
  <c r="H31" i="43"/>
  <c r="H28" i="43"/>
  <c r="H29" i="43" s="1"/>
  <c r="H26" i="43"/>
  <c r="H121" i="43"/>
  <c r="H124" i="43"/>
  <c r="H27" i="43" l="1"/>
  <c r="H120" i="43"/>
  <c r="J120" i="43" s="1"/>
  <c r="H88" i="43"/>
  <c r="J89" i="43"/>
  <c r="J39" i="43"/>
  <c r="J41" i="43" s="1"/>
  <c r="H107" i="43"/>
  <c r="J98" i="43"/>
  <c r="J107" i="43" s="1"/>
  <c r="P142" i="44"/>
  <c r="P143" i="44" s="1"/>
  <c r="S142" i="44"/>
  <c r="S143" i="44" s="1"/>
  <c r="O89" i="44"/>
  <c r="O142" i="44" s="1"/>
  <c r="O143" i="44" s="1"/>
  <c r="M142" i="44"/>
  <c r="M143" i="44" s="1"/>
  <c r="K141" i="44"/>
  <c r="R142" i="44"/>
  <c r="R143" i="44" s="1"/>
  <c r="K89" i="44"/>
  <c r="K142" i="44" s="1"/>
  <c r="K143" i="44" s="1"/>
  <c r="Q142" i="44"/>
  <c r="Q143" i="44" s="1"/>
  <c r="L142" i="44"/>
  <c r="L143" i="44" s="1"/>
  <c r="H70" i="43"/>
  <c r="J69" i="43"/>
  <c r="J70" i="43" s="1"/>
  <c r="H122" i="43"/>
  <c r="J16" i="43"/>
  <c r="J122" i="43" s="1"/>
  <c r="J13" i="43"/>
  <c r="H131" i="43"/>
  <c r="H130" i="43" s="1"/>
  <c r="H110" i="43"/>
  <c r="H111" i="43" s="1"/>
  <c r="K163" i="44"/>
  <c r="H38" i="43"/>
  <c r="H64" i="43"/>
  <c r="H82" i="43"/>
  <c r="H93" i="43"/>
  <c r="H96" i="43" s="1"/>
  <c r="J111" i="43"/>
  <c r="O163" i="44"/>
  <c r="P164" i="44" s="1"/>
  <c r="J130" i="43"/>
  <c r="H85" i="43"/>
  <c r="H25" i="43"/>
  <c r="H123" i="43"/>
  <c r="H119" i="43" l="1"/>
  <c r="H118" i="43" s="1"/>
  <c r="H89" i="43"/>
  <c r="J25" i="43"/>
  <c r="J71" i="43" s="1"/>
  <c r="J112" i="43" s="1"/>
  <c r="J113" i="43" s="1"/>
  <c r="H71" i="43"/>
  <c r="H112" i="43" s="1"/>
  <c r="J15" i="41"/>
  <c r="I15" i="41"/>
  <c r="H113" i="43" l="1"/>
  <c r="J124" i="43"/>
  <c r="H134" i="43"/>
  <c r="H82" i="41"/>
  <c r="J119" i="43" l="1"/>
  <c r="H96" i="41"/>
  <c r="H94" i="41"/>
  <c r="H93" i="41"/>
  <c r="H89" i="41"/>
  <c r="H88" i="41"/>
  <c r="H86" i="41"/>
  <c r="H85" i="41"/>
  <c r="H83" i="41"/>
  <c r="J75" i="41"/>
  <c r="I75" i="41"/>
  <c r="H75" i="41"/>
  <c r="J71" i="41"/>
  <c r="J72" i="41" s="1"/>
  <c r="I71" i="41"/>
  <c r="I72" i="41" s="1"/>
  <c r="I124" i="41"/>
  <c r="J67" i="41"/>
  <c r="I67" i="41"/>
  <c r="H67" i="41"/>
  <c r="J46" i="41"/>
  <c r="I46" i="41"/>
  <c r="H46" i="41"/>
  <c r="J45" i="41"/>
  <c r="I45" i="41"/>
  <c r="H45" i="41"/>
  <c r="J42" i="41"/>
  <c r="I42" i="41"/>
  <c r="H42" i="41"/>
  <c r="J39" i="41"/>
  <c r="I39" i="41"/>
  <c r="J36" i="41"/>
  <c r="I36" i="41"/>
  <c r="H36" i="41"/>
  <c r="J35" i="41"/>
  <c r="I35" i="41"/>
  <c r="J32" i="41"/>
  <c r="I32" i="41"/>
  <c r="H32" i="41"/>
  <c r="J30" i="41"/>
  <c r="I30" i="41"/>
  <c r="J28" i="41"/>
  <c r="I28" i="41"/>
  <c r="H28" i="41"/>
  <c r="J26" i="41"/>
  <c r="I26" i="41"/>
  <c r="H26" i="41"/>
  <c r="J14" i="41"/>
  <c r="I14" i="41"/>
  <c r="H14" i="41"/>
  <c r="J13" i="41"/>
  <c r="I13" i="41"/>
  <c r="H13" i="41"/>
  <c r="J12" i="41"/>
  <c r="J118" i="43" l="1"/>
  <c r="J134" i="43" s="1"/>
  <c r="H25" i="41"/>
  <c r="I38" i="41"/>
  <c r="J38" i="41"/>
  <c r="H38" i="41"/>
  <c r="H33" i="41" l="1"/>
  <c r="I33" i="41" l="1"/>
  <c r="J33" i="41"/>
  <c r="J135" i="41"/>
  <c r="I135" i="41"/>
  <c r="H135" i="41"/>
  <c r="J81" i="41" l="1"/>
  <c r="J66" i="41"/>
  <c r="J25" i="41"/>
  <c r="J126" i="41" l="1"/>
  <c r="J124" i="41"/>
  <c r="I125" i="41"/>
  <c r="J122" i="41"/>
  <c r="I123" i="41"/>
  <c r="I122" i="41"/>
  <c r="I133" i="41"/>
  <c r="I126" i="41"/>
  <c r="H126" i="41"/>
  <c r="H134" i="41"/>
  <c r="H133" i="41"/>
  <c r="H127" i="41"/>
  <c r="H125" i="41"/>
  <c r="H123" i="41"/>
  <c r="H122" i="41"/>
  <c r="H109" i="41"/>
  <c r="H121" i="41" l="1"/>
  <c r="H132" i="41"/>
  <c r="H131" i="41"/>
  <c r="H97" i="41"/>
  <c r="H112" i="41"/>
  <c r="I109" i="41"/>
  <c r="J109" i="41"/>
  <c r="H95" i="41"/>
  <c r="H87" i="41"/>
  <c r="H90" i="41"/>
  <c r="H84" i="41"/>
  <c r="I66" i="41"/>
  <c r="H66" i="41"/>
  <c r="H68" i="41"/>
  <c r="H43" i="41"/>
  <c r="H31" i="41"/>
  <c r="H29" i="41"/>
  <c r="H27" i="41"/>
  <c r="I25" i="41"/>
  <c r="H120" i="41" l="1"/>
  <c r="H73" i="41"/>
  <c r="H113" i="41"/>
  <c r="H98" i="41"/>
  <c r="H91" i="41"/>
  <c r="J134" i="41"/>
  <c r="I134" i="41"/>
  <c r="I132" i="41" s="1"/>
  <c r="J133" i="41"/>
  <c r="J131" i="41"/>
  <c r="I131" i="41"/>
  <c r="J125" i="41"/>
  <c r="J123" i="41"/>
  <c r="J112" i="41"/>
  <c r="J113" i="41" s="1"/>
  <c r="I112" i="41"/>
  <c r="I113" i="41" s="1"/>
  <c r="J95" i="41"/>
  <c r="J98" i="41" s="1"/>
  <c r="I95" i="41"/>
  <c r="I98" i="41" s="1"/>
  <c r="J87" i="41"/>
  <c r="I87" i="41"/>
  <c r="J84" i="41"/>
  <c r="I84" i="41"/>
  <c r="J68" i="41"/>
  <c r="I68" i="41"/>
  <c r="J43" i="41"/>
  <c r="I43" i="41"/>
  <c r="J41" i="41"/>
  <c r="I41" i="41"/>
  <c r="J31" i="41"/>
  <c r="I31" i="41"/>
  <c r="J29" i="41"/>
  <c r="I29" i="41"/>
  <c r="J27" i="41"/>
  <c r="I27" i="41"/>
  <c r="I129" i="41" l="1"/>
  <c r="I127" i="41"/>
  <c r="I121" i="41" s="1"/>
  <c r="I73" i="41"/>
  <c r="J91" i="41"/>
  <c r="J132" i="41"/>
  <c r="J73" i="41"/>
  <c r="H136" i="41"/>
  <c r="H114" i="41"/>
  <c r="H115" i="41" s="1"/>
  <c r="I91" i="41"/>
  <c r="I130" i="41" l="1"/>
  <c r="I120" i="41" s="1"/>
  <c r="I136" i="41" s="1"/>
  <c r="J114" i="41"/>
  <c r="J115" i="41" s="1"/>
  <c r="I114" i="41"/>
  <c r="I115" i="41" s="1"/>
  <c r="J127" i="41" s="1"/>
  <c r="J121" i="41" s="1"/>
  <c r="J130" i="41" l="1"/>
  <c r="J129" i="41"/>
  <c r="J120" i="41" l="1"/>
  <c r="J136" i="41" s="1"/>
</calcChain>
</file>

<file path=xl/comments1.xml><?xml version="1.0" encoding="utf-8"?>
<comments xmlns="http://schemas.openxmlformats.org/spreadsheetml/2006/main">
  <authors>
    <author>Audra Cepiene</author>
  </authors>
  <commentList>
    <comment ref="D32" author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  <comment ref="K62" authorId="0">
      <text>
        <r>
          <rPr>
            <sz val="9"/>
            <color indexed="81"/>
            <rFont val="Tahoma"/>
            <family val="2"/>
            <charset val="186"/>
          </rPr>
          <t xml:space="preserve">Stoginių darbai:
tarp pastatų Taikos pr. 99 ir 101 būtina pašalinti stoginės perdengimo plokštes ir kolonas laikančias plokštes. Stogo plotas apie 30 kv. metrų;
tarp pastatų Taikos pr. 107 ir 109 būtina pašalinti stoginės perdengimo plokštes, kolonas laikančias plokštes. Stogo plotas apie 30 kv. metrų.
</t>
        </r>
      </text>
    </comment>
    <comment ref="K65" authorId="0">
      <text>
        <r>
          <rPr>
            <sz val="9"/>
            <color indexed="81"/>
            <rFont val="Tahoma"/>
            <family val="2"/>
            <charset val="186"/>
          </rPr>
          <t xml:space="preserve">Strėvos g. 5, prižiūrimos teritorijos plotas apie 0,8-1 hetaras;
I. Simonaitytės g. 29A, teritorijos plotas apie 0,08 hektaro;
Senosios Smiltelės g. 6A, teritorijos plotas apie 0,20 hektaro.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D32" author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</commentList>
</comments>
</file>

<file path=xl/comments3.xml><?xml version="1.0" encoding="utf-8"?>
<comments xmlns="http://schemas.openxmlformats.org/spreadsheetml/2006/main">
  <authors>
    <author>Audra Cepiene</author>
  </authors>
  <commentList>
    <comment ref="K1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14703,8 tūkst. lt (2014-09) pakeitimas</t>
        </r>
      </text>
    </comment>
    <comment ref="M1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11226 tūkst. lt (2014-09) pakeitimas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3,4 tūkst. lt
</t>
        </r>
      </text>
    </comment>
    <comment ref="P20" authorId="0">
      <text>
        <r>
          <rPr>
            <sz val="9"/>
            <color indexed="81"/>
            <rFont val="Tahoma"/>
            <family val="2"/>
            <charset val="186"/>
          </rPr>
          <t xml:space="preserve">Pagal 2014-09-10 Raštą Nr. VS-4866 prašo 107,0 tūkst.Lt; 28 tūkst. budėtojams.
</t>
        </r>
      </text>
    </comment>
    <comment ref="U2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1990-1995 m. Klaipėdos miesto tarybos 25-čio paminėjimo renginys, savivaldos diena</t>
        </r>
      </text>
    </comment>
    <comment ref="U27" authorId="0">
      <text>
        <r>
          <rPr>
            <sz val="9"/>
            <color indexed="81"/>
            <rFont val="Tahoma"/>
            <family val="2"/>
            <charset val="186"/>
          </rPr>
          <t>Audra Cepiene:
1990-1995 m. Klaipėdos miesto tarybos 25-čio paminėjimo renginys, savivaldos diena</t>
        </r>
      </text>
    </comment>
    <comment ref="P4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45 tūkst. perkelti į GIS priemones. Ženklų duomenų bazei</t>
        </r>
      </text>
    </comment>
    <comment ref="K4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20103,1 tūkst. Lt (2014-09) pakeitimas</t>
        </r>
      </text>
    </comment>
    <comment ref="E50" author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  <comment ref="U5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Dalyvavimas miesto partnerio – Manheimo (Vokietija) „BermudasShorts“ filmų festivalyje (Kelionės Klaipėda–Frankfurtas–Meinheimas– Frankfurtas–Klaipėda išlaidos; Filmo kūrimo ir subtitravimo dalinis finansavimas) - 9,8 tūkst. Lt 
Kylio ir Klaipėdos miestų bei uostų bendradarbiavimo stiprinimas - 6 tūkst. Lt</t>
        </r>
      </text>
    </comment>
    <comment ref="L5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09 taryboje sumažinta 3166,9
</t>
        </r>
      </text>
    </comment>
    <comment ref="P57" authorId="0">
      <text>
        <r>
          <rPr>
            <sz val="9"/>
            <color indexed="81"/>
            <rFont val="Tahoma"/>
            <family val="2"/>
            <charset val="186"/>
          </rPr>
          <t xml:space="preserve">koreguota žodžiu
</t>
        </r>
      </text>
    </comment>
    <comment ref="K6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117,8</t>
        </r>
      </text>
    </comment>
    <comment ref="N69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85,6
</t>
        </r>
      </text>
    </comment>
    <comment ref="U79" authorId="0">
      <text>
        <r>
          <rPr>
            <sz val="9"/>
            <color indexed="81"/>
            <rFont val="Tahoma"/>
            <family val="2"/>
            <charset val="186"/>
          </rPr>
          <t xml:space="preserve">Stoginių darbai:
tarp pastatų Taikos pr. 99 ir 101 būtina pašalinti stoginės perdengimo plokštes ir kolonas laikančias plokštes. Stogo plotas apie 30 kv. metrų;
tarp pastatų Taikos pr. 107 ir 109 būtina pašalinti stoginės perdengimo plokštes, kolonas laikančias plokštes. Stogo plotas apie 30 kv. metrų.
</t>
        </r>
      </text>
    </comment>
    <comment ref="U82" authorId="0">
      <text>
        <r>
          <rPr>
            <sz val="9"/>
            <color indexed="81"/>
            <rFont val="Tahoma"/>
            <family val="2"/>
            <charset val="186"/>
          </rPr>
          <t xml:space="preserve">Simokaičio nauja priemonė. Strėvos g. 5, prižiūrimos teritorijos plotas apie 0,8-1 hetaras;
I. Simonaitytės g. 29A, teritorijos plotas apie 0,08 hektaro;
Senosios Smiltelės g. 6A, teritorijos plotas apie 0,20 hektaro.
</t>
        </r>
      </text>
    </comment>
    <comment ref="U92" authorId="0">
      <text>
        <r>
          <rPr>
            <sz val="9"/>
            <color indexed="81"/>
            <rFont val="Tahoma"/>
            <family val="2"/>
            <charset val="186"/>
          </rPr>
          <t>2 serveriai - 20,0; 1 UPS - 20,0; PC - 15,0; 4 multifunkciniai -45,0</t>
        </r>
      </text>
    </comment>
    <comment ref="U94" authorId="0">
      <text>
        <r>
          <rPr>
            <sz val="9"/>
            <color indexed="81"/>
            <rFont val="Tahoma"/>
            <family val="2"/>
            <charset val="186"/>
          </rPr>
          <t>Sophos licencija 3 metams</t>
        </r>
      </text>
    </comment>
    <comment ref="U100" authorId="0">
      <text>
        <r>
          <rPr>
            <sz val="9"/>
            <color indexed="81"/>
            <rFont val="Tahoma"/>
            <family val="2"/>
            <charset val="186"/>
          </rPr>
          <t>280,1 (SB)/62,9 (VB)</t>
        </r>
      </text>
    </comment>
    <comment ref="K10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lėšos nepanaudos
 </t>
        </r>
      </text>
    </comment>
    <comment ref="K10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lėšos</t>
        </r>
      </text>
    </comment>
    <comment ref="L11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28,2
</t>
        </r>
      </text>
    </comment>
    <comment ref="P126" authorId="0">
      <text>
        <r>
          <rPr>
            <sz val="9"/>
            <color indexed="81"/>
            <rFont val="Tahoma"/>
            <family val="2"/>
            <charset val="186"/>
          </rPr>
          <t xml:space="preserve"> žodžiu pakoreguota
</t>
        </r>
      </text>
    </comment>
    <comment ref="U131" authorId="0">
      <text>
        <r>
          <rPr>
            <sz val="9"/>
            <color indexed="81"/>
            <rFont val="Tahoma"/>
            <family val="2"/>
            <charset val="186"/>
          </rPr>
          <t xml:space="preserve">Pridėta 6 tūkst už dviejų durų angų išmušimą pagal sąmatą
</t>
        </r>
      </text>
    </comment>
    <comment ref="K13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lėšos</t>
        </r>
      </text>
    </comment>
    <comment ref="K13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lėšos</t>
        </r>
      </text>
    </comment>
    <comment ref="K14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strateginis sprendimas 40541 tūkst. Lt.; pirminis strat. Įsakymas </t>
        </r>
        <r>
          <rPr>
            <b/>
            <sz val="9"/>
            <color indexed="81"/>
            <rFont val="Tahoma"/>
            <family val="2"/>
            <charset val="186"/>
          </rPr>
          <t>+40659,7</t>
        </r>
        <r>
          <rPr>
            <sz val="9"/>
            <color indexed="81"/>
            <rFont val="Tahoma"/>
            <family val="2"/>
            <charset val="186"/>
          </rPr>
          <t xml:space="preserve"> tūkst. Lt  </t>
        </r>
      </text>
    </comment>
    <comment ref="K15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biudžetas 39998,9</t>
        </r>
      </text>
    </comment>
  </commentList>
</comments>
</file>

<file path=xl/comments4.xml><?xml version="1.0" encoding="utf-8"?>
<comments xmlns="http://schemas.openxmlformats.org/spreadsheetml/2006/main">
  <authors>
    <author>Audra Cepiene</author>
  </authors>
  <commentList>
    <comment ref="F2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3.4.3.1 priemonė. </t>
        </r>
        <r>
          <rPr>
            <sz val="9"/>
            <color indexed="81"/>
            <rFont val="Tahoma"/>
            <family val="2"/>
            <charset val="186"/>
          </rPr>
          <t xml:space="preserve">
Sukurti darbuotojų kvalifikacijos kėlimo ir skatinimo sistemą</t>
        </r>
      </text>
    </comment>
    <comment ref="L31" authorId="0">
      <text>
        <r>
          <rPr>
            <sz val="9"/>
            <color indexed="81"/>
            <rFont val="Tahoma"/>
            <family val="2"/>
            <charset val="186"/>
          </rPr>
          <t>1990-1995 m. Klaipėdos miesto tarybos 25-čio paminėjimo renginys, savivaldos diena</t>
        </r>
      </text>
    </comment>
    <comment ref="L32" authorId="0">
      <text>
        <r>
          <rPr>
            <sz val="9"/>
            <color indexed="81"/>
            <rFont val="Tahoma"/>
            <family val="2"/>
            <charset val="186"/>
          </rPr>
          <t>1990-1995 m. Klaipėdos miesto tarybos 25-čio paminėjimo renginys, savivaldos diena</t>
        </r>
      </text>
    </comment>
    <comment ref="E56" author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  <comment ref="L61" authorId="0">
      <text>
        <r>
          <rPr>
            <sz val="9"/>
            <color indexed="81"/>
            <rFont val="Tahoma"/>
            <family val="2"/>
            <charset val="186"/>
          </rPr>
          <t xml:space="preserve">
Dalyvavimas miesto partnerio – Manheimo (Vokietija) „BermudasShorts“ filmų festivalyje (Kelionės Klaipėda–Frankfurtas–Meinheimas– Frankfurtas–Klaipėda išlaidos; Filmo kūrimo ir subtitravimo dalinis finansavimas) - 9,8 tūkst. Lt 
Kylio ir Klaipėdos miestų bei uostų bendradarbiavimo stiprinimas - 6 tūkst. Lt</t>
        </r>
      </text>
    </comment>
    <comment ref="L84" authorId="0">
      <text>
        <r>
          <rPr>
            <sz val="9"/>
            <color indexed="81"/>
            <rFont val="Tahoma"/>
            <family val="2"/>
            <charset val="186"/>
          </rPr>
          <t xml:space="preserve">Stoginių darbai:
tarp pastatų Taikos pr. 99 ir 101 būtina pašalinti stoginės perdengimo plokštes ir kolonas laikančias plokštes. Stogo plotas apie 30 kv. metrų;
tarp pastatų Taikos pr. 107 ir 109 būtina pašalinti stoginės perdengimo plokštes, kolonas laikančias plokštes. Stogo plotas apie 30 kv. metrų.
</t>
        </r>
      </text>
    </comment>
    <comment ref="L106" authorId="0">
      <text>
        <r>
          <rPr>
            <sz val="9"/>
            <color indexed="81"/>
            <rFont val="Tahoma"/>
            <family val="2"/>
            <charset val="186"/>
          </rPr>
          <t>280,1 (SB)/62,9 (VB)</t>
        </r>
      </text>
    </comment>
    <comment ref="L134" authorId="0">
      <text>
        <r>
          <rPr>
            <sz val="9"/>
            <color indexed="81"/>
            <rFont val="Tahoma"/>
            <family val="2"/>
            <charset val="186"/>
          </rPr>
          <t xml:space="preserve">Pridėta 6 tūkst už dviejų durų angų išmušimą pagal sąmatą
</t>
        </r>
      </text>
    </comment>
  </commentList>
</comments>
</file>

<file path=xl/sharedStrings.xml><?xml version="1.0" encoding="utf-8"?>
<sst xmlns="http://schemas.openxmlformats.org/spreadsheetml/2006/main" count="1672" uniqueCount="381">
  <si>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</si>
  <si>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</si>
  <si>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</si>
  <si>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</si>
  <si>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</si>
  <si>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</si>
  <si>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</si>
  <si>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</si>
  <si>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</si>
  <si>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</si>
  <si>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</si>
  <si>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04</t>
  </si>
  <si>
    <t>SB</t>
  </si>
  <si>
    <t>PF</t>
  </si>
  <si>
    <t>ES</t>
  </si>
  <si>
    <t>Iš viso:</t>
  </si>
  <si>
    <t>Iš viso uždaviniui:</t>
  </si>
  <si>
    <t>Iš viso programai:</t>
  </si>
  <si>
    <t>Iš viso tikslui:</t>
  </si>
  <si>
    <t>Finansavimo šaltiniai</t>
  </si>
  <si>
    <t>1-10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</si>
  <si>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</si>
  <si>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</si>
  <si>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</si>
  <si>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</si>
  <si>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</si>
  <si>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</si>
  <si>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</si>
  <si>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Paskolų grąžinimas ir palūkanų mokėjimas</t>
  </si>
  <si>
    <t>Projekto „Klaipėdos miesto savivaldybės administracijos darbo organizavimo gerinimas tobulinant organizacinę struktūrą, finansinių išteklių ir veiklos valdymo procesus“ įgyvendinimas</t>
  </si>
  <si>
    <t>Strateginis tikslas 01. Didinti miesto konkurencingumą, kryptingai vystant infrastruktūrą ir sudarant palankias sąlygas verslui</t>
  </si>
  <si>
    <t xml:space="preserve">Savivaldybės biudžetas, iš jo: </t>
  </si>
  <si>
    <t>05</t>
  </si>
  <si>
    <t>10</t>
  </si>
  <si>
    <t>06</t>
  </si>
  <si>
    <t>07</t>
  </si>
  <si>
    <t>08</t>
  </si>
  <si>
    <t>09</t>
  </si>
  <si>
    <t>11</t>
  </si>
  <si>
    <t>12</t>
  </si>
  <si>
    <t>13</t>
  </si>
  <si>
    <t>Tobulinti savivaldybės administracinių paslaugų teikimą, taikant pažangius vadybos principus</t>
  </si>
  <si>
    <t xml:space="preserve">Informacinių technologijų palaikymas ir plėtojimas Savivaldybės administracijoje </t>
  </si>
  <si>
    <t>Dalyvavimas organizuojant rinkimus</t>
  </si>
  <si>
    <t>22</t>
  </si>
  <si>
    <t>KPP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</si>
  <si>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KPP</t>
    </r>
  </si>
  <si>
    <t>SB(VB)</t>
  </si>
  <si>
    <t>Savivaldybės tarybos finansinio, ūkinio bei materialinio aptarnavimo užtikrinimas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</si>
  <si>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</si>
  <si>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Kurti savivaldybės valdymo sistemą, patogią verslui ir gyventojams</t>
  </si>
  <si>
    <t>Savivaldybei priklausančių patalpų eksploatacinių ir kitų išlaidų padengimas</t>
  </si>
  <si>
    <t>Organizuoti savivaldybės veiklos bendrųjų funkcijų vykdymą</t>
  </si>
  <si>
    <t>1</t>
  </si>
  <si>
    <t>5</t>
  </si>
  <si>
    <t xml:space="preserve">Savivaldybei priklausančių statinių esamos techninės būklės įvertinimo paslaugų įsigijimas 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</si>
  <si>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</si>
  <si>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</si>
  <si>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</si>
  <si>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 TIKSLŲ, UŽDAVINIŲ, PRIEMONIŲ IR PRIEMONIŲ IŠLAIDŲ SUVESTINĖ</t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</si>
  <si>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</si>
  <si>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t>SB(SP)</t>
  </si>
  <si>
    <t>03 Savivaldybės valdymo programa</t>
  </si>
  <si>
    <t>Projekto „Klaipėdos miesto savivaldybės administracijos darbuotojų ir savivaldybės tarybos narių kvalifikacijos tobulinimas, II etapas“ įgyvendinimas</t>
  </si>
  <si>
    <t>Gerinti gyventojų aptarnavimo ir darbuotojų darbo sąlygas Savivaldybės administracijoje</t>
  </si>
  <si>
    <t>Diegti Savivaldybės administracijoje modernias informacines sistemas ir plėsti elektroninių paslaugų spektrą</t>
  </si>
  <si>
    <t>Objektų rengimas privatizavimui, privatizavimo programų rengimas, objektų privatizavimo organizavimas</t>
  </si>
  <si>
    <t>Produkto kriterijaus</t>
  </si>
  <si>
    <t>2015-ieji metai</t>
  </si>
  <si>
    <t>Mokymų dalyvių skaičius</t>
  </si>
  <si>
    <t>Namų administratorių, teikiančių paslaugas, skaičius</t>
  </si>
  <si>
    <t>Teisės skyrius</t>
  </si>
  <si>
    <t>Dokumentų valdymo skyrius</t>
  </si>
  <si>
    <t>Prisijungimų skaičius prie GRT sistemos, tūkst. kartų</t>
  </si>
  <si>
    <t>I</t>
  </si>
  <si>
    <t>Personalo skyrius</t>
  </si>
  <si>
    <t>Strateginio planavimo skyrius</t>
  </si>
  <si>
    <t>Viešosios tvarkos skyrius</t>
  </si>
  <si>
    <t>Savivaldybės tarybos sekretoriato darbuotojų skaičius</t>
  </si>
  <si>
    <t>Pastatų, kuriuose yra savivaldybei priklausančios negyvenamosios patalpos, bendro naudojimo objektų remonto išlaidų padengimas</t>
  </si>
  <si>
    <t>Savivaldybės administracijos veiklos užtikrinimas:</t>
  </si>
  <si>
    <t>Savivaldybės administracijos direktoriaus rezervas</t>
  </si>
  <si>
    <t>2016-ųjų metų lėšų projektas</t>
  </si>
  <si>
    <t>Asignavimų valdytojų kodų klasifikatorius*</t>
  </si>
  <si>
    <t xml:space="preserve">                              Pavadinimas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</si>
  <si>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</si>
  <si>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</si>
  <si>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</si>
  <si>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</si>
  <si>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</si>
  <si>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</si>
  <si>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</si>
  <si>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</si>
  <si>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</si>
  <si>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</si>
  <si>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</si>
  <si>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</si>
  <si>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>* patvirtinta Klaipėdos miesto savivaldybės administracijos direktoriaus 2011-02-24 įsakymu Nr. AD1-384</t>
  </si>
  <si>
    <t>Ūkio skyrius</t>
  </si>
  <si>
    <t>Per ataskaitinį laikotarpį užbaigtų bylų skaičius</t>
  </si>
  <si>
    <t>Išsiųstų laiškų skaičius, tūkst.</t>
  </si>
  <si>
    <t>Iš viso priemonei:</t>
  </si>
  <si>
    <t>Atlikta inžinerinių tinklų matavimų, km</t>
  </si>
  <si>
    <t>Perduota inžinerinių tinklų, km</t>
  </si>
  <si>
    <t>Projekto „Efektyvios valdymo paslaugos žmonėms“  įgyvendinimas</t>
  </si>
  <si>
    <t>2016-ieji metai</t>
  </si>
  <si>
    <t>Pasirašytų paskolų sutarčių skaičius</t>
  </si>
  <si>
    <t>P3.4.3.1</t>
  </si>
  <si>
    <t>Viešųjų ryšių paslaugų, skirtų savivaldybės veiklai viešinti ir įvaizdžio strategijai sukurti ir įgyvendinti, įsigijimas</t>
  </si>
  <si>
    <t>P3.4.2.2.</t>
  </si>
  <si>
    <t>P.3.4.3.1.</t>
  </si>
  <si>
    <t>Administracinio pastato, esančio Liepų g. 7, Klaipėdoje, atnaujinimas (modernizavimas), sumažinant energijos suvartojimo sąnaudas</t>
  </si>
  <si>
    <t>LRVB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</si>
  <si>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</si>
  <si>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</si>
  <si>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 xml:space="preserve">Rinkodaros ir reprezentacinių  priemonių vykdymas </t>
  </si>
  <si>
    <t>Lietuvos savivaldybių asociacija (LSA)</t>
  </si>
  <si>
    <t>P3.4.1.1,P3.4.2.1, P3.4.1.4</t>
  </si>
  <si>
    <t>Kontrolės ir audito tarnybos finansinio, ūkinio bei materialinio aptarnavimo užtikrinimas</t>
  </si>
  <si>
    <t>Viešosios tvarkos skyriaus naudojamų transporto priemonių išlaikymas</t>
  </si>
  <si>
    <t>Dalyvio mokestis už narystę Lietuvos savivaldybių asociacijoje  (LSA)</t>
  </si>
  <si>
    <t>FTD Apskaitos skyrius</t>
  </si>
  <si>
    <t>FTD Mokesčių skyrius</t>
  </si>
  <si>
    <t>IED Tarptautinių ryšių, verslo plėtros ir turizmo skyrius</t>
  </si>
  <si>
    <t>FTD Finansų sk.</t>
  </si>
  <si>
    <t>FTD Turto skyrius</t>
  </si>
  <si>
    <t>IED Tarptautinių ryšių, verslo plėtros ir turizmo sk.</t>
  </si>
  <si>
    <t>UPD  Statybos leidimų ir statinių priežiūros skyrius</t>
  </si>
  <si>
    <t>IED Projektų skyrius</t>
  </si>
  <si>
    <t>Informavimo ir e.paslaugų skyrius</t>
  </si>
  <si>
    <t>SB(VR)</t>
  </si>
  <si>
    <r>
      <t xml:space="preserve">Savivaldybės biudžeto rinkliavos lėšos </t>
    </r>
    <r>
      <rPr>
        <b/>
        <sz val="10"/>
        <rFont val="Times New Roman"/>
        <family val="1"/>
        <charset val="186"/>
      </rPr>
      <t>SB(VR)</t>
    </r>
  </si>
  <si>
    <t>Nupirkta spaudos ploto   dienraščiuose, psl.</t>
  </si>
  <si>
    <t>VALDYMO PROGRAMOS (NR. 3)</t>
  </si>
  <si>
    <t>P3.4.1.1.</t>
  </si>
  <si>
    <t>Ūkio tarnyba</t>
  </si>
  <si>
    <t>Savivaldybės administracijos reikmėms naudojamų pastatų ir patalpų einamasis remontas:</t>
  </si>
  <si>
    <t>Savivaldybės tarybos sekretoriato finansinio, ūkinio bei materialinio aptarnavimo užtikrinimas</t>
  </si>
  <si>
    <t>Savivaldybei nuosavybės teise priklausančio ir patikėjimo teise valdomo turto valdymas, naudojimas ir disponavimas:</t>
  </si>
  <si>
    <t>Dalyvavimas vietinių ir tarptautinių organizacijų veikloje:</t>
  </si>
  <si>
    <t>Savivaldybės administracijos darbuotojų skaičius</t>
  </si>
  <si>
    <t>Perkeltų paslaugų skaičius, vnt.</t>
  </si>
  <si>
    <t>Savivaldybės tarybos narių skaičius</t>
  </si>
  <si>
    <t>Kontrolės ir audito tarnybos darbuotojų skaičius</t>
  </si>
  <si>
    <t xml:space="preserve">Eksploatuojamų kompiuterių skaičius, vnt. </t>
  </si>
  <si>
    <t>Korespondencijos siuntimo paštu organizavimas, spaudinių prenumerata</t>
  </si>
  <si>
    <t>Viešųjų ryšių plėtojimas:</t>
  </si>
  <si>
    <r>
      <t xml:space="preserve">Savivaldybės biudžeto privatizavimo fondo lėšos </t>
    </r>
    <r>
      <rPr>
        <b/>
        <sz val="10"/>
        <rFont val="Times New Roman"/>
        <family val="1"/>
        <charset val="186"/>
      </rPr>
      <t>SB(PF)</t>
    </r>
  </si>
  <si>
    <t>Išmokos seniūnaičiams</t>
  </si>
  <si>
    <t>Prisijungimų skaičius prie Registrų centro sistemos, tūkst. kartų</t>
  </si>
  <si>
    <t>IED Licencijų, leidimų ir vartotojų teisių apsaugos skyrius</t>
  </si>
  <si>
    <t>Parengtas techninis projektas, vnt.</t>
  </si>
  <si>
    <t>Valstybės deleguotų funkcijų vykdymas:</t>
  </si>
  <si>
    <t>Žemės ūkio priemonių vykdymas</t>
  </si>
  <si>
    <t>Darbo rinkos politikos priemonių vykdymas</t>
  </si>
  <si>
    <t>Vykdoma sutartis su Klaipėdos rajono savivaldybe, vnt.</t>
  </si>
  <si>
    <t>Įdarbinta asmenų, vnt.</t>
  </si>
  <si>
    <t>Mero reprezentacinių priemonių vykdymas (Mero fondo naudojimas)</t>
  </si>
  <si>
    <t>Nekilnojamojo turto matavimai ir  teisinė registracija</t>
  </si>
  <si>
    <t>Automobilių statymo aikštelės prie „Švyturio“ arenos apšvietimo išlaidų dengimas ir energetinių išteklių išlaidų kompensavimas UAB „Klaipėdos arena“</t>
  </si>
  <si>
    <t>Projekto „Interaktyvių elektroninių paslaugų plėtra ir prieinamumas“ įgyvendinimas</t>
  </si>
  <si>
    <t>Projekto „Centralizuotas savivaldybių paslaugų perkėlimas į elektroninę erdvę“ įgyvendinimas</t>
  </si>
  <si>
    <t>Dalyvavimas projekte „Besikeičiantys miestai: bendradarbiavimas miestų plėtros srityje“</t>
  </si>
  <si>
    <t>Pastato Laukininkų g. 19A fasado einamasis remontas</t>
  </si>
  <si>
    <t>Įsigyta IT įrangos, vnt.</t>
  </si>
  <si>
    <t>Įrengta skaitmeninių e. kioskų, vnt.</t>
  </si>
  <si>
    <t>Veiklos plano tikslo kodas</t>
  </si>
  <si>
    <t>Papriemonės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</si>
  <si>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</si>
  <si>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Vykdytojas (skyrius / asmuo)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</si>
  <si>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</si>
  <si>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</si>
  <si>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</si>
  <si>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</si>
  <si>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r>
      <t xml:space="preserve">2014–2017 M. KLAIPĖDOS MIESTO SAVIVALDYBĖS </t>
    </r>
    <r>
      <rPr>
        <b/>
        <sz val="11"/>
        <rFont val="Times New Roman"/>
        <family val="1"/>
        <charset val="186"/>
      </rPr>
      <t xml:space="preserve">                       
VALDYMO PROGRAMOS (NR. 03)</t>
    </r>
  </si>
  <si>
    <t>2016-ųjų m. lėšų poreikis</t>
  </si>
  <si>
    <t>2017-ųjų m. lėšų poreikis</t>
  </si>
  <si>
    <t>Savivaldybės administracijos veiklos užtikrinimas (pastatų eksploatacija, materialinis aprūpinimas)</t>
  </si>
  <si>
    <t>SB(SPL)</t>
  </si>
  <si>
    <t>SB(L)</t>
  </si>
  <si>
    <t>2017-ieji metai</t>
  </si>
  <si>
    <t>Daugiabučių gyvenamųjų namų žemės nuomos mokesčio paskirstymo ir administravimo paslaugos pirkimas</t>
  </si>
  <si>
    <t>Pateiktų suvest. duomenų apie nekilnojamojo turto vertes, proc.</t>
  </si>
  <si>
    <t>Atlikta apklausų, tyrimų, vnt.</t>
  </si>
  <si>
    <t>Informacijos sklaida žiniasklaidos priemonėse, savivaldybės skelbimų publikavimas</t>
  </si>
  <si>
    <t>Įsigytų paslaugų skaičius, vnt.</t>
  </si>
  <si>
    <t>9/40</t>
  </si>
  <si>
    <t>10/45</t>
  </si>
  <si>
    <t>Turimos programinės įrangos priežiūra ir konsultavimas</t>
  </si>
  <si>
    <t>Programinės įrangos naudojimo licencijų nuoma</t>
  </si>
  <si>
    <t>Pastato Liepų g. 7 I aukšto bei rūsio patalpų einamasis remontas</t>
  </si>
  <si>
    <t>Pastato Liepų g. 11  patalpų einamasis remontas (parketo atnaujinimas, laminuotos grindų dangos atnaujinimas, kabinetų remontas)</t>
  </si>
  <si>
    <t>Pastato Liepų g. 11  fasado remontas</t>
  </si>
  <si>
    <t>Pagal poreikį įsigytų aprangos komplektų skaičius, vnt.</t>
  </si>
  <si>
    <t>1/31</t>
  </si>
  <si>
    <t>Apmokėjimas už advokatų ir antstolių paslaugas</t>
  </si>
  <si>
    <t xml:space="preserve">Įdiegta projektų valdymo informacinė sistema, vnt. </t>
  </si>
  <si>
    <t>Atlikti kelių ir aikštelių matavimai, km</t>
  </si>
  <si>
    <t>Remontuojamų objektų kiekis, vnt.</t>
  </si>
  <si>
    <t>Savivaldybės kontroliuojamų įmonių įstatinio kapitalo didinimas, perduodant inžinerinius tinklus funkcijoms vykdyti</t>
  </si>
  <si>
    <t xml:space="preserve">Parengta projektų, vnt. </t>
  </si>
  <si>
    <t>Privatizuota objektų, vnt.</t>
  </si>
  <si>
    <t xml:space="preserve">Savivaldybės nekilnojamojo turto  (negyvenamoji paskirtis) remontas </t>
  </si>
  <si>
    <t>Turto valdymo dokumentų rengimas (galimybių studijos, ekspertizės ir kt.)</t>
  </si>
  <si>
    <t>Likviduota įmonių, vnt.</t>
  </si>
  <si>
    <t xml:space="preserve">Nerentabiliai veikiančių įmonių likvidavimas </t>
  </si>
  <si>
    <t xml:space="preserve">Dalyvavimas tarptautinių organizacijų,  miestų partnerių organizuojamuose tarptautiniuose renginiuose </t>
  </si>
  <si>
    <t>Savivaldybės nenaudojamų (neeksploatuojamų) statinių   nugriovimas ir jų inžinerinių tinklų techninės būklės palaikymas (nugriovimas)</t>
  </si>
  <si>
    <t>Parengtos baseino operatoriaus parinkimo konkurso salygos ir galimybių studija</t>
  </si>
  <si>
    <t>Privatizuota gyvenamųjų patalpų ir jų priklausinių, vnt.</t>
  </si>
  <si>
    <t>Įrengtas LED ekranas</t>
  </si>
  <si>
    <t>Atlikti pastato modernizavimo darbai, užbaigtumas, proc.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</si>
  <si>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</si>
  <si>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Informavimo ir e. paslaugų skyrius</t>
  </si>
  <si>
    <t>Pastato Liepų g. 11 stogo remontas</t>
  </si>
  <si>
    <t>Kiti finansavimo šaltiniai Kt</t>
  </si>
  <si>
    <t xml:space="preserve">MŪD </t>
  </si>
  <si>
    <t>2/20</t>
  </si>
  <si>
    <t>1/20</t>
  </si>
  <si>
    <t xml:space="preserve">Dalyvio mokestis už narystę   tarptautinių organizacijų veikloje  (Cruise Baltic – CB, EUROCITIES, Union of the Baltic Cities – UBC, Baltic Sail,  European Cities Against Drugs – ECAD, World Health Organization – WHO,  Kommunnes Internasjonale Miljøorganisasjon – KIMO)   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</si>
  <si>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</si>
  <si>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 m. asignavimų planas</t>
  </si>
  <si>
    <t xml:space="preserve">                              1-10</t>
  </si>
  <si>
    <t>Pašalpų ir kompensacijų administravimas</t>
  </si>
  <si>
    <t>Organizuota renginių, vnt.</t>
  </si>
  <si>
    <t>2</t>
  </si>
  <si>
    <t>Apmokėta ieškinių, vnt.</t>
  </si>
  <si>
    <t>Įsigyta atminimo ženklų, vnt</t>
  </si>
  <si>
    <t>Kompiuterinė ir organizacinė technika</t>
  </si>
  <si>
    <t>Kompiuterinė ir organizacinė technika Liepų g. 7</t>
  </si>
  <si>
    <t>Licencijų pirkimas</t>
  </si>
  <si>
    <t>Žemės nuomos mokesčio skaičiavimo informacinės sistemos MASIS naujos versijos pirkimas</t>
  </si>
  <si>
    <t>Išnuomota IT įrangos</t>
  </si>
  <si>
    <t>Įsigyta licencijų, vnt.</t>
  </si>
  <si>
    <t>Įsigyta IS</t>
  </si>
  <si>
    <t>Išnuomota  programinės įrangos licencijų, vnt.</t>
  </si>
  <si>
    <t>Kompiuterinės ir organizacinės technikos bei licencijų įsigijimas:</t>
  </si>
  <si>
    <t>Kompiuterinės ir organizacinės technikos eksploatavimas:</t>
  </si>
  <si>
    <t>Teismo išlaidų apmokėjimas</t>
  </si>
  <si>
    <t>Mokymų (valstybės tarnautojų įvadiniai mokymai, specifiniai mokymai atestatams ir licencijoms įgyti) organizavimas</t>
  </si>
  <si>
    <r>
      <t xml:space="preserve">Viešosios tvarkos skyriaus materialinis aprūpinimas </t>
    </r>
    <r>
      <rPr>
        <sz val="10"/>
        <rFont val="Times New Roman"/>
        <family val="1"/>
        <charset val="186"/>
      </rPr>
      <t xml:space="preserve">(pašto, kanceliarinių prekių bei tarnybinės aprangos įsigijimas) </t>
    </r>
  </si>
  <si>
    <t>VIKT paslaugų  (internetinis ryšys, kompiuterinių duomenų perdavimas) įsigijimas</t>
  </si>
  <si>
    <t xml:space="preserve">Programinės įrangos naudojimo licencijų nuoma Biudžetinių įstaigų centralizuotos apskaitos skyriui (Liepų g. 7) </t>
  </si>
  <si>
    <t>Techninis aptarnavimas (spausdintuvų, biuro įrangos remonto darbai, profilaktinė priežiūra) pagal poreikį ir faktą</t>
  </si>
  <si>
    <t>Pastato Kanto g. 11 (Vaiko teisių apsaugos tarnyba) patalpų einamasis remontas, elektros instaliacijos modernizavimas</t>
  </si>
  <si>
    <t>Pastato Laukininkų g. 19A (Socialinės paramos skyrius) fasado einamasis remontas</t>
  </si>
  <si>
    <t>Informacinių technologijų palaikymas ir plėtojimas Savivaldybės administracijoje</t>
  </si>
  <si>
    <t>Kompiuterinės ir organizacinės technikos bei licencijų įsigijimas</t>
  </si>
  <si>
    <t>Kompiuterinės ir organizacinės technikos eksploatavimas</t>
  </si>
  <si>
    <t>11/125</t>
  </si>
  <si>
    <t>/180</t>
  </si>
  <si>
    <t>/250</t>
  </si>
  <si>
    <r>
      <rPr>
        <b/>
        <sz val="10"/>
        <rFont val="Times New Roman"/>
        <family val="1"/>
        <charset val="186"/>
      </rPr>
      <t>Priemonių, mažinančių administracinę naštą juridiniams ir fiziniams asmenims, taikymas</t>
    </r>
    <r>
      <rPr>
        <sz val="10"/>
        <rFont val="Times New Roman"/>
        <family val="1"/>
        <charset val="186"/>
      </rPr>
      <t xml:space="preserve"> (Licencijų ir leidimų išdavimo, proceso valdymo ir kontrolės sistemos sukūrimas)</t>
    </r>
  </si>
  <si>
    <r>
      <t>Priemonių, mažinančių administracinę naštą juridiniams ir fiziniams asmenims, taikymas</t>
    </r>
    <r>
      <rPr>
        <sz val="10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Licencijų ir leidimų išdavimo, proceso valdymo ir kontrolės sistemos sukūrimas)</t>
    </r>
  </si>
  <si>
    <t>Perkeltų į elektroninę erdvę paslaugų skaičius, vnt.</t>
  </si>
  <si>
    <t>Įrengtas LED ekranas, vnt.</t>
  </si>
  <si>
    <t>Savivaldybės administracijos darbuotojų etatų skaičius</t>
  </si>
  <si>
    <t>Per ataskaitinį laikotarpį užbaigtų bylų (teismuose) skaičius</t>
  </si>
  <si>
    <t>Parengtos baseino operatoriaus parinkimo konkurso salygos ir galimybių studija, vnt.</t>
  </si>
  <si>
    <t>Planas</t>
  </si>
  <si>
    <t xml:space="preserve">Eksploatuojama programa / IS vartotojų skaičius </t>
  </si>
  <si>
    <t>Renginių, kuriuose dalyvauta, skaičius</t>
  </si>
  <si>
    <t>Tarptautinių organizacijų, kurių narė yra Klaipėdos miesto savivaldybė,  skaičius</t>
  </si>
  <si>
    <t>Organizuota mokymų temų, skaičius / mokymų dalyvių skaičius</t>
  </si>
  <si>
    <t>Teisiškai įregistruotų objektų skaičius vnt.</t>
  </si>
  <si>
    <t>Atlikta kelių ir aikštelių matavimų, km</t>
  </si>
  <si>
    <t>Prižiūrimų objektų skaičius, vnt.</t>
  </si>
  <si>
    <t>Eksploatuojama žibintų, apšviečiančių aikšteles, skaičius</t>
  </si>
  <si>
    <t>Parengta UAB „Senasis turgus“ veiklos gerinimo galimybių studija, vnt.</t>
  </si>
  <si>
    <t>Suremontuotos patalpos Daukanto g. 24 ir Herkaus Manto g. 47, vnt.</t>
  </si>
  <si>
    <t>Nugriauta statinių, vnt. / prižiūrima inžinerinių tinklų, km</t>
  </si>
  <si>
    <t>Įvertinta pastatų, skaičius</t>
  </si>
  <si>
    <t>Įsigyta ar išnuomota IT įrangos, vnt.</t>
  </si>
  <si>
    <t>Konferencijų, kuriose dalyvauta, skaičius</t>
  </si>
  <si>
    <r>
      <t>Organizuota renginių (1990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>1995 m. Klaipėdos miesto tarybos 25-mečio paminėjimo renginys, Savivaldos diena), vnt.</t>
    </r>
  </si>
  <si>
    <r>
      <t>Suremontuota stogo ploto (Liepų g. 11), m</t>
    </r>
    <r>
      <rPr>
        <sz val="10"/>
        <rFont val="Calibri"/>
        <family val="2"/>
        <charset val="186"/>
      </rPr>
      <t>²</t>
    </r>
  </si>
  <si>
    <r>
      <t>Suremontuota patalpų pastate Liepų g. 7, m</t>
    </r>
    <r>
      <rPr>
        <sz val="10"/>
        <rFont val="Calibri"/>
        <family val="2"/>
        <charset val="186"/>
      </rPr>
      <t>²</t>
    </r>
  </si>
  <si>
    <r>
      <t>Suremontuota fasado ploto,  m</t>
    </r>
    <r>
      <rPr>
        <sz val="10"/>
        <rFont val="Calibri"/>
        <family val="2"/>
        <charset val="186"/>
      </rPr>
      <t>²</t>
    </r>
  </si>
  <si>
    <r>
      <t>Suremontuota parketo ploto, m</t>
    </r>
    <r>
      <rPr>
        <sz val="10"/>
        <rFont val="Calibri"/>
        <family val="2"/>
        <charset val="186"/>
      </rPr>
      <t>²</t>
    </r>
  </si>
  <si>
    <r>
      <t>Pakeista laminuotos grindų dangos ploto, m</t>
    </r>
    <r>
      <rPr>
        <sz val="10"/>
        <rFont val="Calibri"/>
        <family val="2"/>
        <charset val="186"/>
      </rPr>
      <t>²</t>
    </r>
  </si>
  <si>
    <r>
      <t>Suremontuota kabinetų ploto, m</t>
    </r>
    <r>
      <rPr>
        <sz val="10"/>
        <rFont val="Calibri"/>
        <family val="2"/>
        <charset val="186"/>
      </rPr>
      <t>²</t>
    </r>
  </si>
  <si>
    <r>
      <t>Suremontuota patalpų ploto, m</t>
    </r>
    <r>
      <rPr>
        <sz val="10"/>
        <rFont val="Calibri"/>
        <family val="2"/>
        <charset val="186"/>
      </rPr>
      <t>²</t>
    </r>
  </si>
  <si>
    <r>
      <t>Suremontuota fasado ploto (Laukininkų g. 19A), m</t>
    </r>
    <r>
      <rPr>
        <sz val="10"/>
        <rFont val="Calibri"/>
        <family val="2"/>
        <charset val="186"/>
      </rPr>
      <t>²</t>
    </r>
  </si>
  <si>
    <t xml:space="preserve">Dalyvio mokestis už narystę  tarptautinių organizacijų veikloje  (Cruise Baltic – CB, EUROCITIES, Union of the Baltic Cities – UBC, Baltic Sail,  European Cities Against Drugs – ECAD, World Health Organization – WHO,  Kommunnes Internasjonale Miljøorganisasjon – KIMO)   </t>
  </si>
  <si>
    <t>Gyvenamųjų patalpų ir jų priklausinių, taip pat pagalbinės paskirties pastatų, jų dalių privatizavimo dokumentų rengimas</t>
  </si>
  <si>
    <t>Savivaldybės nenaudojamų (neeksploatuojamų) statinių  nugriovimas ir jų inžinerinių tinklų techninės būklės palaikymas (nugriovimas)</t>
  </si>
  <si>
    <t>Pastato I. Kanto g. 11  patalpų einamasis remontas, elektros instaliacijos modernizavimas</t>
  </si>
  <si>
    <t>Eur</t>
  </si>
  <si>
    <t>Organizuota mokymų temų, skaičius / Mokymų dalyvių skaičius, vnt.</t>
  </si>
  <si>
    <t>Įsigyta suvenyrinių knygų fotoalbumų, vnt.</t>
  </si>
  <si>
    <t>Eksploatuojama ir remontuojama automobilių, skaičius</t>
  </si>
  <si>
    <t>Aprūpintų seniūnaičių skaičius</t>
  </si>
  <si>
    <t>Tarptautinių organizacijų, kurių narė yra Klaipėdos miesto savivaldybė, skaičius</t>
  </si>
  <si>
    <t>Teisiškai įregistruotų objektų skaičius, vnt.</t>
  </si>
  <si>
    <t>Parengta UAB „Senasis turgus“ veiklos gerinimo galimybių studija</t>
  </si>
  <si>
    <t>Suremontuoti Daukanto g. 24 ir Herkaus Manto g. 47 objektai, vnt.</t>
  </si>
  <si>
    <t>Nugriauta statinių, vnt. / Prižiūrima inžinerinių tinklų, km</t>
  </si>
  <si>
    <t>Suremontuota stogo ploto (Liepų g. 11), m²</t>
  </si>
  <si>
    <t>Suremontuota fasado ploto,  m²</t>
  </si>
  <si>
    <t>Suremontuota parketo ploto, m²</t>
  </si>
  <si>
    <t>Pakeista laminuotos grindų dangos ploto, m²</t>
  </si>
  <si>
    <t>Suremontuota kabinetų ploto, m²</t>
  </si>
  <si>
    <t>Suremontuota patalpų ploto, m²</t>
  </si>
  <si>
    <t>Suremontuota fasado ploto (Laukininkų g. 19A), m²</t>
  </si>
  <si>
    <t>Savivaldybės administracijos veiklos užtikrinimas (darbo užmokestis)</t>
  </si>
  <si>
    <t>Gyventojų apklausos, nuomonių tyrimai</t>
  </si>
  <si>
    <t>Atstovavimo teismuose ir teismų sprendimų vykdymo organizavimas bei teismo išlaidų apmokėjimas:</t>
  </si>
  <si>
    <t>VšĮ „Klaipėdos šventės“ vietinės rinkliavos administravimo apmokėjimas (15 % nuo surinktos rinkliavos)</t>
  </si>
  <si>
    <t>Naudojimasis „Regitros“, Registrų centro, Gyventojų registro tarnybos informacinėmis duomenų bazėmis</t>
  </si>
  <si>
    <t>Administracinių teisės aktų pažeidimų protokolų valdymo sistemos įdiegimas ir eksploatavimas</t>
  </si>
  <si>
    <t>Nekilnojamojo turto matavimai ir teisinė registracija</t>
  </si>
  <si>
    <t>Eksploatacinių medžiagų (spausdintuvų kasetės, rašalai ir dažai), kompiuterinių dalių ir priedų įsigijimas</t>
  </si>
  <si>
    <t>Eksploatacinių medžiagų Biudžetinių įstaigų centralizuotos apskaitos skyriui (Liepų g. 7) įsigijimas</t>
  </si>
  <si>
    <t xml:space="preserve">Lyginamasis variantas </t>
  </si>
  <si>
    <t>Siūlomas keisti 2015-ųjų metų asignavimų planas</t>
  </si>
  <si>
    <t>Skirtumas</t>
  </si>
  <si>
    <t>2015-ųjų metų asignavimų planas*</t>
  </si>
  <si>
    <r>
      <t>2015 M. KLAIPĖDOS MIESTO SAVIVALDYBĖS ADMINISTRACIJOS</t>
    </r>
    <r>
      <rPr>
        <b/>
        <sz val="11"/>
        <rFont val="Times New Roman"/>
        <family val="1"/>
        <charset val="186"/>
      </rPr>
      <t xml:space="preserve">                      
VALDYMO PROGRAMOS (NR. 03)</t>
    </r>
  </si>
  <si>
    <t>Apskaitos kodas</t>
  </si>
  <si>
    <t>Indėlio kriterijaus</t>
  </si>
  <si>
    <t>P.3.4.3.1</t>
  </si>
  <si>
    <t>Statybos leidimų ir statinių priežiūros skyrius</t>
  </si>
  <si>
    <t>Teisės    skyrius</t>
  </si>
  <si>
    <t>P3.4.2.2</t>
  </si>
  <si>
    <t>P3.4.1.1</t>
  </si>
  <si>
    <t>Įvykdytų rinkodaros ir reprezentacinių priemonių, skaičius</t>
  </si>
  <si>
    <t>Nupirkta spaudos ploto dienraščiuose, psl.</t>
  </si>
  <si>
    <r>
      <t xml:space="preserve">2015–2017 M. KLAIPĖDOS MIESTO SAVIVALDYBĖS </t>
    </r>
    <r>
      <rPr>
        <b/>
        <sz val="12"/>
        <rFont val="Times New Roman"/>
        <family val="1"/>
        <charset val="186"/>
      </rPr>
      <t xml:space="preserve">                       
VALDYMO PROGRAMOS (NR. 03)</t>
    </r>
  </si>
  <si>
    <t xml:space="preserve">Atnaujinta Turgaus g. 21 pastato siena, vnt. </t>
  </si>
  <si>
    <t>Savivaldybės administracijos veiklos užtikrinimas</t>
  </si>
  <si>
    <t>Teritorijų prie nenaudojamų savivaldybės pastatų tvarkymas</t>
  </si>
  <si>
    <t>Prižiūrimos teritorijos plotas, ha</t>
  </si>
  <si>
    <t>1,28</t>
  </si>
  <si>
    <t>Demontuota ir remontuota stoginių konstrukcijų Vingio g. ir Taikos pr., m2</t>
  </si>
  <si>
    <t>Savivaldybės administracijos veiklos užtikrinimas (darbo užmokestis, socialinio draudimo įmokos)</t>
  </si>
  <si>
    <t>Kompensacijų administravimas</t>
  </si>
  <si>
    <t>03.01010105</t>
  </si>
  <si>
    <t>03.01010123</t>
  </si>
  <si>
    <t>03.01010133</t>
  </si>
  <si>
    <t>03.01010136</t>
  </si>
  <si>
    <t>03.010401</t>
  </si>
  <si>
    <t>03.01010101</t>
  </si>
  <si>
    <t>03.010102</t>
  </si>
  <si>
    <t>03.010103</t>
  </si>
  <si>
    <t>03.00</t>
  </si>
  <si>
    <t>03.05</t>
  </si>
  <si>
    <t>03.010110</t>
  </si>
  <si>
    <t>03.0101013719</t>
  </si>
  <si>
    <t xml:space="preserve"> 03.020101</t>
  </si>
  <si>
    <t>03.010109</t>
  </si>
  <si>
    <t>03.020001</t>
  </si>
  <si>
    <t>03.030101</t>
  </si>
  <si>
    <t>03.030105</t>
  </si>
  <si>
    <t xml:space="preserve">03.03010201 </t>
  </si>
  <si>
    <t>03.0101013706</t>
  </si>
  <si>
    <t>03.020101</t>
  </si>
  <si>
    <t xml:space="preserve"> 03.010201</t>
  </si>
  <si>
    <t>03.010204</t>
  </si>
  <si>
    <t>03.010205</t>
  </si>
  <si>
    <t>03.010307</t>
  </si>
  <si>
    <t>03.010306</t>
  </si>
  <si>
    <t>03.010504</t>
  </si>
  <si>
    <t>03.010502</t>
  </si>
  <si>
    <t>03.010301</t>
  </si>
  <si>
    <t>03.04010101, 03.04010102</t>
  </si>
  <si>
    <t>03.01010131</t>
  </si>
  <si>
    <t>03.01010130</t>
  </si>
  <si>
    <t>03.01010104</t>
  </si>
  <si>
    <r>
      <t xml:space="preserve">Programų lėšų likučių lėšos </t>
    </r>
    <r>
      <rPr>
        <b/>
        <sz val="10"/>
        <rFont val="Times New Roman"/>
        <family val="1"/>
        <charset val="186"/>
      </rPr>
      <t>SB(L)</t>
    </r>
  </si>
  <si>
    <t>SB(VRL)</t>
  </si>
  <si>
    <r>
      <t>Vietinių rinkliavų lėšų likutis</t>
    </r>
    <r>
      <rPr>
        <b/>
        <sz val="10"/>
        <rFont val="Times New Roman"/>
        <family val="1"/>
        <charset val="186"/>
      </rPr>
      <t xml:space="preserve"> SB(VRL)</t>
    </r>
  </si>
  <si>
    <r>
      <t xml:space="preserve">Programų lėšų likučių apyvartinės lėšos </t>
    </r>
    <r>
      <rPr>
        <b/>
        <sz val="10"/>
        <rFont val="Times New Roman"/>
        <family val="1"/>
        <charset val="186"/>
      </rPr>
      <t>SB(L)</t>
    </r>
  </si>
  <si>
    <r>
      <t xml:space="preserve">Pajamų įmokų už patalpų nuomą likutis </t>
    </r>
    <r>
      <rPr>
        <b/>
        <sz val="10"/>
        <rFont val="Times New Roman"/>
        <family val="1"/>
        <charset val="186"/>
      </rPr>
      <t>SB(SPL)</t>
    </r>
  </si>
  <si>
    <t>PATVIRTINTA
Klaipėdos miesto savivaldybės administracijos direktoriaus 2015 m.                                                      įsakymu Nr. AD1-</t>
  </si>
  <si>
    <t>VALDYMO PROGRAMOS (NR. 03)</t>
  </si>
  <si>
    <t>Įvykdytų rinkodaros ir reprezentacinių priemonių skaičius</t>
  </si>
  <si>
    <t>* pagal Klaipėdos miesto savivaldybės tarybos sprendimus: 2014-12-18 Nr. T2-336; 2015-02-09 Nr. T2-12, T2-13</t>
  </si>
  <si>
    <r>
      <t xml:space="preserve">Vietinės rinkliavos lėšų likutis </t>
    </r>
    <r>
      <rPr>
        <b/>
        <sz val="10"/>
        <rFont val="Times New Roman"/>
        <family val="1"/>
        <charset val="186"/>
      </rPr>
      <t>SB(VRL)</t>
    </r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</si>
  <si>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SB(KPP)</t>
    </r>
  </si>
  <si>
    <t>SB(KPP)</t>
  </si>
  <si>
    <t>Prižiūrimos teritorijos prie nenaudojamų savivaldybei priskirtų pastatų  plotas,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</si>
</sst>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L_t_-;\-* #,##0.00\ _L_t_-;_-* &quot;-&quot;??\ _L_t_-;_-@_-"/>
    <numFmt numFmtId="164" formatCode="0.0"/>
    <numFmt numFmtId="165" formatCode="#,##0.0"/>
  </numFmts>
  <fonts count="37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sz val="10"/>
      <color theme="3" tint="0.39997558519241921"/>
      <name val="Times New Roman"/>
      <family val="1"/>
      <charset val="186"/>
    </font>
    <font>
      <sz val="10"/>
      <name val="Calibri"/>
      <family val="2"/>
      <charset val="186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7"/>
      <name val="Arial"/>
      <family val="2"/>
      <charset val="186"/>
    </font>
    <font>
      <b/>
      <sz val="10"/>
      <color rgb="FFFF000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3" fillId="0" borderId="0"/>
    <xf numFmtId="0" fontId="15" fillId="0" borderId="0"/>
    <xf numFmtId="0" fontId="13" fillId="0" borderId="0"/>
    <xf numFmtId="43" fontId="1" fillId="0" borderId="0" applyFont="0" applyFill="0" applyBorder="0" applyAlignment="0" applyProtection="0"/>
    <xf numFmtId="0" fontId="22" fillId="0" borderId="0"/>
    <xf numFmtId="0" fontId="14" fillId="0" borderId="0"/>
  </cellStyleXfs>
  <cellXfs count="2211">
    <xf numFmtId="0" fontId="0" fillId="0" borderId="0" xfId="0"/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49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10" fillId="0" borderId="0" xfId="0" applyNumberFormat="1" applyFont="1" applyBorder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49" fontId="11" fillId="2" borderId="42" xfId="0" applyNumberFormat="1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11" fillId="2" borderId="24" xfId="0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Alignment="1">
      <alignment vertical="top"/>
    </xf>
    <xf numFmtId="164" fontId="9" fillId="0" borderId="0" xfId="0" applyNumberFormat="1" applyFont="1" applyBorder="1" applyAlignment="1">
      <alignment vertical="top"/>
    </xf>
    <xf numFmtId="0" fontId="9" fillId="0" borderId="12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57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49" fontId="11" fillId="2" borderId="58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right" vertical="top"/>
    </xf>
    <xf numFmtId="49" fontId="9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164" fontId="11" fillId="3" borderId="0" xfId="0" applyNumberFormat="1" applyFont="1" applyFill="1" applyBorder="1" applyAlignment="1">
      <alignment horizontal="center" vertical="top"/>
    </xf>
    <xf numFmtId="164" fontId="9" fillId="3" borderId="34" xfId="0" applyNumberFormat="1" applyFont="1" applyFill="1" applyBorder="1" applyAlignment="1">
      <alignment vertical="top"/>
    </xf>
    <xf numFmtId="164" fontId="9" fillId="0" borderId="33" xfId="0" applyNumberFormat="1" applyFont="1" applyFill="1" applyBorder="1" applyAlignment="1">
      <alignment vertical="top"/>
    </xf>
    <xf numFmtId="164" fontId="9" fillId="0" borderId="34" xfId="0" applyNumberFormat="1" applyFont="1" applyFill="1" applyBorder="1" applyAlignment="1">
      <alignment vertical="top"/>
    </xf>
    <xf numFmtId="164" fontId="9" fillId="0" borderId="35" xfId="0" applyNumberFormat="1" applyFont="1" applyFill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164" fontId="9" fillId="3" borderId="38" xfId="0" applyNumberFormat="1" applyFont="1" applyFill="1" applyBorder="1" applyAlignment="1">
      <alignment vertical="top"/>
    </xf>
    <xf numFmtId="164" fontId="9" fillId="0" borderId="38" xfId="0" applyNumberFormat="1" applyFont="1" applyFill="1" applyBorder="1" applyAlignment="1">
      <alignment vertical="top"/>
    </xf>
    <xf numFmtId="164" fontId="9" fillId="0" borderId="2" xfId="0" applyNumberFormat="1" applyFont="1" applyBorder="1" applyAlignment="1">
      <alignment vertical="top"/>
    </xf>
    <xf numFmtId="164" fontId="9" fillId="0" borderId="2" xfId="0" applyNumberFormat="1" applyFont="1" applyFill="1" applyBorder="1" applyAlignment="1">
      <alignment vertical="top"/>
    </xf>
    <xf numFmtId="164" fontId="11" fillId="2" borderId="21" xfId="0" applyNumberFormat="1" applyFont="1" applyFill="1" applyBorder="1" applyAlignment="1">
      <alignment vertical="top"/>
    </xf>
    <xf numFmtId="164" fontId="9" fillId="0" borderId="26" xfId="0" applyNumberFormat="1" applyFont="1" applyFill="1" applyBorder="1" applyAlignment="1">
      <alignment vertical="top"/>
    </xf>
    <xf numFmtId="164" fontId="9" fillId="0" borderId="26" xfId="0" applyNumberFormat="1" applyFont="1" applyBorder="1" applyAlignment="1">
      <alignment vertical="top"/>
    </xf>
    <xf numFmtId="164" fontId="9" fillId="0" borderId="27" xfId="0" applyNumberFormat="1" applyFont="1" applyBorder="1" applyAlignment="1">
      <alignment vertical="top"/>
    </xf>
    <xf numFmtId="164" fontId="9" fillId="0" borderId="12" xfId="0" applyNumberFormat="1" applyFont="1" applyFill="1" applyBorder="1" applyAlignment="1">
      <alignment vertical="top"/>
    </xf>
    <xf numFmtId="164" fontId="11" fillId="2" borderId="24" xfId="0" applyNumberFormat="1" applyFont="1" applyFill="1" applyBorder="1" applyAlignment="1">
      <alignment vertical="top"/>
    </xf>
    <xf numFmtId="164" fontId="9" fillId="0" borderId="34" xfId="0" applyNumberFormat="1" applyFont="1" applyBorder="1" applyAlignment="1">
      <alignment vertical="top"/>
    </xf>
    <xf numFmtId="164" fontId="9" fillId="0" borderId="35" xfId="0" applyNumberFormat="1" applyFont="1" applyBorder="1" applyAlignment="1">
      <alignment vertical="top"/>
    </xf>
    <xf numFmtId="164" fontId="9" fillId="0" borderId="1" xfId="0" applyNumberFormat="1" applyFont="1" applyFill="1" applyBorder="1" applyAlignment="1">
      <alignment vertical="top"/>
    </xf>
    <xf numFmtId="164" fontId="9" fillId="0" borderId="11" xfId="0" applyNumberFormat="1" applyFont="1" applyBorder="1" applyAlignment="1">
      <alignment vertical="top"/>
    </xf>
    <xf numFmtId="164" fontId="9" fillId="0" borderId="8" xfId="0" applyNumberFormat="1" applyFont="1" applyBorder="1" applyAlignment="1">
      <alignment vertical="top"/>
    </xf>
    <xf numFmtId="164" fontId="9" fillId="0" borderId="62" xfId="0" applyNumberFormat="1" applyFont="1" applyBorder="1" applyAlignment="1">
      <alignment vertical="top"/>
    </xf>
    <xf numFmtId="164" fontId="9" fillId="0" borderId="15" xfId="0" applyNumberFormat="1" applyFont="1" applyFill="1" applyBorder="1" applyAlignment="1">
      <alignment vertical="top"/>
    </xf>
    <xf numFmtId="164" fontId="9" fillId="4" borderId="39" xfId="0" applyNumberFormat="1" applyFont="1" applyFill="1" applyBorder="1" applyAlignment="1">
      <alignment vertical="top"/>
    </xf>
    <xf numFmtId="164" fontId="9" fillId="4" borderId="38" xfId="0" applyNumberFormat="1" applyFont="1" applyFill="1" applyBorder="1" applyAlignment="1">
      <alignment vertical="top"/>
    </xf>
    <xf numFmtId="164" fontId="9" fillId="4" borderId="62" xfId="0" applyNumberFormat="1" applyFont="1" applyFill="1" applyBorder="1" applyAlignment="1">
      <alignment vertical="top"/>
    </xf>
    <xf numFmtId="164" fontId="9" fillId="0" borderId="43" xfId="0" applyNumberFormat="1" applyFont="1" applyBorder="1" applyAlignment="1">
      <alignment vertical="top"/>
    </xf>
    <xf numFmtId="164" fontId="9" fillId="4" borderId="25" xfId="0" applyNumberFormat="1" applyFont="1" applyFill="1" applyBorder="1" applyAlignment="1">
      <alignment vertical="top"/>
    </xf>
    <xf numFmtId="164" fontId="9" fillId="4" borderId="26" xfId="0" applyNumberFormat="1" applyFont="1" applyFill="1" applyBorder="1" applyAlignment="1">
      <alignment vertical="top"/>
    </xf>
    <xf numFmtId="164" fontId="9" fillId="0" borderId="37" xfId="0" applyNumberFormat="1" applyFont="1" applyFill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0" fontId="9" fillId="0" borderId="25" xfId="0" applyFont="1" applyBorder="1" applyAlignment="1">
      <alignment vertical="top" wrapText="1"/>
    </xf>
    <xf numFmtId="0" fontId="9" fillId="0" borderId="33" xfId="0" applyFont="1" applyBorder="1" applyAlignment="1">
      <alignment vertical="top" wrapText="1"/>
    </xf>
    <xf numFmtId="164" fontId="9" fillId="3" borderId="0" xfId="0" applyNumberFormat="1" applyFont="1" applyFill="1" applyBorder="1" applyAlignment="1">
      <alignment vertical="top"/>
    </xf>
    <xf numFmtId="164" fontId="9" fillId="4" borderId="20" xfId="0" applyNumberFormat="1" applyFont="1" applyFill="1" applyBorder="1" applyAlignment="1">
      <alignment vertical="top"/>
    </xf>
    <xf numFmtId="164" fontId="9" fillId="4" borderId="40" xfId="0" applyNumberFormat="1" applyFont="1" applyFill="1" applyBorder="1" applyAlignment="1">
      <alignment vertical="top"/>
    </xf>
    <xf numFmtId="0" fontId="8" fillId="0" borderId="3" xfId="0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top" wrapText="1"/>
    </xf>
    <xf numFmtId="0" fontId="11" fillId="3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9" fillId="0" borderId="26" xfId="0" applyNumberFormat="1" applyFont="1" applyBorder="1" applyAlignment="1">
      <alignment horizontal="center" vertical="top"/>
    </xf>
    <xf numFmtId="0" fontId="9" fillId="0" borderId="27" xfId="0" applyNumberFormat="1" applyFont="1" applyBorder="1" applyAlignment="1">
      <alignment horizontal="center" vertical="top"/>
    </xf>
    <xf numFmtId="0" fontId="9" fillId="0" borderId="38" xfId="0" applyNumberFormat="1" applyFont="1" applyBorder="1" applyAlignment="1">
      <alignment horizontal="center" vertical="top"/>
    </xf>
    <xf numFmtId="0" fontId="9" fillId="0" borderId="62" xfId="0" applyNumberFormat="1" applyFont="1" applyBorder="1" applyAlignment="1">
      <alignment horizontal="center" vertical="top"/>
    </xf>
    <xf numFmtId="0" fontId="9" fillId="0" borderId="29" xfId="0" applyNumberFormat="1" applyFont="1" applyBorder="1" applyAlignment="1">
      <alignment horizontal="center" vertical="top"/>
    </xf>
    <xf numFmtId="0" fontId="9" fillId="0" borderId="36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0" fontId="9" fillId="3" borderId="0" xfId="0" applyNumberFormat="1" applyFont="1" applyFill="1" applyBorder="1" applyAlignment="1">
      <alignment horizontal="center" vertical="top"/>
    </xf>
    <xf numFmtId="164" fontId="9" fillId="4" borderId="33" xfId="0" applyNumberFormat="1" applyFont="1" applyFill="1" applyBorder="1" applyAlignment="1">
      <alignment vertical="top"/>
    </xf>
    <xf numFmtId="164" fontId="9" fillId="4" borderId="34" xfId="0" applyNumberFormat="1" applyFont="1" applyFill="1" applyBorder="1" applyAlignment="1">
      <alignment vertical="top"/>
    </xf>
    <xf numFmtId="164" fontId="9" fillId="4" borderId="52" xfId="0" applyNumberFormat="1" applyFont="1" applyFill="1" applyBorder="1" applyAlignment="1">
      <alignment vertical="top"/>
    </xf>
    <xf numFmtId="49" fontId="11" fillId="2" borderId="40" xfId="0" applyNumberFormat="1" applyFont="1" applyFill="1" applyBorder="1" applyAlignment="1">
      <alignment vertical="top"/>
    </xf>
    <xf numFmtId="49" fontId="11" fillId="2" borderId="44" xfId="0" applyNumberFormat="1" applyFont="1" applyFill="1" applyBorder="1" applyAlignment="1">
      <alignment vertical="top"/>
    </xf>
    <xf numFmtId="49" fontId="11" fillId="0" borderId="0" xfId="0" applyNumberFormat="1" applyFont="1" applyFill="1" applyBorder="1" applyAlignment="1">
      <alignment horizontal="center" vertical="top"/>
    </xf>
    <xf numFmtId="49" fontId="11" fillId="0" borderId="23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164" fontId="9" fillId="0" borderId="22" xfId="0" applyNumberFormat="1" applyFont="1" applyBorder="1" applyAlignment="1">
      <alignment vertical="top"/>
    </xf>
    <xf numFmtId="0" fontId="9" fillId="4" borderId="6" xfId="0" applyFont="1" applyFill="1" applyBorder="1" applyAlignment="1">
      <alignment horizontal="center" vertical="top"/>
    </xf>
    <xf numFmtId="164" fontId="9" fillId="4" borderId="35" xfId="0" applyNumberFormat="1" applyFont="1" applyFill="1" applyBorder="1" applyAlignment="1">
      <alignment vertical="top"/>
    </xf>
    <xf numFmtId="164" fontId="9" fillId="4" borderId="27" xfId="0" applyNumberFormat="1" applyFont="1" applyFill="1" applyBorder="1" applyAlignment="1">
      <alignment vertical="top"/>
    </xf>
    <xf numFmtId="164" fontId="9" fillId="4" borderId="41" xfId="0" applyNumberFormat="1" applyFont="1" applyFill="1" applyBorder="1" applyAlignment="1">
      <alignment vertical="top"/>
    </xf>
    <xf numFmtId="164" fontId="9" fillId="4" borderId="51" xfId="0" applyNumberFormat="1" applyFont="1" applyFill="1" applyBorder="1" applyAlignment="1">
      <alignment vertical="top"/>
    </xf>
    <xf numFmtId="0" fontId="7" fillId="0" borderId="40" xfId="0" applyFont="1" applyFill="1" applyBorder="1" applyAlignment="1">
      <alignment vertical="top" wrapText="1"/>
    </xf>
    <xf numFmtId="49" fontId="9" fillId="0" borderId="40" xfId="0" applyNumberFormat="1" applyFont="1" applyBorder="1" applyAlignment="1">
      <alignment vertical="top"/>
    </xf>
    <xf numFmtId="0" fontId="7" fillId="0" borderId="44" xfId="0" applyFont="1" applyFill="1" applyBorder="1" applyAlignment="1">
      <alignment vertical="top" wrapText="1"/>
    </xf>
    <xf numFmtId="49" fontId="9" fillId="0" borderId="44" xfId="0" applyNumberFormat="1" applyFont="1" applyBorder="1" applyAlignment="1">
      <alignment vertical="top"/>
    </xf>
    <xf numFmtId="0" fontId="9" fillId="4" borderId="16" xfId="0" applyNumberFormat="1" applyFont="1" applyFill="1" applyBorder="1" applyAlignment="1">
      <alignment horizontal="center" vertical="top"/>
    </xf>
    <xf numFmtId="0" fontId="9" fillId="4" borderId="55" xfId="0" applyNumberFormat="1" applyFont="1" applyFill="1" applyBorder="1" applyAlignment="1">
      <alignment horizontal="center" vertical="top"/>
    </xf>
    <xf numFmtId="49" fontId="11" fillId="7" borderId="24" xfId="0" applyNumberFormat="1" applyFont="1" applyFill="1" applyBorder="1" applyAlignment="1">
      <alignment horizontal="center" vertical="top"/>
    </xf>
    <xf numFmtId="0" fontId="18" fillId="0" borderId="0" xfId="0" applyFont="1"/>
    <xf numFmtId="0" fontId="18" fillId="0" borderId="38" xfId="0" applyFont="1" applyBorder="1" applyAlignment="1">
      <alignment horizontal="center" vertical="top" wrapText="1"/>
    </xf>
    <xf numFmtId="0" fontId="18" fillId="0" borderId="38" xfId="0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0" fontId="9" fillId="3" borderId="0" xfId="0" applyFont="1" applyFill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9" fillId="0" borderId="46" xfId="0" applyFont="1" applyBorder="1" applyAlignment="1">
      <alignment vertical="top" wrapText="1"/>
    </xf>
    <xf numFmtId="0" fontId="9" fillId="0" borderId="51" xfId="0" applyNumberFormat="1" applyFont="1" applyBorder="1" applyAlignment="1">
      <alignment horizontal="center" vertical="top"/>
    </xf>
    <xf numFmtId="0" fontId="9" fillId="0" borderId="50" xfId="0" applyNumberFormat="1" applyFont="1" applyBorder="1" applyAlignment="1">
      <alignment horizontal="center" vertical="top"/>
    </xf>
    <xf numFmtId="0" fontId="9" fillId="4" borderId="39" xfId="0" applyFont="1" applyFill="1" applyBorder="1" applyAlignment="1">
      <alignment vertical="top" wrapText="1"/>
    </xf>
    <xf numFmtId="0" fontId="9" fillId="0" borderId="0" xfId="4" applyNumberFormat="1" applyFont="1" applyBorder="1" applyAlignment="1">
      <alignment horizontal="center" vertical="top" wrapText="1"/>
    </xf>
    <xf numFmtId="0" fontId="9" fillId="0" borderId="60" xfId="0" applyFont="1" applyBorder="1" applyAlignment="1">
      <alignment vertical="top" wrapText="1"/>
    </xf>
    <xf numFmtId="0" fontId="9" fillId="0" borderId="52" xfId="0" applyNumberFormat="1" applyFont="1" applyBorder="1" applyAlignment="1">
      <alignment horizontal="center" vertical="top"/>
    </xf>
    <xf numFmtId="164" fontId="9" fillId="0" borderId="34" xfId="0" applyNumberFormat="1" applyFont="1" applyFill="1" applyBorder="1" applyAlignment="1">
      <alignment horizontal="center" vertical="top"/>
    </xf>
    <xf numFmtId="164" fontId="9" fillId="4" borderId="34" xfId="0" applyNumberFormat="1" applyFont="1" applyFill="1" applyBorder="1" applyAlignment="1">
      <alignment horizontal="center" vertical="top"/>
    </xf>
    <xf numFmtId="164" fontId="9" fillId="0" borderId="12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9" fillId="0" borderId="52" xfId="0" applyNumberFormat="1" applyFont="1" applyBorder="1" applyAlignment="1">
      <alignment vertical="top"/>
    </xf>
    <xf numFmtId="0" fontId="3" fillId="0" borderId="12" xfId="0" applyFont="1" applyFill="1" applyBorder="1" applyAlignment="1">
      <alignment horizontal="center" vertical="top" wrapText="1"/>
    </xf>
    <xf numFmtId="0" fontId="9" fillId="4" borderId="19" xfId="0" applyNumberFormat="1" applyFont="1" applyFill="1" applyBorder="1" applyAlignment="1">
      <alignment horizontal="center" vertical="top"/>
    </xf>
    <xf numFmtId="0" fontId="9" fillId="4" borderId="44" xfId="0" applyNumberFormat="1" applyFont="1" applyFill="1" applyBorder="1" applyAlignment="1">
      <alignment horizontal="center" vertical="top"/>
    </xf>
    <xf numFmtId="0" fontId="9" fillId="4" borderId="51" xfId="0" applyNumberFormat="1" applyFont="1" applyFill="1" applyBorder="1" applyAlignment="1">
      <alignment horizontal="center" vertical="top"/>
    </xf>
    <xf numFmtId="0" fontId="9" fillId="4" borderId="39" xfId="0" applyFont="1" applyFill="1" applyBorder="1" applyAlignment="1">
      <alignment horizontal="left" vertical="top" wrapText="1"/>
    </xf>
    <xf numFmtId="0" fontId="9" fillId="4" borderId="38" xfId="0" applyNumberFormat="1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 wrapText="1"/>
    </xf>
    <xf numFmtId="49" fontId="11" fillId="0" borderId="44" xfId="0" applyNumberFormat="1" applyFont="1" applyFill="1" applyBorder="1" applyAlignment="1">
      <alignment horizontal="center" vertical="top"/>
    </xf>
    <xf numFmtId="49" fontId="9" fillId="0" borderId="56" xfId="0" applyNumberFormat="1" applyFont="1" applyFill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vertical="top" wrapText="1"/>
    </xf>
    <xf numFmtId="49" fontId="11" fillId="0" borderId="23" xfId="0" applyNumberFormat="1" applyFont="1" applyBorder="1" applyAlignment="1">
      <alignment horizontal="center" vertical="top" wrapText="1"/>
    </xf>
    <xf numFmtId="0" fontId="9" fillId="4" borderId="26" xfId="0" applyNumberFormat="1" applyFont="1" applyFill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/>
    </xf>
    <xf numFmtId="164" fontId="11" fillId="7" borderId="15" xfId="0" applyNumberFormat="1" applyFont="1" applyFill="1" applyBorder="1" applyAlignment="1">
      <alignment horizontal="center" vertical="top" wrapText="1"/>
    </xf>
    <xf numFmtId="0" fontId="9" fillId="5" borderId="44" xfId="0" applyFont="1" applyFill="1" applyBorder="1" applyAlignment="1">
      <alignment vertical="top"/>
    </xf>
    <xf numFmtId="164" fontId="9" fillId="0" borderId="28" xfId="0" applyNumberFormat="1" applyFont="1" applyFill="1" applyBorder="1" applyAlignment="1">
      <alignment vertical="top"/>
    </xf>
    <xf numFmtId="164" fontId="9" fillId="0" borderId="44" xfId="0" applyNumberFormat="1" applyFont="1" applyFill="1" applyBorder="1" applyAlignment="1">
      <alignment vertical="top"/>
    </xf>
    <xf numFmtId="164" fontId="11" fillId="0" borderId="44" xfId="0" applyNumberFormat="1" applyFont="1" applyFill="1" applyBorder="1" applyAlignment="1">
      <alignment vertical="top"/>
    </xf>
    <xf numFmtId="164" fontId="9" fillId="0" borderId="54" xfId="0" applyNumberFormat="1" applyFont="1" applyFill="1" applyBorder="1" applyAlignment="1">
      <alignment vertical="top"/>
    </xf>
    <xf numFmtId="0" fontId="9" fillId="0" borderId="11" xfId="0" applyFont="1" applyBorder="1" applyAlignment="1">
      <alignment horizontal="center" vertical="top"/>
    </xf>
    <xf numFmtId="164" fontId="9" fillId="4" borderId="33" xfId="0" applyNumberFormat="1" applyFont="1" applyFill="1" applyBorder="1" applyAlignment="1">
      <alignment horizontal="right" vertical="top"/>
    </xf>
    <xf numFmtId="164" fontId="9" fillId="4" borderId="34" xfId="0" applyNumberFormat="1" applyFont="1" applyFill="1" applyBorder="1" applyAlignment="1">
      <alignment horizontal="right" vertical="top"/>
    </xf>
    <xf numFmtId="164" fontId="9" fillId="4" borderId="35" xfId="0" applyNumberFormat="1" applyFont="1" applyFill="1" applyBorder="1" applyAlignment="1">
      <alignment horizontal="right" vertical="top"/>
    </xf>
    <xf numFmtId="164" fontId="3" fillId="4" borderId="33" xfId="0" applyNumberFormat="1" applyFont="1" applyFill="1" applyBorder="1" applyAlignment="1">
      <alignment horizontal="center" vertical="top"/>
    </xf>
    <xf numFmtId="164" fontId="3" fillId="4" borderId="34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64" fontId="3" fillId="0" borderId="34" xfId="0" applyNumberFormat="1" applyFont="1" applyFill="1" applyBorder="1" applyAlignment="1">
      <alignment horizontal="center" vertical="top"/>
    </xf>
    <xf numFmtId="164" fontId="3" fillId="0" borderId="35" xfId="0" applyNumberFormat="1" applyFont="1" applyFill="1" applyBorder="1" applyAlignment="1">
      <alignment horizontal="center" vertical="top"/>
    </xf>
    <xf numFmtId="164" fontId="3" fillId="0" borderId="33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49" fontId="11" fillId="2" borderId="17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9" fillId="4" borderId="27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164" fontId="9" fillId="0" borderId="76" xfId="0" applyNumberFormat="1" applyFont="1" applyFill="1" applyBorder="1" applyAlignment="1">
      <alignment vertical="top"/>
    </xf>
    <xf numFmtId="0" fontId="5" fillId="0" borderId="33" xfId="0" applyFont="1" applyFill="1" applyBorder="1" applyAlignment="1">
      <alignment horizontal="left" vertical="top" wrapText="1"/>
    </xf>
    <xf numFmtId="164" fontId="9" fillId="0" borderId="67" xfId="0" applyNumberFormat="1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center" vertical="top"/>
    </xf>
    <xf numFmtId="0" fontId="9" fillId="4" borderId="67" xfId="0" applyFont="1" applyFill="1" applyBorder="1" applyAlignment="1">
      <alignment horizontal="center" vertical="top"/>
    </xf>
    <xf numFmtId="165" fontId="3" fillId="0" borderId="25" xfId="0" applyNumberFormat="1" applyFont="1" applyFill="1" applyBorder="1" applyAlignment="1">
      <alignment horizontal="center" vertical="top"/>
    </xf>
    <xf numFmtId="165" fontId="3" fillId="0" borderId="26" xfId="0" applyNumberFormat="1" applyFont="1" applyFill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center" vertical="top"/>
    </xf>
    <xf numFmtId="164" fontId="3" fillId="0" borderId="27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165" fontId="3" fillId="0" borderId="44" xfId="0" applyNumberFormat="1" applyFont="1" applyFill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center" vertical="top"/>
    </xf>
    <xf numFmtId="164" fontId="3" fillId="0" borderId="54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top" wrapText="1"/>
    </xf>
    <xf numFmtId="0" fontId="9" fillId="4" borderId="62" xfId="0" applyNumberFormat="1" applyFont="1" applyFill="1" applyBorder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top"/>
    </xf>
    <xf numFmtId="164" fontId="9" fillId="0" borderId="12" xfId="0" applyNumberFormat="1" applyFont="1" applyBorder="1" applyAlignment="1">
      <alignment vertical="top"/>
    </xf>
    <xf numFmtId="0" fontId="9" fillId="0" borderId="16" xfId="0" applyNumberFormat="1" applyFont="1" applyBorder="1" applyAlignment="1">
      <alignment horizontal="center" vertical="top"/>
    </xf>
    <xf numFmtId="0" fontId="9" fillId="0" borderId="55" xfId="0" applyNumberFormat="1" applyFont="1" applyBorder="1" applyAlignment="1">
      <alignment horizontal="center" vertical="top"/>
    </xf>
    <xf numFmtId="164" fontId="3" fillId="0" borderId="25" xfId="0" applyNumberFormat="1" applyFont="1" applyFill="1" applyBorder="1" applyAlignment="1">
      <alignment horizontal="center" vertical="top"/>
    </xf>
    <xf numFmtId="164" fontId="3" fillId="4" borderId="26" xfId="0" applyNumberFormat="1" applyFont="1" applyFill="1" applyBorder="1" applyAlignment="1">
      <alignment horizontal="center" vertical="top"/>
    </xf>
    <xf numFmtId="164" fontId="3" fillId="4" borderId="27" xfId="0" applyNumberFormat="1" applyFont="1" applyFill="1" applyBorder="1" applyAlignment="1">
      <alignment horizontal="center" vertical="top"/>
    </xf>
    <xf numFmtId="164" fontId="3" fillId="4" borderId="12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/>
    </xf>
    <xf numFmtId="0" fontId="9" fillId="0" borderId="44" xfId="0" applyNumberFormat="1" applyFont="1" applyBorder="1" applyAlignment="1">
      <alignment horizontal="center" vertical="top"/>
    </xf>
    <xf numFmtId="0" fontId="9" fillId="0" borderId="54" xfId="0" applyNumberFormat="1" applyFont="1" applyBorder="1" applyAlignment="1">
      <alignment horizontal="center" vertical="top"/>
    </xf>
    <xf numFmtId="165" fontId="7" fillId="0" borderId="26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7" fillId="0" borderId="27" xfId="0" applyNumberFormat="1" applyFont="1" applyFill="1" applyBorder="1" applyAlignment="1">
      <alignment horizontal="center" vertical="top"/>
    </xf>
    <xf numFmtId="165" fontId="7" fillId="0" borderId="38" xfId="0" applyNumberFormat="1" applyFont="1" applyFill="1" applyBorder="1" applyAlignment="1">
      <alignment horizontal="center" vertical="top"/>
    </xf>
    <xf numFmtId="164" fontId="7" fillId="0" borderId="38" xfId="0" applyNumberFormat="1" applyFont="1" applyFill="1" applyBorder="1" applyAlignment="1">
      <alignment horizontal="center" vertical="top"/>
    </xf>
    <xf numFmtId="164" fontId="7" fillId="0" borderId="62" xfId="0" applyNumberFormat="1" applyFont="1" applyFill="1" applyBorder="1" applyAlignment="1">
      <alignment horizontal="center" vertical="top"/>
    </xf>
    <xf numFmtId="49" fontId="11" fillId="2" borderId="66" xfId="0" applyNumberFormat="1" applyFont="1" applyFill="1" applyBorder="1" applyAlignment="1">
      <alignment horizontal="center" vertical="top"/>
    </xf>
    <xf numFmtId="49" fontId="11" fillId="2" borderId="78" xfId="0" applyNumberFormat="1" applyFont="1" applyFill="1" applyBorder="1" applyAlignment="1">
      <alignment horizontal="center" vertical="top"/>
    </xf>
    <xf numFmtId="164" fontId="25" fillId="4" borderId="0" xfId="0" applyNumberFormat="1" applyFont="1" applyFill="1" applyAlignment="1">
      <alignment vertical="top"/>
    </xf>
    <xf numFmtId="164" fontId="3" fillId="0" borderId="1" xfId="0" applyNumberFormat="1" applyFont="1" applyFill="1" applyBorder="1" applyAlignment="1">
      <alignment horizontal="right" vertical="top"/>
    </xf>
    <xf numFmtId="49" fontId="9" fillId="0" borderId="19" xfId="0" applyNumberFormat="1" applyFont="1" applyBorder="1" applyAlignment="1">
      <alignment vertical="top"/>
    </xf>
    <xf numFmtId="49" fontId="11" fillId="2" borderId="66" xfId="0" applyNumberFormat="1" applyFont="1" applyFill="1" applyBorder="1" applyAlignment="1">
      <alignment vertical="top"/>
    </xf>
    <xf numFmtId="49" fontId="11" fillId="2" borderId="77" xfId="0" applyNumberFormat="1" applyFont="1" applyFill="1" applyBorder="1" applyAlignment="1">
      <alignment vertical="top"/>
    </xf>
    <xf numFmtId="49" fontId="11" fillId="4" borderId="0" xfId="0" applyNumberFormat="1" applyFont="1" applyFill="1" applyBorder="1" applyAlignment="1">
      <alignment vertical="top"/>
    </xf>
    <xf numFmtId="49" fontId="11" fillId="4" borderId="22" xfId="0" applyNumberFormat="1" applyFont="1" applyFill="1" applyBorder="1" applyAlignment="1">
      <alignment vertical="top"/>
    </xf>
    <xf numFmtId="0" fontId="9" fillId="4" borderId="38" xfId="0" applyFont="1" applyFill="1" applyBorder="1" applyAlignment="1">
      <alignment horizontal="center" vertical="top"/>
    </xf>
    <xf numFmtId="165" fontId="9" fillId="0" borderId="12" xfId="0" applyNumberFormat="1" applyFont="1" applyFill="1" applyBorder="1" applyAlignment="1">
      <alignment vertical="top"/>
    </xf>
    <xf numFmtId="165" fontId="9" fillId="0" borderId="11" xfId="0" applyNumberFormat="1" applyFont="1" applyFill="1" applyBorder="1" applyAlignment="1">
      <alignment vertical="top"/>
    </xf>
    <xf numFmtId="49" fontId="11" fillId="2" borderId="51" xfId="0" applyNumberFormat="1" applyFont="1" applyFill="1" applyBorder="1" applyAlignment="1">
      <alignment horizontal="left" vertical="top"/>
    </xf>
    <xf numFmtId="164" fontId="11" fillId="8" borderId="30" xfId="0" applyNumberFormat="1" applyFont="1" applyFill="1" applyBorder="1" applyAlignment="1">
      <alignment vertical="top"/>
    </xf>
    <xf numFmtId="164" fontId="11" fillId="8" borderId="29" xfId="0" applyNumberFormat="1" applyFont="1" applyFill="1" applyBorder="1" applyAlignment="1">
      <alignment vertical="top"/>
    </xf>
    <xf numFmtId="164" fontId="11" fillId="8" borderId="21" xfId="0" applyNumberFormat="1" applyFont="1" applyFill="1" applyBorder="1" applyAlignment="1">
      <alignment vertical="top"/>
    </xf>
    <xf numFmtId="164" fontId="11" fillId="8" borderId="31" xfId="0" applyNumberFormat="1" applyFont="1" applyFill="1" applyBorder="1" applyAlignment="1">
      <alignment vertical="top"/>
    </xf>
    <xf numFmtId="164" fontId="11" fillId="8" borderId="16" xfId="0" applyNumberFormat="1" applyFont="1" applyFill="1" applyBorder="1" applyAlignment="1">
      <alignment vertical="top"/>
    </xf>
    <xf numFmtId="164" fontId="11" fillId="8" borderId="55" xfId="0" applyNumberFormat="1" applyFont="1" applyFill="1" applyBorder="1" applyAlignment="1">
      <alignment vertical="top"/>
    </xf>
    <xf numFmtId="164" fontId="11" fillId="8" borderId="45" xfId="0" applyNumberFormat="1" applyFont="1" applyFill="1" applyBorder="1" applyAlignment="1">
      <alignment vertical="top"/>
    </xf>
    <xf numFmtId="164" fontId="2" fillId="8" borderId="64" xfId="0" applyNumberFormat="1" applyFont="1" applyFill="1" applyBorder="1" applyAlignment="1">
      <alignment horizontal="center" vertical="center"/>
    </xf>
    <xf numFmtId="164" fontId="2" fillId="8" borderId="29" xfId="0" applyNumberFormat="1" applyFont="1" applyFill="1" applyBorder="1" applyAlignment="1">
      <alignment horizontal="center" vertical="center"/>
    </xf>
    <xf numFmtId="164" fontId="2" fillId="8" borderId="36" xfId="0" applyNumberFormat="1" applyFont="1" applyFill="1" applyBorder="1" applyAlignment="1">
      <alignment horizontal="center" vertical="center"/>
    </xf>
    <xf numFmtId="164" fontId="11" fillId="8" borderId="63" xfId="0" applyNumberFormat="1" applyFont="1" applyFill="1" applyBorder="1" applyAlignment="1">
      <alignment vertical="top"/>
    </xf>
    <xf numFmtId="0" fontId="11" fillId="8" borderId="5" xfId="0" applyFont="1" applyFill="1" applyBorder="1" applyAlignment="1">
      <alignment horizontal="right" vertical="top" wrapText="1"/>
    </xf>
    <xf numFmtId="164" fontId="11" fillId="8" borderId="5" xfId="0" applyNumberFormat="1" applyFont="1" applyFill="1" applyBorder="1" applyAlignment="1">
      <alignment vertical="top"/>
    </xf>
    <xf numFmtId="0" fontId="11" fillId="8" borderId="10" xfId="0" applyFont="1" applyFill="1" applyBorder="1" applyAlignment="1">
      <alignment horizontal="right" vertical="top" wrapText="1"/>
    </xf>
    <xf numFmtId="164" fontId="11" fillId="8" borderId="10" xfId="0" applyNumberFormat="1" applyFont="1" applyFill="1" applyBorder="1" applyAlignment="1">
      <alignment horizontal="center" vertical="top"/>
    </xf>
    <xf numFmtId="164" fontId="11" fillId="8" borderId="5" xfId="0" applyNumberFormat="1" applyFont="1" applyFill="1" applyBorder="1" applyAlignment="1">
      <alignment horizontal="center" vertical="top"/>
    </xf>
    <xf numFmtId="0" fontId="11" fillId="8" borderId="4" xfId="0" applyFont="1" applyFill="1" applyBorder="1" applyAlignment="1">
      <alignment horizontal="right" vertical="top" wrapText="1"/>
    </xf>
    <xf numFmtId="164" fontId="11" fillId="8" borderId="14" xfId="0" applyNumberFormat="1" applyFont="1" applyFill="1" applyBorder="1" applyAlignment="1">
      <alignment vertical="top"/>
    </xf>
    <xf numFmtId="0" fontId="11" fillId="8" borderId="57" xfId="0" applyFont="1" applyFill="1" applyBorder="1" applyAlignment="1">
      <alignment horizontal="center" vertical="top" wrapText="1"/>
    </xf>
    <xf numFmtId="0" fontId="16" fillId="8" borderId="5" xfId="0" applyFont="1" applyFill="1" applyBorder="1" applyAlignment="1">
      <alignment horizontal="center" vertical="top"/>
    </xf>
    <xf numFmtId="164" fontId="2" fillId="8" borderId="5" xfId="0" applyNumberFormat="1" applyFont="1" applyFill="1" applyBorder="1" applyAlignment="1">
      <alignment horizontal="center" vertical="center" wrapText="1"/>
    </xf>
    <xf numFmtId="164" fontId="2" fillId="8" borderId="14" xfId="0" applyNumberFormat="1" applyFont="1" applyFill="1" applyBorder="1" applyAlignment="1">
      <alignment horizontal="center" vertical="center"/>
    </xf>
    <xf numFmtId="164" fontId="2" fillId="8" borderId="5" xfId="0" applyNumberFormat="1" applyFont="1" applyFill="1" applyBorder="1" applyAlignment="1">
      <alignment horizontal="center" vertical="center"/>
    </xf>
    <xf numFmtId="164" fontId="11" fillId="8" borderId="64" xfId="0" applyNumberFormat="1" applyFont="1" applyFill="1" applyBorder="1" applyAlignment="1">
      <alignment vertical="top"/>
    </xf>
    <xf numFmtId="0" fontId="9" fillId="5" borderId="30" xfId="0" applyFont="1" applyFill="1" applyBorder="1" applyAlignment="1">
      <alignment vertical="top"/>
    </xf>
    <xf numFmtId="0" fontId="9" fillId="5" borderId="29" xfId="0" applyNumberFormat="1" applyFont="1" applyFill="1" applyBorder="1" applyAlignment="1">
      <alignment horizontal="center" vertical="top"/>
    </xf>
    <xf numFmtId="0" fontId="9" fillId="5" borderId="36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/>
    </xf>
    <xf numFmtId="0" fontId="10" fillId="0" borderId="31" xfId="0" applyNumberFormat="1" applyFont="1" applyBorder="1" applyAlignment="1">
      <alignment horizontal="center" vertical="top"/>
    </xf>
    <xf numFmtId="0" fontId="10" fillId="0" borderId="32" xfId="0" applyNumberFormat="1" applyFont="1" applyBorder="1" applyAlignment="1">
      <alignment horizontal="center" vertical="top"/>
    </xf>
    <xf numFmtId="0" fontId="9" fillId="5" borderId="13" xfId="0" applyFont="1" applyFill="1" applyBorder="1" applyAlignment="1">
      <alignment vertical="top"/>
    </xf>
    <xf numFmtId="0" fontId="9" fillId="5" borderId="71" xfId="0" applyNumberFormat="1" applyFont="1" applyFill="1" applyBorder="1" applyAlignment="1">
      <alignment horizontal="center" vertical="top"/>
    </xf>
    <xf numFmtId="0" fontId="9" fillId="4" borderId="54" xfId="0" applyNumberFormat="1" applyFont="1" applyFill="1" applyBorder="1" applyAlignment="1">
      <alignment horizontal="center" vertical="top"/>
    </xf>
    <xf numFmtId="164" fontId="9" fillId="8" borderId="2" xfId="0" applyNumberFormat="1" applyFont="1" applyFill="1" applyBorder="1" applyAlignment="1">
      <alignment horizontal="center" vertical="top" wrapText="1"/>
    </xf>
    <xf numFmtId="164" fontId="11" fillId="8" borderId="10" xfId="0" applyNumberFormat="1" applyFont="1" applyFill="1" applyBorder="1" applyAlignment="1">
      <alignment horizontal="center" vertical="top" wrapText="1"/>
    </xf>
    <xf numFmtId="164" fontId="11" fillId="8" borderId="21" xfId="0" applyNumberFormat="1" applyFont="1" applyFill="1" applyBorder="1" applyAlignment="1">
      <alignment horizontal="center" vertical="top"/>
    </xf>
    <xf numFmtId="164" fontId="11" fillId="8" borderId="31" xfId="0" applyNumberFormat="1" applyFont="1" applyFill="1" applyBorder="1" applyAlignment="1">
      <alignment horizontal="center" vertical="top"/>
    </xf>
    <xf numFmtId="49" fontId="9" fillId="0" borderId="51" xfId="0" applyNumberFormat="1" applyFont="1" applyBorder="1" applyAlignment="1">
      <alignment horizontal="center" vertical="top"/>
    </xf>
    <xf numFmtId="0" fontId="6" fillId="0" borderId="59" xfId="0" applyFont="1" applyFill="1" applyBorder="1" applyAlignment="1">
      <alignment horizontal="center" vertical="center" textRotation="90"/>
    </xf>
    <xf numFmtId="49" fontId="11" fillId="0" borderId="51" xfId="0" applyNumberFormat="1" applyFont="1" applyFill="1" applyBorder="1" applyAlignment="1">
      <alignment horizontal="center" vertical="top"/>
    </xf>
    <xf numFmtId="49" fontId="11" fillId="4" borderId="51" xfId="0" applyNumberFormat="1" applyFont="1" applyFill="1" applyBorder="1" applyAlignment="1">
      <alignment vertical="top"/>
    </xf>
    <xf numFmtId="164" fontId="3" fillId="0" borderId="33" xfId="0" applyNumberFormat="1" applyFont="1" applyFill="1" applyBorder="1" applyAlignment="1">
      <alignment horizontal="right" vertical="top"/>
    </xf>
    <xf numFmtId="164" fontId="3" fillId="0" borderId="34" xfId="0" applyNumberFormat="1" applyFont="1" applyFill="1" applyBorder="1" applyAlignment="1">
      <alignment horizontal="right" vertical="top"/>
    </xf>
    <xf numFmtId="0" fontId="11" fillId="8" borderId="73" xfId="0" applyFont="1" applyFill="1" applyBorder="1" applyAlignment="1">
      <alignment horizontal="center" vertical="top" wrapText="1"/>
    </xf>
    <xf numFmtId="164" fontId="11" fillId="8" borderId="45" xfId="0" applyNumberFormat="1" applyFont="1" applyFill="1" applyBorder="1" applyAlignment="1">
      <alignment horizontal="right" vertical="top"/>
    </xf>
    <xf numFmtId="164" fontId="11" fillId="8" borderId="16" xfId="0" applyNumberFormat="1" applyFont="1" applyFill="1" applyBorder="1" applyAlignment="1">
      <alignment horizontal="right" vertical="top"/>
    </xf>
    <xf numFmtId="164" fontId="11" fillId="8" borderId="53" xfId="0" applyNumberFormat="1" applyFont="1" applyFill="1" applyBorder="1" applyAlignment="1">
      <alignment horizontal="right" vertical="top"/>
    </xf>
    <xf numFmtId="164" fontId="6" fillId="8" borderId="36" xfId="0" applyNumberFormat="1" applyFont="1" applyFill="1" applyBorder="1" applyAlignment="1">
      <alignment vertical="top"/>
    </xf>
    <xf numFmtId="164" fontId="11" fillId="8" borderId="49" xfId="0" applyNumberFormat="1" applyFont="1" applyFill="1" applyBorder="1" applyAlignment="1">
      <alignment vertical="top"/>
    </xf>
    <xf numFmtId="0" fontId="11" fillId="8" borderId="5" xfId="0" applyFont="1" applyFill="1" applyBorder="1" applyAlignment="1">
      <alignment horizontal="center" vertical="top"/>
    </xf>
    <xf numFmtId="164" fontId="2" fillId="8" borderId="47" xfId="0" applyNumberFormat="1" applyFont="1" applyFill="1" applyBorder="1" applyAlignment="1">
      <alignment horizontal="center" vertical="center"/>
    </xf>
    <xf numFmtId="164" fontId="2" fillId="8" borderId="30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top"/>
    </xf>
    <xf numFmtId="0" fontId="9" fillId="0" borderId="67" xfId="0" applyFont="1" applyBorder="1" applyAlignment="1">
      <alignment horizontal="left" vertical="top" wrapText="1"/>
    </xf>
    <xf numFmtId="164" fontId="9" fillId="4" borderId="44" xfId="0" applyNumberFormat="1" applyFont="1" applyFill="1" applyBorder="1" applyAlignment="1">
      <alignment vertical="top"/>
    </xf>
    <xf numFmtId="164" fontId="9" fillId="4" borderId="28" xfId="0" applyNumberFormat="1" applyFont="1" applyFill="1" applyBorder="1" applyAlignment="1">
      <alignment vertical="top"/>
    </xf>
    <xf numFmtId="164" fontId="9" fillId="4" borderId="15" xfId="0" applyNumberFormat="1" applyFont="1" applyFill="1" applyBorder="1" applyAlignment="1">
      <alignment horizontal="right" vertical="top"/>
    </xf>
    <xf numFmtId="0" fontId="5" fillId="3" borderId="40" xfId="0" applyFont="1" applyFill="1" applyBorder="1" applyAlignment="1">
      <alignment vertical="top"/>
    </xf>
    <xf numFmtId="0" fontId="5" fillId="0" borderId="40" xfId="0" applyNumberFormat="1" applyFont="1" applyBorder="1" applyAlignment="1">
      <alignment vertical="top"/>
    </xf>
    <xf numFmtId="0" fontId="5" fillId="0" borderId="41" xfId="0" applyNumberFormat="1" applyFont="1" applyBorder="1" applyAlignment="1">
      <alignment vertical="top"/>
    </xf>
    <xf numFmtId="0" fontId="5" fillId="0" borderId="3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9" fillId="0" borderId="78" xfId="0" applyFont="1" applyBorder="1" applyAlignment="1">
      <alignment vertical="top" wrapText="1"/>
    </xf>
    <xf numFmtId="0" fontId="9" fillId="0" borderId="40" xfId="0" applyFont="1" applyBorder="1" applyAlignment="1">
      <alignment horizontal="center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0" borderId="18" xfId="0" applyNumberFormat="1" applyFont="1" applyBorder="1" applyAlignment="1">
      <alignment horizontal="center" vertical="top"/>
    </xf>
    <xf numFmtId="0" fontId="11" fillId="0" borderId="19" xfId="4" applyNumberFormat="1" applyFont="1" applyBorder="1" applyAlignment="1">
      <alignment horizontal="center" vertical="top"/>
    </xf>
    <xf numFmtId="0" fontId="9" fillId="4" borderId="59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vertical="top" wrapText="1"/>
    </xf>
    <xf numFmtId="164" fontId="9" fillId="4" borderId="54" xfId="0" applyNumberFormat="1" applyFont="1" applyFill="1" applyBorder="1" applyAlignment="1">
      <alignment vertical="top"/>
    </xf>
    <xf numFmtId="0" fontId="11" fillId="0" borderId="54" xfId="4" applyNumberFormat="1" applyFont="1" applyBorder="1" applyAlignment="1">
      <alignment horizontal="center" vertical="top"/>
    </xf>
    <xf numFmtId="0" fontId="11" fillId="0" borderId="35" xfId="4" applyNumberFormat="1" applyFont="1" applyBorder="1" applyAlignment="1">
      <alignment horizontal="center" vertical="top"/>
    </xf>
    <xf numFmtId="0" fontId="9" fillId="4" borderId="34" xfId="0" applyFont="1" applyFill="1" applyBorder="1" applyAlignment="1">
      <alignment horizontal="center" vertical="top"/>
    </xf>
    <xf numFmtId="0" fontId="9" fillId="4" borderId="35" xfId="0" applyNumberFormat="1" applyFont="1" applyFill="1" applyBorder="1" applyAlignment="1">
      <alignment horizontal="center" vertical="top"/>
    </xf>
    <xf numFmtId="0" fontId="7" fillId="0" borderId="52" xfId="0" applyFont="1" applyFill="1" applyBorder="1" applyAlignment="1">
      <alignment vertical="top" wrapText="1"/>
    </xf>
    <xf numFmtId="49" fontId="9" fillId="0" borderId="52" xfId="0" applyNumberFormat="1" applyFont="1" applyBorder="1" applyAlignment="1">
      <alignment vertical="top"/>
    </xf>
    <xf numFmtId="0" fontId="11" fillId="0" borderId="34" xfId="4" applyNumberFormat="1" applyFont="1" applyBorder="1" applyAlignment="1">
      <alignment horizontal="center" vertical="top"/>
    </xf>
    <xf numFmtId="0" fontId="5" fillId="4" borderId="40" xfId="0" applyFont="1" applyFill="1" applyBorder="1" applyAlignment="1">
      <alignment horizontal="center" vertical="top" wrapText="1"/>
    </xf>
    <xf numFmtId="0" fontId="12" fillId="4" borderId="40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top" wrapText="1"/>
    </xf>
    <xf numFmtId="0" fontId="7" fillId="0" borderId="62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vertical="top" wrapText="1"/>
    </xf>
    <xf numFmtId="0" fontId="11" fillId="0" borderId="40" xfId="0" applyFont="1" applyFill="1" applyBorder="1" applyAlignment="1">
      <alignment vertical="top" wrapText="1"/>
    </xf>
    <xf numFmtId="0" fontId="9" fillId="0" borderId="44" xfId="0" applyFont="1" applyFill="1" applyBorder="1" applyAlignment="1">
      <alignment vertical="top" wrapText="1"/>
    </xf>
    <xf numFmtId="0" fontId="9" fillId="0" borderId="50" xfId="0" applyNumberFormat="1" applyFont="1" applyBorder="1" applyAlignment="1">
      <alignment vertical="top"/>
    </xf>
    <xf numFmtId="0" fontId="9" fillId="0" borderId="26" xfId="0" applyNumberFormat="1" applyFont="1" applyBorder="1" applyAlignment="1">
      <alignment vertical="top"/>
    </xf>
    <xf numFmtId="0" fontId="9" fillId="0" borderId="27" xfId="0" applyNumberFormat="1" applyFont="1" applyBorder="1" applyAlignment="1">
      <alignment vertical="top"/>
    </xf>
    <xf numFmtId="0" fontId="9" fillId="4" borderId="65" xfId="0" applyFont="1" applyFill="1" applyBorder="1" applyAlignment="1">
      <alignment vertical="top" wrapText="1"/>
    </xf>
    <xf numFmtId="0" fontId="9" fillId="5" borderId="23" xfId="0" applyNumberFormat="1" applyFont="1" applyFill="1" applyBorder="1" applyAlignment="1">
      <alignment horizontal="center" vertical="top"/>
    </xf>
    <xf numFmtId="165" fontId="9" fillId="0" borderId="65" xfId="0" applyNumberFormat="1" applyFont="1" applyFill="1" applyBorder="1" applyAlignment="1">
      <alignment vertical="top"/>
    </xf>
    <xf numFmtId="165" fontId="9" fillId="0" borderId="26" xfId="0" applyNumberFormat="1" applyFont="1" applyFill="1" applyBorder="1" applyAlignment="1">
      <alignment vertical="top"/>
    </xf>
    <xf numFmtId="165" fontId="9" fillId="0" borderId="50" xfId="0" applyNumberFormat="1" applyFont="1" applyFill="1" applyBorder="1" applyAlignment="1">
      <alignment vertical="top"/>
    </xf>
    <xf numFmtId="165" fontId="9" fillId="4" borderId="26" xfId="0" applyNumberFormat="1" applyFont="1" applyFill="1" applyBorder="1" applyAlignment="1">
      <alignment vertical="top"/>
    </xf>
    <xf numFmtId="0" fontId="9" fillId="0" borderId="3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center" vertical="top"/>
    </xf>
    <xf numFmtId="165" fontId="11" fillId="4" borderId="38" xfId="0" applyNumberFormat="1" applyFont="1" applyFill="1" applyBorder="1" applyAlignment="1">
      <alignment vertical="top"/>
    </xf>
    <xf numFmtId="165" fontId="11" fillId="4" borderId="51" xfId="0" applyNumberFormat="1" applyFont="1" applyFill="1" applyBorder="1" applyAlignment="1">
      <alignment vertical="top"/>
    </xf>
    <xf numFmtId="165" fontId="9" fillId="4" borderId="38" xfId="0" applyNumberFormat="1" applyFont="1" applyFill="1" applyBorder="1" applyAlignment="1">
      <alignment vertical="top"/>
    </xf>
    <xf numFmtId="165" fontId="9" fillId="4" borderId="2" xfId="0" applyNumberFormat="1" applyFont="1" applyFill="1" applyBorder="1" applyAlignment="1">
      <alignment vertical="top"/>
    </xf>
    <xf numFmtId="165" fontId="9" fillId="4" borderId="8" xfId="0" applyNumberFormat="1" applyFont="1" applyFill="1" applyBorder="1" applyAlignment="1">
      <alignment vertical="top"/>
    </xf>
    <xf numFmtId="165" fontId="11" fillId="8" borderId="64" xfId="0" applyNumberFormat="1" applyFont="1" applyFill="1" applyBorder="1" applyAlignment="1">
      <alignment vertical="top"/>
    </xf>
    <xf numFmtId="0" fontId="9" fillId="4" borderId="2" xfId="0" applyFont="1" applyFill="1" applyBorder="1" applyAlignment="1">
      <alignment horizontal="center" vertical="top"/>
    </xf>
    <xf numFmtId="0" fontId="9" fillId="0" borderId="45" xfId="0" applyFont="1" applyBorder="1" applyAlignment="1">
      <alignment vertical="top" wrapText="1"/>
    </xf>
    <xf numFmtId="49" fontId="11" fillId="4" borderId="53" xfId="0" applyNumberFormat="1" applyFont="1" applyFill="1" applyBorder="1" applyAlignment="1">
      <alignment horizontal="center" vertical="top"/>
    </xf>
    <xf numFmtId="0" fontId="11" fillId="0" borderId="44" xfId="4" applyNumberFormat="1" applyFont="1" applyBorder="1" applyAlignment="1">
      <alignment horizontal="center" vertical="top"/>
    </xf>
    <xf numFmtId="0" fontId="9" fillId="0" borderId="29" xfId="0" applyFont="1" applyFill="1" applyBorder="1" applyAlignment="1">
      <alignment horizontal="center" vertical="center" textRotation="90" wrapText="1"/>
    </xf>
    <xf numFmtId="49" fontId="11" fillId="9" borderId="8" xfId="0" applyNumberFormat="1" applyFont="1" applyFill="1" applyBorder="1" applyAlignment="1">
      <alignment horizontal="left" vertical="top" wrapText="1"/>
    </xf>
    <xf numFmtId="49" fontId="11" fillId="9" borderId="39" xfId="0" applyNumberFormat="1" applyFont="1" applyFill="1" applyBorder="1" applyAlignment="1">
      <alignment horizontal="left" vertical="top"/>
    </xf>
    <xf numFmtId="49" fontId="11" fillId="9" borderId="28" xfId="0" applyNumberFormat="1" applyFont="1" applyFill="1" applyBorder="1" applyAlignment="1">
      <alignment vertical="top"/>
    </xf>
    <xf numFmtId="0" fontId="9" fillId="9" borderId="7" xfId="0" applyFont="1" applyFill="1" applyBorder="1" applyAlignment="1">
      <alignment vertical="top"/>
    </xf>
    <xf numFmtId="49" fontId="11" fillId="9" borderId="7" xfId="0" applyNumberFormat="1" applyFont="1" applyFill="1" applyBorder="1" applyAlignment="1">
      <alignment horizontal="center" vertical="top"/>
    </xf>
    <xf numFmtId="49" fontId="11" fillId="9" borderId="13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vertical="top"/>
    </xf>
    <xf numFmtId="49" fontId="11" fillId="9" borderId="21" xfId="0" applyNumberFormat="1" applyFont="1" applyFill="1" applyBorder="1" applyAlignment="1">
      <alignment vertical="top"/>
    </xf>
    <xf numFmtId="49" fontId="11" fillId="9" borderId="24" xfId="0" applyNumberFormat="1" applyFont="1" applyFill="1" applyBorder="1" applyAlignment="1">
      <alignment horizontal="center" vertical="top"/>
    </xf>
    <xf numFmtId="0" fontId="11" fillId="4" borderId="72" xfId="0" applyFont="1" applyFill="1" applyBorder="1" applyAlignment="1">
      <alignment horizontal="left" vertical="top" wrapText="1"/>
    </xf>
    <xf numFmtId="164" fontId="9" fillId="4" borderId="2" xfId="0" applyNumberFormat="1" applyFont="1" applyFill="1" applyBorder="1" applyAlignment="1">
      <alignment vertical="top"/>
    </xf>
    <xf numFmtId="164" fontId="9" fillId="4" borderId="45" xfId="0" applyNumberFormat="1" applyFont="1" applyFill="1" applyBorder="1" applyAlignment="1">
      <alignment vertical="top"/>
    </xf>
    <xf numFmtId="164" fontId="9" fillId="4" borderId="16" xfId="0" applyNumberFormat="1" applyFont="1" applyFill="1" applyBorder="1" applyAlignment="1">
      <alignment vertical="top"/>
    </xf>
    <xf numFmtId="164" fontId="9" fillId="4" borderId="55" xfId="0" applyNumberFormat="1" applyFont="1" applyFill="1" applyBorder="1" applyAlignment="1">
      <alignment vertical="top"/>
    </xf>
    <xf numFmtId="0" fontId="9" fillId="0" borderId="74" xfId="0" applyFont="1" applyBorder="1" applyAlignment="1">
      <alignment vertical="top" wrapText="1"/>
    </xf>
    <xf numFmtId="0" fontId="9" fillId="4" borderId="52" xfId="0" applyNumberFormat="1" applyFont="1" applyFill="1" applyBorder="1" applyAlignment="1">
      <alignment horizontal="center" vertical="top"/>
    </xf>
    <xf numFmtId="164" fontId="9" fillId="4" borderId="6" xfId="0" applyNumberFormat="1" applyFont="1" applyFill="1" applyBorder="1" applyAlignment="1">
      <alignment horizontal="right" vertical="top"/>
    </xf>
    <xf numFmtId="164" fontId="11" fillId="4" borderId="38" xfId="0" applyNumberFormat="1" applyFont="1" applyFill="1" applyBorder="1" applyAlignment="1">
      <alignment vertical="top"/>
    </xf>
    <xf numFmtId="164" fontId="11" fillId="4" borderId="62" xfId="0" applyNumberFormat="1" applyFont="1" applyFill="1" applyBorder="1" applyAlignment="1">
      <alignment vertical="top"/>
    </xf>
    <xf numFmtId="164" fontId="11" fillId="4" borderId="51" xfId="0" applyNumberFormat="1" applyFont="1" applyFill="1" applyBorder="1" applyAlignment="1">
      <alignment vertical="top"/>
    </xf>
    <xf numFmtId="0" fontId="9" fillId="4" borderId="46" xfId="0" applyFont="1" applyFill="1" applyBorder="1" applyAlignment="1">
      <alignment vertical="top" wrapText="1"/>
    </xf>
    <xf numFmtId="49" fontId="11" fillId="10" borderId="44" xfId="0" applyNumberFormat="1" applyFont="1" applyFill="1" applyBorder="1" applyAlignment="1">
      <alignment vertical="top"/>
    </xf>
    <xf numFmtId="0" fontId="9" fillId="10" borderId="0" xfId="0" applyFont="1" applyFill="1" applyBorder="1" applyAlignment="1">
      <alignment vertical="top"/>
    </xf>
    <xf numFmtId="49" fontId="11" fillId="10" borderId="18" xfId="0" applyNumberFormat="1" applyFont="1" applyFill="1" applyBorder="1" applyAlignment="1">
      <alignment vertical="top"/>
    </xf>
    <xf numFmtId="49" fontId="11" fillId="10" borderId="23" xfId="0" applyNumberFormat="1" applyFont="1" applyFill="1" applyBorder="1" applyAlignment="1">
      <alignment vertical="top"/>
    </xf>
    <xf numFmtId="164" fontId="11" fillId="10" borderId="77" xfId="0" applyNumberFormat="1" applyFont="1" applyFill="1" applyBorder="1" applyAlignment="1">
      <alignment vertical="top"/>
    </xf>
    <xf numFmtId="0" fontId="9" fillId="10" borderId="21" xfId="0" applyFont="1" applyFill="1" applyBorder="1" applyAlignment="1">
      <alignment vertical="top"/>
    </xf>
    <xf numFmtId="0" fontId="9" fillId="10" borderId="18" xfId="0" applyNumberFormat="1" applyFont="1" applyFill="1" applyBorder="1" applyAlignment="1">
      <alignment horizontal="center" vertical="top"/>
    </xf>
    <xf numFmtId="0" fontId="9" fillId="10" borderId="31" xfId="0" applyNumberFormat="1" applyFont="1" applyFill="1" applyBorder="1" applyAlignment="1">
      <alignment horizontal="center" vertical="top"/>
    </xf>
    <xf numFmtId="0" fontId="9" fillId="10" borderId="32" xfId="0" applyNumberFormat="1" applyFont="1" applyFill="1" applyBorder="1" applyAlignment="1">
      <alignment horizontal="center" vertical="top"/>
    </xf>
    <xf numFmtId="0" fontId="11" fillId="4" borderId="55" xfId="0" applyFont="1" applyFill="1" applyBorder="1" applyAlignment="1">
      <alignment horizontal="left" vertical="top" wrapText="1"/>
    </xf>
    <xf numFmtId="49" fontId="9" fillId="4" borderId="54" xfId="0" applyNumberFormat="1" applyFont="1" applyFill="1" applyBorder="1" applyAlignment="1">
      <alignment horizontal="center" vertical="top" wrapText="1"/>
    </xf>
    <xf numFmtId="49" fontId="9" fillId="4" borderId="55" xfId="0" applyNumberFormat="1" applyFont="1" applyFill="1" applyBorder="1" applyAlignment="1">
      <alignment horizontal="center" vertical="top" wrapText="1"/>
    </xf>
    <xf numFmtId="49" fontId="9" fillId="0" borderId="62" xfId="0" applyNumberFormat="1" applyFont="1" applyBorder="1" applyAlignment="1">
      <alignment horizontal="center" vertical="top" wrapText="1"/>
    </xf>
    <xf numFmtId="49" fontId="11" fillId="10" borderId="66" xfId="0" applyNumberFormat="1" applyFont="1" applyFill="1" applyBorder="1" applyAlignment="1">
      <alignment horizontal="center" vertical="top"/>
    </xf>
    <xf numFmtId="164" fontId="2" fillId="10" borderId="21" xfId="0" applyNumberFormat="1" applyFont="1" applyFill="1" applyBorder="1" applyAlignment="1">
      <alignment horizontal="right" vertical="top"/>
    </xf>
    <xf numFmtId="0" fontId="12" fillId="10" borderId="49" xfId="0" applyNumberFormat="1" applyFont="1" applyFill="1" applyBorder="1" applyAlignment="1">
      <alignment horizontal="center" vertical="top"/>
    </xf>
    <xf numFmtId="164" fontId="2" fillId="10" borderId="13" xfId="0" applyNumberFormat="1" applyFont="1" applyFill="1" applyBorder="1" applyAlignment="1">
      <alignment horizontal="right" vertical="top"/>
    </xf>
    <xf numFmtId="164" fontId="3" fillId="0" borderId="35" xfId="0" applyNumberFormat="1" applyFont="1" applyFill="1" applyBorder="1" applyAlignment="1">
      <alignment horizontal="right" vertical="top"/>
    </xf>
    <xf numFmtId="164" fontId="2" fillId="10" borderId="71" xfId="0" applyNumberFormat="1" applyFont="1" applyFill="1" applyBorder="1" applyAlignment="1">
      <alignment horizontal="right" vertical="top"/>
    </xf>
    <xf numFmtId="164" fontId="9" fillId="4" borderId="66" xfId="0" applyNumberFormat="1" applyFont="1" applyFill="1" applyBorder="1" applyAlignment="1">
      <alignment vertical="top"/>
    </xf>
    <xf numFmtId="49" fontId="11" fillId="10" borderId="40" xfId="0" applyNumberFormat="1" applyFont="1" applyFill="1" applyBorder="1" applyAlignment="1">
      <alignment vertical="top"/>
    </xf>
    <xf numFmtId="49" fontId="11" fillId="10" borderId="66" xfId="0" applyNumberFormat="1" applyFont="1" applyFill="1" applyBorder="1" applyAlignment="1">
      <alignment vertical="top"/>
    </xf>
    <xf numFmtId="49" fontId="11" fillId="4" borderId="46" xfId="0" applyNumberFormat="1" applyFont="1" applyFill="1" applyBorder="1" applyAlignment="1">
      <alignment vertical="top"/>
    </xf>
    <xf numFmtId="0" fontId="9" fillId="4" borderId="52" xfId="0" applyFont="1" applyFill="1" applyBorder="1" applyAlignment="1">
      <alignment vertical="top" wrapText="1"/>
    </xf>
    <xf numFmtId="0" fontId="7" fillId="0" borderId="34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vertical="top"/>
    </xf>
    <xf numFmtId="0" fontId="11" fillId="0" borderId="61" xfId="4" applyNumberFormat="1" applyFont="1" applyBorder="1" applyAlignment="1">
      <alignment horizontal="center" vertical="top"/>
    </xf>
    <xf numFmtId="49" fontId="11" fillId="4" borderId="60" xfId="0" applyNumberFormat="1" applyFont="1" applyFill="1" applyBorder="1" applyAlignment="1">
      <alignment horizontal="center" vertical="top"/>
    </xf>
    <xf numFmtId="0" fontId="11" fillId="0" borderId="52" xfId="4" applyNumberFormat="1" applyFont="1" applyBorder="1" applyAlignment="1">
      <alignment horizontal="center" vertical="top"/>
    </xf>
    <xf numFmtId="164" fontId="11" fillId="10" borderId="21" xfId="0" applyNumberFormat="1" applyFont="1" applyFill="1" applyBorder="1" applyAlignment="1">
      <alignment vertical="top"/>
    </xf>
    <xf numFmtId="0" fontId="3" fillId="10" borderId="13" xfId="0" applyFont="1" applyFill="1" applyBorder="1" applyAlignment="1">
      <alignment horizontal="left" vertical="top" wrapText="1"/>
    </xf>
    <xf numFmtId="0" fontId="12" fillId="10" borderId="71" xfId="0" applyNumberFormat="1" applyFont="1" applyFill="1" applyBorder="1" applyAlignment="1">
      <alignment horizontal="center" vertical="top"/>
    </xf>
    <xf numFmtId="0" fontId="9" fillId="0" borderId="21" xfId="0" applyFont="1" applyBorder="1" applyAlignment="1">
      <alignment vertical="top"/>
    </xf>
    <xf numFmtId="165" fontId="9" fillId="4" borderId="60" xfId="0" applyNumberFormat="1" applyFont="1" applyFill="1" applyBorder="1" applyAlignment="1">
      <alignment vertical="top"/>
    </xf>
    <xf numFmtId="0" fontId="11" fillId="4" borderId="26" xfId="0" applyFont="1" applyFill="1" applyBorder="1" applyAlignment="1">
      <alignment vertical="top" wrapText="1"/>
    </xf>
    <xf numFmtId="49" fontId="11" fillId="0" borderId="40" xfId="0" applyNumberFormat="1" applyFont="1" applyFill="1" applyBorder="1" applyAlignment="1">
      <alignment horizontal="center" vertical="top"/>
    </xf>
    <xf numFmtId="164" fontId="3" fillId="4" borderId="46" xfId="0" applyNumberFormat="1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right" vertical="top" wrapText="1"/>
    </xf>
    <xf numFmtId="0" fontId="11" fillId="8" borderId="57" xfId="0" applyFont="1" applyFill="1" applyBorder="1" applyAlignment="1">
      <alignment horizontal="right" vertical="top" wrapText="1"/>
    </xf>
    <xf numFmtId="164" fontId="9" fillId="0" borderId="6" xfId="0" applyNumberFormat="1" applyFont="1" applyBorder="1" applyAlignment="1">
      <alignment horizontal="center" vertical="top"/>
    </xf>
    <xf numFmtId="0" fontId="7" fillId="0" borderId="72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center" vertical="center" textRotation="90" wrapText="1"/>
    </xf>
    <xf numFmtId="49" fontId="11" fillId="0" borderId="51" xfId="0" applyNumberFormat="1" applyFont="1" applyBorder="1" applyAlignment="1">
      <alignment horizontal="center" vertical="top"/>
    </xf>
    <xf numFmtId="164" fontId="9" fillId="4" borderId="55" xfId="0" applyNumberFormat="1" applyFont="1" applyFill="1" applyBorder="1" applyAlignment="1">
      <alignment horizontal="center" vertical="center" textRotation="90"/>
    </xf>
    <xf numFmtId="49" fontId="9" fillId="0" borderId="55" xfId="0" applyNumberFormat="1" applyFont="1" applyBorder="1" applyAlignment="1">
      <alignment horizontal="center" vertical="top"/>
    </xf>
    <xf numFmtId="164" fontId="9" fillId="4" borderId="16" xfId="0" applyNumberFormat="1" applyFont="1" applyFill="1" applyBorder="1" applyAlignment="1">
      <alignment horizontal="center" vertical="center" textRotation="90"/>
    </xf>
    <xf numFmtId="0" fontId="9" fillId="4" borderId="28" xfId="0" applyFont="1" applyFill="1" applyBorder="1" applyAlignment="1">
      <alignment horizontal="left" vertical="top" wrapText="1"/>
    </xf>
    <xf numFmtId="0" fontId="9" fillId="0" borderId="28" xfId="0" applyFont="1" applyBorder="1" applyAlignment="1">
      <alignment vertical="top" wrapText="1"/>
    </xf>
    <xf numFmtId="49" fontId="9" fillId="4" borderId="62" xfId="0" applyNumberFormat="1" applyFont="1" applyFill="1" applyBorder="1" applyAlignment="1">
      <alignment horizontal="center" vertical="top" wrapText="1"/>
    </xf>
    <xf numFmtId="0" fontId="9" fillId="0" borderId="80" xfId="0" applyFont="1" applyBorder="1" applyAlignment="1">
      <alignment horizontal="center" vertical="top"/>
    </xf>
    <xf numFmtId="164" fontId="9" fillId="4" borderId="81" xfId="0" applyNumberFormat="1" applyFont="1" applyFill="1" applyBorder="1" applyAlignment="1">
      <alignment vertical="top"/>
    </xf>
    <xf numFmtId="164" fontId="9" fillId="4" borderId="83" xfId="0" applyNumberFormat="1" applyFont="1" applyFill="1" applyBorder="1" applyAlignment="1">
      <alignment vertical="top"/>
    </xf>
    <xf numFmtId="164" fontId="9" fillId="4" borderId="84" xfId="0" applyNumberFormat="1" applyFont="1" applyFill="1" applyBorder="1" applyAlignment="1">
      <alignment vertical="top"/>
    </xf>
    <xf numFmtId="164" fontId="9" fillId="0" borderId="86" xfId="0" applyNumberFormat="1" applyFont="1" applyBorder="1" applyAlignment="1">
      <alignment horizontal="center" vertical="top"/>
    </xf>
    <xf numFmtId="164" fontId="9" fillId="0" borderId="79" xfId="0" applyNumberFormat="1" applyFont="1" applyBorder="1" applyAlignment="1">
      <alignment horizontal="center" vertical="top"/>
    </xf>
    <xf numFmtId="0" fontId="9" fillId="0" borderId="87" xfId="0" applyFont="1" applyBorder="1" applyAlignment="1">
      <alignment horizontal="center" vertical="top"/>
    </xf>
    <xf numFmtId="49" fontId="9" fillId="4" borderId="88" xfId="0" applyNumberFormat="1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/>
    </xf>
    <xf numFmtId="164" fontId="9" fillId="3" borderId="44" xfId="0" applyNumberFormat="1" applyFont="1" applyFill="1" applyBorder="1" applyAlignment="1">
      <alignment vertical="top"/>
    </xf>
    <xf numFmtId="164" fontId="9" fillId="0" borderId="19" xfId="0" applyNumberFormat="1" applyFont="1" applyBorder="1" applyAlignment="1">
      <alignment vertical="top"/>
    </xf>
    <xf numFmtId="0" fontId="9" fillId="0" borderId="74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90" xfId="0" applyFont="1" applyBorder="1" applyAlignment="1">
      <alignment horizontal="center" vertical="top"/>
    </xf>
    <xf numFmtId="164" fontId="9" fillId="4" borderId="91" xfId="0" applyNumberFormat="1" applyFont="1" applyFill="1" applyBorder="1" applyAlignment="1">
      <alignment vertical="top"/>
    </xf>
    <xf numFmtId="164" fontId="9" fillId="4" borderId="88" xfId="0" applyNumberFormat="1" applyFont="1" applyFill="1" applyBorder="1" applyAlignment="1">
      <alignment vertical="top"/>
    </xf>
    <xf numFmtId="164" fontId="9" fillId="4" borderId="92" xfId="0" applyNumberFormat="1" applyFont="1" applyFill="1" applyBorder="1" applyAlignment="1">
      <alignment vertical="top"/>
    </xf>
    <xf numFmtId="164" fontId="9" fillId="3" borderId="88" xfId="0" applyNumberFormat="1" applyFont="1" applyFill="1" applyBorder="1" applyAlignment="1">
      <alignment vertical="top"/>
    </xf>
    <xf numFmtId="164" fontId="9" fillId="0" borderId="94" xfId="0" applyNumberFormat="1" applyFont="1" applyBorder="1" applyAlignment="1">
      <alignment vertical="top"/>
    </xf>
    <xf numFmtId="164" fontId="9" fillId="0" borderId="89" xfId="0" applyNumberFormat="1" applyFont="1" applyBorder="1" applyAlignment="1">
      <alignment horizontal="center" vertical="top"/>
    </xf>
    <xf numFmtId="0" fontId="9" fillId="0" borderId="93" xfId="0" applyFont="1" applyFill="1" applyBorder="1" applyAlignment="1">
      <alignment horizontal="left" vertical="top" wrapText="1"/>
    </xf>
    <xf numFmtId="0" fontId="9" fillId="0" borderId="88" xfId="0" applyFont="1" applyFill="1" applyBorder="1" applyAlignment="1">
      <alignment horizontal="center" vertical="top"/>
    </xf>
    <xf numFmtId="0" fontId="9" fillId="0" borderId="92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 vertical="top" textRotation="90" wrapText="1"/>
    </xf>
    <xf numFmtId="164" fontId="9" fillId="4" borderId="83" xfId="0" applyNumberFormat="1" applyFont="1" applyFill="1" applyBorder="1" applyAlignment="1">
      <alignment horizontal="center" vertical="top"/>
    </xf>
    <xf numFmtId="164" fontId="9" fillId="0" borderId="19" xfId="0" applyNumberFormat="1" applyFont="1" applyFill="1" applyBorder="1" applyAlignment="1">
      <alignment vertical="top"/>
    </xf>
    <xf numFmtId="164" fontId="9" fillId="0" borderId="7" xfId="0" applyNumberFormat="1" applyFont="1" applyBorder="1" applyAlignment="1">
      <alignment vertical="top"/>
    </xf>
    <xf numFmtId="164" fontId="9" fillId="0" borderId="88" xfId="0" applyNumberFormat="1" applyFont="1" applyFill="1" applyBorder="1" applyAlignment="1">
      <alignment vertical="top"/>
    </xf>
    <xf numFmtId="164" fontId="9" fillId="0" borderId="94" xfId="0" applyNumberFormat="1" applyFont="1" applyFill="1" applyBorder="1" applyAlignment="1">
      <alignment vertical="top"/>
    </xf>
    <xf numFmtId="164" fontId="9" fillId="0" borderId="89" xfId="0" applyNumberFormat="1" applyFont="1" applyBorder="1" applyAlignment="1">
      <alignment vertical="top"/>
    </xf>
    <xf numFmtId="0" fontId="9" fillId="4" borderId="8" xfId="0" applyFont="1" applyFill="1" applyBorder="1" applyAlignment="1">
      <alignment horizontal="center" vertical="top" wrapText="1"/>
    </xf>
    <xf numFmtId="0" fontId="9" fillId="4" borderId="60" xfId="0" applyFont="1" applyFill="1" applyBorder="1" applyAlignment="1">
      <alignment vertical="top" wrapText="1"/>
    </xf>
    <xf numFmtId="164" fontId="9" fillId="0" borderId="79" xfId="0" applyNumberFormat="1" applyFont="1" applyFill="1" applyBorder="1" applyAlignment="1">
      <alignment vertical="top"/>
    </xf>
    <xf numFmtId="164" fontId="9" fillId="0" borderId="79" xfId="0" applyNumberFormat="1" applyFont="1" applyBorder="1" applyAlignment="1">
      <alignment vertical="top"/>
    </xf>
    <xf numFmtId="0" fontId="9" fillId="4" borderId="80" xfId="0" applyFont="1" applyFill="1" applyBorder="1" applyAlignment="1">
      <alignment horizontal="center" vertical="top"/>
    </xf>
    <xf numFmtId="0" fontId="9" fillId="0" borderId="85" xfId="0" applyFont="1" applyBorder="1" applyAlignment="1">
      <alignment vertical="top"/>
    </xf>
    <xf numFmtId="0" fontId="9" fillId="0" borderId="82" xfId="0" applyNumberFormat="1" applyFont="1" applyBorder="1" applyAlignment="1">
      <alignment horizontal="center" vertical="top"/>
    </xf>
    <xf numFmtId="0" fontId="9" fillId="0" borderId="84" xfId="0" applyNumberFormat="1" applyFont="1" applyBorder="1" applyAlignment="1">
      <alignment horizontal="center" vertical="top"/>
    </xf>
    <xf numFmtId="164" fontId="9" fillId="4" borderId="15" xfId="0" applyNumberFormat="1" applyFont="1" applyFill="1" applyBorder="1" applyAlignment="1">
      <alignment vertical="top"/>
    </xf>
    <xf numFmtId="164" fontId="9" fillId="4" borderId="37" xfId="0" applyNumberFormat="1" applyFont="1" applyFill="1" applyBorder="1" applyAlignment="1">
      <alignment vertical="top"/>
    </xf>
    <xf numFmtId="0" fontId="9" fillId="4" borderId="88" xfId="0" applyFont="1" applyFill="1" applyBorder="1" applyAlignment="1">
      <alignment horizontal="center" vertical="top"/>
    </xf>
    <xf numFmtId="0" fontId="9" fillId="4" borderId="92" xfId="0" applyFont="1" applyFill="1" applyBorder="1" applyAlignment="1">
      <alignment horizontal="center" vertical="top"/>
    </xf>
    <xf numFmtId="164" fontId="3" fillId="4" borderId="52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center"/>
    </xf>
    <xf numFmtId="164" fontId="3" fillId="4" borderId="25" xfId="0" applyNumberFormat="1" applyFont="1" applyFill="1" applyBorder="1" applyAlignment="1">
      <alignment horizontal="center" vertical="top"/>
    </xf>
    <xf numFmtId="164" fontId="2" fillId="8" borderId="63" xfId="0" applyNumberFormat="1" applyFont="1" applyFill="1" applyBorder="1" applyAlignment="1">
      <alignment horizontal="center" vertical="center"/>
    </xf>
    <xf numFmtId="164" fontId="9" fillId="4" borderId="90" xfId="0" applyNumberFormat="1" applyFont="1" applyFill="1" applyBorder="1" applyAlignment="1">
      <alignment horizontal="right" vertical="top"/>
    </xf>
    <xf numFmtId="0" fontId="9" fillId="4" borderId="91" xfId="0" applyFont="1" applyFill="1" applyBorder="1" applyAlignment="1">
      <alignment horizontal="left" vertical="top" wrapText="1"/>
    </xf>
    <xf numFmtId="164" fontId="9" fillId="4" borderId="65" xfId="0" applyNumberFormat="1" applyFont="1" applyFill="1" applyBorder="1" applyAlignment="1">
      <alignment horizontal="center" vertical="top"/>
    </xf>
    <xf numFmtId="164" fontId="9" fillId="4" borderId="26" xfId="0" applyNumberFormat="1" applyFont="1" applyFill="1" applyBorder="1" applyAlignment="1">
      <alignment horizontal="center" vertical="top"/>
    </xf>
    <xf numFmtId="164" fontId="9" fillId="4" borderId="27" xfId="0" applyNumberFormat="1" applyFont="1" applyFill="1" applyBorder="1" applyAlignment="1">
      <alignment horizontal="center" vertical="top"/>
    </xf>
    <xf numFmtId="164" fontId="9" fillId="4" borderId="60" xfId="0" applyNumberFormat="1" applyFont="1" applyFill="1" applyBorder="1" applyAlignment="1">
      <alignment horizontal="center" vertical="top"/>
    </xf>
    <xf numFmtId="164" fontId="9" fillId="4" borderId="38" xfId="0" applyNumberFormat="1" applyFont="1" applyFill="1" applyBorder="1" applyAlignment="1">
      <alignment horizontal="center" vertical="top"/>
    </xf>
    <xf numFmtId="164" fontId="9" fillId="4" borderId="62" xfId="0" applyNumberFormat="1" applyFont="1" applyFill="1" applyBorder="1" applyAlignment="1">
      <alignment horizontal="center" vertical="top"/>
    </xf>
    <xf numFmtId="0" fontId="9" fillId="4" borderId="25" xfId="0" applyFont="1" applyFill="1" applyBorder="1" applyAlignment="1">
      <alignment horizontal="left" vertical="top" wrapText="1"/>
    </xf>
    <xf numFmtId="0" fontId="9" fillId="4" borderId="26" xfId="0" applyFont="1" applyFill="1" applyBorder="1" applyAlignment="1">
      <alignment horizontal="center" vertical="top"/>
    </xf>
    <xf numFmtId="164" fontId="9" fillId="4" borderId="96" xfId="0" applyNumberFormat="1" applyFont="1" applyFill="1" applyBorder="1" applyAlignment="1">
      <alignment vertical="top"/>
    </xf>
    <xf numFmtId="164" fontId="9" fillId="4" borderId="97" xfId="0" applyNumberFormat="1" applyFont="1" applyFill="1" applyBorder="1" applyAlignment="1">
      <alignment vertical="top"/>
    </xf>
    <xf numFmtId="0" fontId="9" fillId="4" borderId="88" xfId="0" applyFont="1" applyFill="1" applyBorder="1" applyAlignment="1">
      <alignment vertical="top" wrapText="1"/>
    </xf>
    <xf numFmtId="0" fontId="5" fillId="4" borderId="34" xfId="0" applyFont="1" applyFill="1" applyBorder="1" applyAlignment="1">
      <alignment horizontal="center" vertical="top" wrapText="1"/>
    </xf>
    <xf numFmtId="0" fontId="12" fillId="4" borderId="34" xfId="0" applyFont="1" applyFill="1" applyBorder="1" applyAlignment="1">
      <alignment horizontal="center" vertical="top" wrapText="1"/>
    </xf>
    <xf numFmtId="0" fontId="12" fillId="4" borderId="35" xfId="0" applyFont="1" applyFill="1" applyBorder="1" applyAlignment="1">
      <alignment horizontal="center" vertical="top" wrapText="1"/>
    </xf>
    <xf numFmtId="0" fontId="5" fillId="4" borderId="31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12" fillId="4" borderId="32" xfId="0" applyFont="1" applyFill="1" applyBorder="1" applyAlignment="1">
      <alignment horizontal="center" vertical="top" wrapText="1"/>
    </xf>
    <xf numFmtId="164" fontId="3" fillId="0" borderId="61" xfId="0" applyNumberFormat="1" applyFont="1" applyFill="1" applyBorder="1" applyAlignment="1">
      <alignment horizontal="center" vertical="top"/>
    </xf>
    <xf numFmtId="164" fontId="3" fillId="0" borderId="76" xfId="0" applyNumberFormat="1" applyFont="1" applyFill="1" applyBorder="1" applyAlignment="1">
      <alignment horizontal="center" vertical="top"/>
    </xf>
    <xf numFmtId="0" fontId="9" fillId="4" borderId="103" xfId="0" applyNumberFormat="1" applyFont="1" applyFill="1" applyBorder="1" applyAlignment="1">
      <alignment horizontal="center" vertical="top"/>
    </xf>
    <xf numFmtId="0" fontId="9" fillId="4" borderId="10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4" borderId="53" xfId="0" applyFont="1" applyFill="1" applyBorder="1" applyAlignment="1">
      <alignment horizontal="center" vertical="top"/>
    </xf>
    <xf numFmtId="164" fontId="9" fillId="4" borderId="33" xfId="0" applyNumberFormat="1" applyFont="1" applyFill="1" applyBorder="1" applyAlignment="1">
      <alignment horizontal="center" vertical="top"/>
    </xf>
    <xf numFmtId="0" fontId="9" fillId="4" borderId="88" xfId="0" applyNumberFormat="1" applyFont="1" applyFill="1" applyBorder="1" applyAlignment="1">
      <alignment horizontal="center" vertical="top"/>
    </xf>
    <xf numFmtId="0" fontId="9" fillId="4" borderId="92" xfId="0" applyNumberFormat="1" applyFont="1" applyFill="1" applyBorder="1" applyAlignment="1">
      <alignment horizontal="center" vertical="top"/>
    </xf>
    <xf numFmtId="0" fontId="12" fillId="10" borderId="23" xfId="0" applyNumberFormat="1" applyFont="1" applyFill="1" applyBorder="1" applyAlignment="1">
      <alignment horizontal="center" vertical="top"/>
    </xf>
    <xf numFmtId="49" fontId="9" fillId="4" borderId="34" xfId="0" applyNumberFormat="1" applyFont="1" applyFill="1" applyBorder="1" applyAlignment="1">
      <alignment horizontal="center" vertical="top"/>
    </xf>
    <xf numFmtId="49" fontId="9" fillId="4" borderId="44" xfId="0" applyNumberFormat="1" applyFont="1" applyFill="1" applyBorder="1" applyAlignment="1">
      <alignment horizontal="center" vertical="top"/>
    </xf>
    <xf numFmtId="164" fontId="9" fillId="4" borderId="53" xfId="0" applyNumberFormat="1" applyFont="1" applyFill="1" applyBorder="1" applyAlignment="1">
      <alignment vertical="top"/>
    </xf>
    <xf numFmtId="164" fontId="11" fillId="4" borderId="57" xfId="0" applyNumberFormat="1" applyFont="1" applyFill="1" applyBorder="1" applyAlignment="1">
      <alignment vertical="top"/>
    </xf>
    <xf numFmtId="0" fontId="9" fillId="0" borderId="88" xfId="0" applyNumberFormat="1" applyFont="1" applyBorder="1" applyAlignment="1">
      <alignment horizontal="center" vertical="top"/>
    </xf>
    <xf numFmtId="0" fontId="9" fillId="0" borderId="92" xfId="0" applyNumberFormat="1" applyFont="1" applyBorder="1" applyAlignment="1">
      <alignment horizontal="center" vertical="top"/>
    </xf>
    <xf numFmtId="0" fontId="11" fillId="4" borderId="53" xfId="0" applyFont="1" applyFill="1" applyBorder="1" applyAlignment="1">
      <alignment horizontal="left" vertical="top" wrapText="1"/>
    </xf>
    <xf numFmtId="0" fontId="9" fillId="4" borderId="33" xfId="0" applyFont="1" applyFill="1" applyBorder="1" applyAlignment="1">
      <alignment vertical="top" wrapText="1"/>
    </xf>
    <xf numFmtId="49" fontId="9" fillId="4" borderId="51" xfId="0" applyNumberFormat="1" applyFont="1" applyFill="1" applyBorder="1" applyAlignment="1">
      <alignment horizontal="center" vertical="top"/>
    </xf>
    <xf numFmtId="49" fontId="9" fillId="4" borderId="62" xfId="0" applyNumberFormat="1" applyFont="1" applyFill="1" applyBorder="1" applyAlignment="1">
      <alignment horizontal="center" vertical="top"/>
    </xf>
    <xf numFmtId="164" fontId="9" fillId="3" borderId="34" xfId="0" applyNumberFormat="1" applyFont="1" applyFill="1" applyBorder="1" applyAlignment="1">
      <alignment horizontal="center" vertical="top"/>
    </xf>
    <xf numFmtId="164" fontId="9" fillId="4" borderId="45" xfId="0" applyNumberFormat="1" applyFont="1" applyFill="1" applyBorder="1" applyAlignment="1">
      <alignment horizontal="right" vertical="top"/>
    </xf>
    <xf numFmtId="164" fontId="9" fillId="4" borderId="16" xfId="0" applyNumberFormat="1" applyFont="1" applyFill="1" applyBorder="1" applyAlignment="1">
      <alignment horizontal="right" vertical="top"/>
    </xf>
    <xf numFmtId="164" fontId="9" fillId="4" borderId="55" xfId="0" applyNumberFormat="1" applyFont="1" applyFill="1" applyBorder="1" applyAlignment="1">
      <alignment horizontal="right" vertical="top"/>
    </xf>
    <xf numFmtId="164" fontId="9" fillId="3" borderId="16" xfId="0" applyNumberFormat="1" applyFont="1" applyFill="1" applyBorder="1" applyAlignment="1">
      <alignment horizontal="center" vertical="top"/>
    </xf>
    <xf numFmtId="164" fontId="9" fillId="0" borderId="55" xfId="0" applyNumberFormat="1" applyFont="1" applyBorder="1" applyAlignment="1">
      <alignment horizontal="center" vertical="top"/>
    </xf>
    <xf numFmtId="164" fontId="9" fillId="0" borderId="43" xfId="0" applyNumberFormat="1" applyFont="1" applyBorder="1" applyAlignment="1">
      <alignment horizontal="center" vertical="top"/>
    </xf>
    <xf numFmtId="164" fontId="9" fillId="0" borderId="57" xfId="0" applyNumberFormat="1" applyFont="1" applyBorder="1" applyAlignment="1">
      <alignment horizontal="center" vertical="top"/>
    </xf>
    <xf numFmtId="164" fontId="9" fillId="4" borderId="52" xfId="0" applyNumberFormat="1" applyFont="1" applyFill="1" applyBorder="1" applyAlignment="1">
      <alignment horizontal="right" vertical="top"/>
    </xf>
    <xf numFmtId="0" fontId="7" fillId="0" borderId="105" xfId="0" applyFont="1" applyFill="1" applyBorder="1" applyAlignment="1">
      <alignment horizontal="center" vertical="top" wrapText="1"/>
    </xf>
    <xf numFmtId="49" fontId="9" fillId="0" borderId="88" xfId="0" applyNumberFormat="1" applyFont="1" applyBorder="1" applyAlignment="1">
      <alignment horizontal="center" vertical="top"/>
    </xf>
    <xf numFmtId="49" fontId="11" fillId="0" borderId="105" xfId="0" applyNumberFormat="1" applyFont="1" applyBorder="1" applyAlignment="1">
      <alignment horizontal="center" vertical="top"/>
    </xf>
    <xf numFmtId="49" fontId="9" fillId="0" borderId="92" xfId="0" applyNumberFormat="1" applyFont="1" applyBorder="1" applyAlignment="1">
      <alignment horizontal="center" vertical="top"/>
    </xf>
    <xf numFmtId="164" fontId="9" fillId="4" borderId="94" xfId="0" applyNumberFormat="1" applyFont="1" applyFill="1" applyBorder="1" applyAlignment="1">
      <alignment horizontal="right" vertical="top"/>
    </xf>
    <xf numFmtId="164" fontId="9" fillId="4" borderId="88" xfId="0" applyNumberFormat="1" applyFont="1" applyFill="1" applyBorder="1" applyAlignment="1">
      <alignment horizontal="right" vertical="top"/>
    </xf>
    <xf numFmtId="164" fontId="9" fillId="4" borderId="92" xfId="0" applyNumberFormat="1" applyFont="1" applyFill="1" applyBorder="1" applyAlignment="1">
      <alignment horizontal="right" vertical="top"/>
    </xf>
    <xf numFmtId="164" fontId="9" fillId="0" borderId="88" xfId="0" applyNumberFormat="1" applyFont="1" applyBorder="1" applyAlignment="1">
      <alignment vertical="top"/>
    </xf>
    <xf numFmtId="164" fontId="9" fillId="3" borderId="88" xfId="0" applyNumberFormat="1" applyFont="1" applyFill="1" applyBorder="1" applyAlignment="1">
      <alignment horizontal="center" vertical="top"/>
    </xf>
    <xf numFmtId="164" fontId="9" fillId="0" borderId="92" xfId="0" applyNumberFormat="1" applyFont="1" applyBorder="1" applyAlignment="1">
      <alignment horizontal="center" vertical="top"/>
    </xf>
    <xf numFmtId="164" fontId="9" fillId="0" borderId="90" xfId="0" applyNumberFormat="1" applyFont="1" applyBorder="1" applyAlignment="1">
      <alignment horizontal="center" vertical="top"/>
    </xf>
    <xf numFmtId="0" fontId="9" fillId="4" borderId="34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/>
    </xf>
    <xf numFmtId="0" fontId="5" fillId="3" borderId="55" xfId="0" applyFont="1" applyFill="1" applyBorder="1" applyAlignment="1">
      <alignment vertical="top"/>
    </xf>
    <xf numFmtId="0" fontId="9" fillId="4" borderId="33" xfId="0" applyFont="1" applyFill="1" applyBorder="1" applyAlignment="1">
      <alignment horizontal="left" vertical="top" wrapText="1"/>
    </xf>
    <xf numFmtId="0" fontId="9" fillId="4" borderId="34" xfId="0" applyNumberFormat="1" applyFont="1" applyFill="1" applyBorder="1" applyAlignment="1">
      <alignment horizontal="center" vertical="top"/>
    </xf>
    <xf numFmtId="49" fontId="11" fillId="0" borderId="52" xfId="0" applyNumberFormat="1" applyFont="1" applyFill="1" applyBorder="1" applyAlignment="1">
      <alignment horizontal="center" vertical="top"/>
    </xf>
    <xf numFmtId="49" fontId="9" fillId="0" borderId="34" xfId="0" applyNumberFormat="1" applyFont="1" applyFill="1" applyBorder="1" applyAlignment="1">
      <alignment horizontal="center" vertical="top"/>
    </xf>
    <xf numFmtId="49" fontId="11" fillId="0" borderId="34" xfId="0" applyNumberFormat="1" applyFont="1" applyFill="1" applyBorder="1" applyAlignment="1">
      <alignment horizontal="center" vertical="top"/>
    </xf>
    <xf numFmtId="0" fontId="9" fillId="0" borderId="26" xfId="0" applyFont="1" applyBorder="1" applyAlignment="1">
      <alignment horizontal="center" vertical="top"/>
    </xf>
    <xf numFmtId="164" fontId="9" fillId="0" borderId="8" xfId="0" applyNumberFormat="1" applyFont="1" applyBorder="1" applyAlignment="1">
      <alignment horizontal="center" vertical="top"/>
    </xf>
    <xf numFmtId="164" fontId="9" fillId="0" borderId="38" xfId="0" applyNumberFormat="1" applyFont="1" applyBorder="1" applyAlignment="1">
      <alignment horizontal="center" vertical="top"/>
    </xf>
    <xf numFmtId="0" fontId="9" fillId="0" borderId="38" xfId="0" applyFont="1" applyBorder="1" applyAlignment="1">
      <alignment horizontal="center" vertical="top"/>
    </xf>
    <xf numFmtId="164" fontId="11" fillId="2" borderId="106" xfId="0" applyNumberFormat="1" applyFont="1" applyFill="1" applyBorder="1" applyAlignment="1">
      <alignment vertical="top"/>
    </xf>
    <xf numFmtId="164" fontId="11" fillId="2" borderId="3" xfId="0" applyNumberFormat="1" applyFont="1" applyFill="1" applyBorder="1" applyAlignment="1">
      <alignment vertical="top"/>
    </xf>
    <xf numFmtId="0" fontId="9" fillId="0" borderId="27" xfId="0" applyFont="1" applyBorder="1" applyAlignment="1">
      <alignment horizontal="center" vertical="top"/>
    </xf>
    <xf numFmtId="0" fontId="9" fillId="0" borderId="62" xfId="0" applyFont="1" applyBorder="1" applyAlignment="1">
      <alignment horizontal="center" vertical="top"/>
    </xf>
    <xf numFmtId="164" fontId="9" fillId="3" borderId="33" xfId="0" applyNumberFormat="1" applyFont="1" applyFill="1" applyBorder="1" applyAlignment="1">
      <alignment horizontal="center" vertical="top"/>
    </xf>
    <xf numFmtId="164" fontId="9" fillId="3" borderId="52" xfId="0" applyNumberFormat="1" applyFont="1" applyFill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164" fontId="9" fillId="4" borderId="39" xfId="0" applyNumberFormat="1" applyFont="1" applyFill="1" applyBorder="1" applyAlignment="1">
      <alignment horizontal="center" vertical="top"/>
    </xf>
    <xf numFmtId="164" fontId="9" fillId="4" borderId="51" xfId="0" applyNumberFormat="1" applyFont="1" applyFill="1" applyBorder="1" applyAlignment="1">
      <alignment horizontal="center" vertical="top"/>
    </xf>
    <xf numFmtId="0" fontId="9" fillId="0" borderId="39" xfId="0" applyFont="1" applyBorder="1" applyAlignment="1">
      <alignment horizontal="center" vertical="top"/>
    </xf>
    <xf numFmtId="164" fontId="11" fillId="8" borderId="14" xfId="0" applyNumberFormat="1" applyFont="1" applyFill="1" applyBorder="1" applyAlignment="1">
      <alignment horizontal="center" vertical="top"/>
    </xf>
    <xf numFmtId="164" fontId="11" fillId="8" borderId="29" xfId="0" applyNumberFormat="1" applyFont="1" applyFill="1" applyBorder="1" applyAlignment="1">
      <alignment horizontal="center" vertical="top"/>
    </xf>
    <xf numFmtId="164" fontId="11" fillId="8" borderId="49" xfId="0" applyNumberFormat="1" applyFont="1" applyFill="1" applyBorder="1" applyAlignment="1">
      <alignment horizontal="center" vertical="top"/>
    </xf>
    <xf numFmtId="164" fontId="11" fillId="8" borderId="30" xfId="0" applyNumberFormat="1" applyFont="1" applyFill="1" applyBorder="1" applyAlignment="1">
      <alignment horizontal="center" vertical="top"/>
    </xf>
    <xf numFmtId="164" fontId="11" fillId="8" borderId="64" xfId="0" applyNumberFormat="1" applyFont="1" applyFill="1" applyBorder="1" applyAlignment="1">
      <alignment horizontal="center" vertical="top"/>
    </xf>
    <xf numFmtId="164" fontId="11" fillId="8" borderId="63" xfId="0" applyNumberFormat="1" applyFont="1" applyFill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 wrapText="1"/>
    </xf>
    <xf numFmtId="165" fontId="7" fillId="4" borderId="6" xfId="0" applyNumberFormat="1" applyFont="1" applyFill="1" applyBorder="1" applyAlignment="1">
      <alignment horizontal="right" vertical="top"/>
    </xf>
    <xf numFmtId="165" fontId="7" fillId="4" borderId="1" xfId="0" applyNumberFormat="1" applyFont="1" applyFill="1" applyBorder="1" applyAlignment="1">
      <alignment horizontal="right" vertical="top"/>
    </xf>
    <xf numFmtId="164" fontId="9" fillId="0" borderId="98" xfId="0" applyNumberFormat="1" applyFont="1" applyFill="1" applyBorder="1" applyAlignment="1">
      <alignment vertical="top"/>
    </xf>
    <xf numFmtId="164" fontId="9" fillId="0" borderId="98" xfId="0" applyNumberFormat="1" applyFont="1" applyBorder="1" applyAlignment="1">
      <alignment vertical="top"/>
    </xf>
    <xf numFmtId="0" fontId="9" fillId="0" borderId="107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9" fillId="0" borderId="85" xfId="0" applyFont="1" applyBorder="1" applyAlignment="1">
      <alignment vertical="top" wrapText="1"/>
    </xf>
    <xf numFmtId="0" fontId="9" fillId="0" borderId="83" xfId="0" applyNumberFormat="1" applyFont="1" applyBorder="1" applyAlignment="1">
      <alignment horizontal="center" vertical="top"/>
    </xf>
    <xf numFmtId="164" fontId="7" fillId="4" borderId="34" xfId="0" applyNumberFormat="1" applyFont="1" applyFill="1" applyBorder="1" applyAlignment="1">
      <alignment horizontal="right" vertical="top"/>
    </xf>
    <xf numFmtId="164" fontId="7" fillId="4" borderId="6" xfId="0" applyNumberFormat="1" applyFont="1" applyFill="1" applyBorder="1" applyAlignment="1">
      <alignment horizontal="right" vertical="top"/>
    </xf>
    <xf numFmtId="164" fontId="7" fillId="4" borderId="35" xfId="0" applyNumberFormat="1" applyFont="1" applyFill="1" applyBorder="1" applyAlignment="1">
      <alignment horizontal="right" vertical="top"/>
    </xf>
    <xf numFmtId="164" fontId="7" fillId="4" borderId="83" xfId="0" applyNumberFormat="1" applyFont="1" applyFill="1" applyBorder="1" applyAlignment="1">
      <alignment horizontal="right" vertical="top"/>
    </xf>
    <xf numFmtId="164" fontId="6" fillId="4" borderId="83" xfId="0" applyNumberFormat="1" applyFont="1" applyFill="1" applyBorder="1" applyAlignment="1">
      <alignment horizontal="right" vertical="top"/>
    </xf>
    <xf numFmtId="164" fontId="6" fillId="4" borderId="84" xfId="0" applyNumberFormat="1" applyFont="1" applyFill="1" applyBorder="1" applyAlignment="1">
      <alignment horizontal="right" vertical="top"/>
    </xf>
    <xf numFmtId="164" fontId="7" fillId="4" borderId="80" xfId="0" applyNumberFormat="1" applyFont="1" applyFill="1" applyBorder="1" applyAlignment="1">
      <alignment horizontal="right" vertical="top"/>
    </xf>
    <xf numFmtId="0" fontId="6" fillId="0" borderId="40" xfId="0" applyFont="1" applyFill="1" applyBorder="1" applyAlignment="1">
      <alignment horizontal="center" vertical="top" wrapText="1"/>
    </xf>
    <xf numFmtId="0" fontId="6" fillId="0" borderId="44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49" fontId="9" fillId="0" borderId="40" xfId="0" applyNumberFormat="1" applyFont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top" wrapText="1"/>
    </xf>
    <xf numFmtId="49" fontId="9" fillId="0" borderId="34" xfId="0" applyNumberFormat="1" applyFont="1" applyBorder="1" applyAlignment="1">
      <alignment horizontal="center" vertical="top" wrapText="1"/>
    </xf>
    <xf numFmtId="49" fontId="11" fillId="0" borderId="40" xfId="0" applyNumberFormat="1" applyFont="1" applyBorder="1" applyAlignment="1">
      <alignment horizontal="center" vertical="top" wrapText="1"/>
    </xf>
    <xf numFmtId="49" fontId="11" fillId="0" borderId="44" xfId="0" applyNumberFormat="1" applyFont="1" applyBorder="1" applyAlignment="1">
      <alignment horizontal="center" vertical="top" wrapText="1"/>
    </xf>
    <xf numFmtId="49" fontId="11" fillId="0" borderId="34" xfId="0" applyNumberFormat="1" applyFont="1" applyBorder="1" applyAlignment="1">
      <alignment horizontal="center" vertical="top" wrapText="1"/>
    </xf>
    <xf numFmtId="0" fontId="9" fillId="0" borderId="81" xfId="0" applyFont="1" applyFill="1" applyBorder="1" applyAlignment="1">
      <alignment vertical="top" wrapText="1"/>
    </xf>
    <xf numFmtId="164" fontId="9" fillId="4" borderId="33" xfId="0" applyNumberFormat="1" applyFont="1" applyFill="1" applyBorder="1" applyAlignment="1">
      <alignment horizontal="left" vertical="top" wrapText="1"/>
    </xf>
    <xf numFmtId="0" fontId="11" fillId="4" borderId="38" xfId="0" applyFont="1" applyFill="1" applyBorder="1" applyAlignment="1">
      <alignment vertical="top"/>
    </xf>
    <xf numFmtId="0" fontId="7" fillId="4" borderId="52" xfId="0" applyFont="1" applyFill="1" applyBorder="1" applyAlignment="1">
      <alignment horizontal="center" vertical="top" wrapText="1"/>
    </xf>
    <xf numFmtId="49" fontId="9" fillId="4" borderId="52" xfId="0" applyNumberFormat="1" applyFont="1" applyFill="1" applyBorder="1" applyAlignment="1">
      <alignment horizontal="center" vertical="top"/>
    </xf>
    <xf numFmtId="0" fontId="11" fillId="4" borderId="52" xfId="4" applyNumberFormat="1" applyFont="1" applyFill="1" applyBorder="1" applyAlignment="1">
      <alignment horizontal="center" vertical="top"/>
    </xf>
    <xf numFmtId="164" fontId="9" fillId="4" borderId="1" xfId="0" applyNumberFormat="1" applyFont="1" applyFill="1" applyBorder="1" applyAlignment="1">
      <alignment vertical="top"/>
    </xf>
    <xf numFmtId="164" fontId="9" fillId="0" borderId="44" xfId="0" applyNumberFormat="1" applyFont="1" applyBorder="1" applyAlignment="1">
      <alignment vertical="top"/>
    </xf>
    <xf numFmtId="164" fontId="9" fillId="0" borderId="54" xfId="0" applyNumberFormat="1" applyFont="1" applyBorder="1" applyAlignment="1">
      <alignment vertical="top"/>
    </xf>
    <xf numFmtId="164" fontId="9" fillId="0" borderId="4" xfId="0" applyNumberFormat="1" applyFont="1" applyFill="1" applyBorder="1" applyAlignment="1">
      <alignment vertical="top"/>
    </xf>
    <xf numFmtId="164" fontId="9" fillId="0" borderId="4" xfId="0" applyNumberFormat="1" applyFont="1" applyBorder="1" applyAlignment="1">
      <alignment vertical="top"/>
    </xf>
    <xf numFmtId="0" fontId="9" fillId="0" borderId="44" xfId="0" applyFont="1" applyBorder="1" applyAlignment="1">
      <alignment horizontal="center" vertical="top" wrapText="1"/>
    </xf>
    <xf numFmtId="164" fontId="9" fillId="0" borderId="38" xfId="0" applyNumberFormat="1" applyFont="1" applyBorder="1" applyAlignment="1">
      <alignment vertical="top"/>
    </xf>
    <xf numFmtId="0" fontId="9" fillId="0" borderId="66" xfId="0" applyFont="1" applyBorder="1" applyAlignment="1">
      <alignment vertical="top" wrapText="1"/>
    </xf>
    <xf numFmtId="164" fontId="9" fillId="0" borderId="16" xfId="0" applyNumberFormat="1" applyFont="1" applyFill="1" applyBorder="1" applyAlignment="1">
      <alignment vertical="top"/>
    </xf>
    <xf numFmtId="164" fontId="9" fillId="0" borderId="16" xfId="0" applyNumberFormat="1" applyFont="1" applyBorder="1" applyAlignment="1">
      <alignment vertical="top"/>
    </xf>
    <xf numFmtId="164" fontId="9" fillId="0" borderId="55" xfId="0" applyNumberFormat="1" applyFont="1" applyBorder="1" applyAlignment="1">
      <alignment vertical="top"/>
    </xf>
    <xf numFmtId="164" fontId="9" fillId="0" borderId="57" xfId="0" applyNumberFormat="1" applyFont="1" applyFill="1" applyBorder="1" applyAlignment="1">
      <alignment vertical="top"/>
    </xf>
    <xf numFmtId="164" fontId="9" fillId="0" borderId="57" xfId="0" applyNumberFormat="1" applyFont="1" applyBorder="1" applyAlignment="1">
      <alignment vertical="top"/>
    </xf>
    <xf numFmtId="164" fontId="9" fillId="0" borderId="92" xfId="0" applyNumberFormat="1" applyFont="1" applyBorder="1" applyAlignment="1">
      <alignment vertical="top"/>
    </xf>
    <xf numFmtId="164" fontId="9" fillId="0" borderId="89" xfId="0" applyNumberFormat="1" applyFont="1" applyFill="1" applyBorder="1" applyAlignment="1">
      <alignment vertical="top"/>
    </xf>
    <xf numFmtId="0" fontId="9" fillId="0" borderId="105" xfId="0" applyFont="1" applyBorder="1" applyAlignment="1">
      <alignment horizontal="left" vertical="top" wrapText="1"/>
    </xf>
    <xf numFmtId="0" fontId="9" fillId="0" borderId="94" xfId="0" applyFont="1" applyBorder="1" applyAlignment="1">
      <alignment horizontal="center" vertical="top"/>
    </xf>
    <xf numFmtId="0" fontId="9" fillId="0" borderId="92" xfId="0" applyFont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0" fontId="9" fillId="0" borderId="54" xfId="4" applyNumberFormat="1" applyFont="1" applyBorder="1" applyAlignment="1">
      <alignment horizontal="center" vertical="top" wrapText="1"/>
    </xf>
    <xf numFmtId="49" fontId="11" fillId="10" borderId="40" xfId="0" applyNumberFormat="1" applyFont="1" applyFill="1" applyBorder="1" applyAlignment="1">
      <alignment horizontal="center" vertical="top"/>
    </xf>
    <xf numFmtId="49" fontId="11" fillId="10" borderId="44" xfId="0" applyNumberFormat="1" applyFont="1" applyFill="1" applyBorder="1" applyAlignment="1">
      <alignment horizontal="center" vertical="top"/>
    </xf>
    <xf numFmtId="164" fontId="9" fillId="4" borderId="38" xfId="0" applyNumberFormat="1" applyFont="1" applyFill="1" applyBorder="1" applyAlignment="1">
      <alignment horizontal="right" vertical="top"/>
    </xf>
    <xf numFmtId="164" fontId="9" fillId="4" borderId="62" xfId="0" applyNumberFormat="1" applyFont="1" applyFill="1" applyBorder="1" applyAlignment="1">
      <alignment horizontal="right" vertical="top"/>
    </xf>
    <xf numFmtId="164" fontId="9" fillId="0" borderId="2" xfId="0" applyNumberFormat="1" applyFont="1" applyBorder="1" applyAlignment="1">
      <alignment horizontal="right" vertical="top"/>
    </xf>
    <xf numFmtId="164" fontId="2" fillId="10" borderId="31" xfId="0" applyNumberFormat="1" applyFont="1" applyFill="1" applyBorder="1" applyAlignment="1">
      <alignment horizontal="right" vertical="top"/>
    </xf>
    <xf numFmtId="49" fontId="3" fillId="0" borderId="52" xfId="0" applyNumberFormat="1" applyFont="1" applyBorder="1" applyAlignment="1">
      <alignment horizontal="left" vertical="top" wrapText="1"/>
    </xf>
    <xf numFmtId="49" fontId="9" fillId="0" borderId="51" xfId="0" applyNumberFormat="1" applyFont="1" applyFill="1" applyBorder="1" applyAlignment="1">
      <alignment horizontal="center" wrapText="1"/>
    </xf>
    <xf numFmtId="49" fontId="9" fillId="0" borderId="55" xfId="0" applyNumberFormat="1" applyFont="1" applyFill="1" applyBorder="1" applyAlignment="1">
      <alignment horizontal="center" wrapText="1"/>
    </xf>
    <xf numFmtId="0" fontId="12" fillId="0" borderId="67" xfId="0" applyFont="1" applyFill="1" applyBorder="1" applyAlignment="1">
      <alignment horizontal="center" vertical="top" wrapText="1"/>
    </xf>
    <xf numFmtId="49" fontId="12" fillId="0" borderId="52" xfId="0" quotePrefix="1" applyNumberFormat="1" applyFont="1" applyBorder="1" applyAlignment="1">
      <alignment horizontal="center" vertical="top" wrapText="1"/>
    </xf>
    <xf numFmtId="0" fontId="6" fillId="0" borderId="53" xfId="0" applyFont="1" applyFill="1" applyBorder="1" applyAlignment="1">
      <alignment horizontal="center" vertical="center" textRotation="90"/>
    </xf>
    <xf numFmtId="49" fontId="9" fillId="0" borderId="53" xfId="0" applyNumberFormat="1" applyFont="1" applyBorder="1" applyAlignment="1">
      <alignment horizontal="center" vertical="top"/>
    </xf>
    <xf numFmtId="49" fontId="11" fillId="0" borderId="16" xfId="0" applyNumberFormat="1" applyFont="1" applyFill="1" applyBorder="1" applyAlignment="1">
      <alignment horizontal="center" vertical="top"/>
    </xf>
    <xf numFmtId="0" fontId="9" fillId="0" borderId="79" xfId="0" applyFont="1" applyBorder="1" applyAlignment="1">
      <alignment horizontal="center" vertical="top"/>
    </xf>
    <xf numFmtId="164" fontId="9" fillId="4" borderId="81" xfId="0" applyNumberFormat="1" applyFont="1" applyFill="1" applyBorder="1" applyAlignment="1">
      <alignment horizontal="right" vertical="top"/>
    </xf>
    <xf numFmtId="164" fontId="9" fillId="4" borderId="83" xfId="0" applyNumberFormat="1" applyFont="1" applyFill="1" applyBorder="1" applyAlignment="1">
      <alignment horizontal="right" vertical="top"/>
    </xf>
    <xf numFmtId="164" fontId="9" fillId="4" borderId="84" xfId="0" applyNumberFormat="1" applyFont="1" applyFill="1" applyBorder="1" applyAlignment="1">
      <alignment horizontal="right" vertical="top"/>
    </xf>
    <xf numFmtId="164" fontId="9" fillId="0" borderId="79" xfId="0" applyNumberFormat="1" applyFont="1" applyBorder="1" applyAlignment="1">
      <alignment horizontal="right" vertical="top"/>
    </xf>
    <xf numFmtId="0" fontId="9" fillId="0" borderId="81" xfId="0" applyFont="1" applyBorder="1" applyAlignment="1">
      <alignment horizontal="left" vertical="top" wrapText="1"/>
    </xf>
    <xf numFmtId="0" fontId="5" fillId="4" borderId="34" xfId="0" applyFont="1" applyFill="1" applyBorder="1" applyAlignment="1">
      <alignment horizontal="left" vertical="top" wrapText="1"/>
    </xf>
    <xf numFmtId="49" fontId="11" fillId="0" borderId="82" xfId="0" applyNumberFormat="1" applyFont="1" applyBorder="1" applyAlignment="1">
      <alignment horizontal="center" vertical="top"/>
    </xf>
    <xf numFmtId="0" fontId="9" fillId="4" borderId="83" xfId="0" applyFont="1" applyFill="1" applyBorder="1" applyAlignment="1">
      <alignment horizontal="left" vertical="top" wrapText="1"/>
    </xf>
    <xf numFmtId="0" fontId="9" fillId="0" borderId="46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vertical="top"/>
    </xf>
    <xf numFmtId="0" fontId="9" fillId="0" borderId="29" xfId="0" applyFont="1" applyBorder="1" applyAlignment="1">
      <alignment horizontal="center" vertical="center" textRotation="90" shrinkToFit="1"/>
    </xf>
    <xf numFmtId="0" fontId="9" fillId="0" borderId="36" xfId="0" applyFont="1" applyBorder="1" applyAlignment="1">
      <alignment horizontal="center" vertical="center" textRotation="90" shrinkToFit="1"/>
    </xf>
    <xf numFmtId="0" fontId="5" fillId="0" borderId="55" xfId="0" applyNumberFormat="1" applyFont="1" applyBorder="1" applyAlignment="1">
      <alignment horizontal="center" vertical="top"/>
    </xf>
    <xf numFmtId="0" fontId="5" fillId="4" borderId="33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55" xfId="0" applyFont="1" applyFill="1" applyBorder="1" applyAlignment="1">
      <alignment horizontal="center" vertical="top" wrapText="1"/>
    </xf>
    <xf numFmtId="49" fontId="5" fillId="4" borderId="16" xfId="0" applyNumberFormat="1" applyFont="1" applyFill="1" applyBorder="1" applyAlignment="1">
      <alignment horizontal="center" vertical="top" wrapText="1"/>
    </xf>
    <xf numFmtId="164" fontId="9" fillId="3" borderId="26" xfId="0" applyNumberFormat="1" applyFont="1" applyFill="1" applyBorder="1" applyAlignment="1">
      <alignment horizontal="center" vertical="center"/>
    </xf>
    <xf numFmtId="164" fontId="9" fillId="3" borderId="38" xfId="0" applyNumberFormat="1" applyFont="1" applyFill="1" applyBorder="1" applyAlignment="1">
      <alignment horizontal="center" vertical="center"/>
    </xf>
    <xf numFmtId="164" fontId="11" fillId="8" borderId="36" xfId="0" applyNumberFormat="1" applyFont="1" applyFill="1" applyBorder="1" applyAlignment="1">
      <alignment horizontal="center" vertical="top"/>
    </xf>
    <xf numFmtId="164" fontId="9" fillId="4" borderId="46" xfId="0" applyNumberFormat="1" applyFont="1" applyFill="1" applyBorder="1" applyAlignment="1">
      <alignment horizontal="center" vertical="top"/>
    </xf>
    <xf numFmtId="164" fontId="9" fillId="4" borderId="35" xfId="0" applyNumberFormat="1" applyFont="1" applyFill="1" applyBorder="1" applyAlignment="1">
      <alignment horizontal="center" vertical="top"/>
    </xf>
    <xf numFmtId="164" fontId="9" fillId="4" borderId="74" xfId="0" applyNumberFormat="1" applyFont="1" applyFill="1" applyBorder="1" applyAlignment="1">
      <alignment horizontal="center" vertical="top"/>
    </xf>
    <xf numFmtId="164" fontId="9" fillId="4" borderId="16" xfId="0" applyNumberFormat="1" applyFont="1" applyFill="1" applyBorder="1" applyAlignment="1">
      <alignment horizontal="center" vertical="top"/>
    </xf>
    <xf numFmtId="0" fontId="9" fillId="4" borderId="16" xfId="0" applyFont="1" applyFill="1" applyBorder="1" applyAlignment="1">
      <alignment horizontal="center" vertical="top"/>
    </xf>
    <xf numFmtId="164" fontId="9" fillId="4" borderId="55" xfId="0" applyNumberFormat="1" applyFont="1" applyFill="1" applyBorder="1" applyAlignment="1">
      <alignment horizontal="center" vertical="top"/>
    </xf>
    <xf numFmtId="164" fontId="9" fillId="0" borderId="39" xfId="0" applyNumberFormat="1" applyFont="1" applyFill="1" applyBorder="1" applyAlignment="1">
      <alignment horizontal="center" vertical="top"/>
    </xf>
    <xf numFmtId="164" fontId="9" fillId="0" borderId="38" xfId="0" applyNumberFormat="1" applyFont="1" applyFill="1" applyBorder="1" applyAlignment="1">
      <alignment horizontal="center" vertical="top"/>
    </xf>
    <xf numFmtId="164" fontId="9" fillId="0" borderId="2" xfId="0" applyNumberFormat="1" applyFont="1" applyBorder="1" applyAlignment="1">
      <alignment horizontal="center" vertical="top"/>
    </xf>
    <xf numFmtId="164" fontId="9" fillId="0" borderId="59" xfId="0" applyNumberFormat="1" applyFont="1" applyBorder="1" applyAlignment="1">
      <alignment horizontal="center" vertical="top"/>
    </xf>
    <xf numFmtId="164" fontId="9" fillId="0" borderId="27" xfId="0" applyNumberFormat="1" applyFont="1" applyFill="1" applyBorder="1" applyAlignment="1">
      <alignment horizontal="center" vertical="center"/>
    </xf>
    <xf numFmtId="164" fontId="9" fillId="0" borderId="48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9" fillId="0" borderId="62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61" xfId="0" applyNumberFormat="1" applyFont="1" applyFill="1" applyBorder="1" applyAlignment="1">
      <alignment horizontal="center" vertical="top"/>
    </xf>
    <xf numFmtId="164" fontId="9" fillId="0" borderId="56" xfId="0" applyNumberFormat="1" applyFont="1" applyFill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top"/>
    </xf>
    <xf numFmtId="164" fontId="9" fillId="0" borderId="95" xfId="0" applyNumberFormat="1" applyFont="1" applyFill="1" applyBorder="1" applyAlignment="1">
      <alignment horizontal="center" vertical="top"/>
    </xf>
    <xf numFmtId="164" fontId="11" fillId="10" borderId="21" xfId="0" applyNumberFormat="1" applyFont="1" applyFill="1" applyBorder="1" applyAlignment="1">
      <alignment horizontal="center" vertical="top"/>
    </xf>
    <xf numFmtId="164" fontId="9" fillId="4" borderId="52" xfId="0" applyNumberFormat="1" applyFont="1" applyFill="1" applyBorder="1" applyAlignment="1">
      <alignment horizontal="center" vertical="top"/>
    </xf>
    <xf numFmtId="164" fontId="9" fillId="0" borderId="12" xfId="0" applyNumberFormat="1" applyFont="1" applyFill="1" applyBorder="1" applyAlignment="1">
      <alignment horizontal="center" vertical="top"/>
    </xf>
    <xf numFmtId="165" fontId="9" fillId="4" borderId="2" xfId="0" applyNumberFormat="1" applyFont="1" applyFill="1" applyBorder="1" applyAlignment="1">
      <alignment horizontal="center" vertical="top" wrapText="1"/>
    </xf>
    <xf numFmtId="164" fontId="11" fillId="8" borderId="74" xfId="0" applyNumberFormat="1" applyFont="1" applyFill="1" applyBorder="1" applyAlignment="1">
      <alignment horizontal="center" vertical="top"/>
    </xf>
    <xf numFmtId="164" fontId="11" fillId="8" borderId="16" xfId="0" applyNumberFormat="1" applyFont="1" applyFill="1" applyBorder="1" applyAlignment="1">
      <alignment horizontal="center" vertical="top"/>
    </xf>
    <xf numFmtId="164" fontId="11" fillId="8" borderId="55" xfId="0" applyNumberFormat="1" applyFont="1" applyFill="1" applyBorder="1" applyAlignment="1">
      <alignment horizontal="center" vertical="top"/>
    </xf>
    <xf numFmtId="164" fontId="11" fillId="8" borderId="53" xfId="0" applyNumberFormat="1" applyFont="1" applyFill="1" applyBorder="1" applyAlignment="1">
      <alignment horizontal="center" vertical="top"/>
    </xf>
    <xf numFmtId="164" fontId="11" fillId="8" borderId="45" xfId="0" applyNumberFormat="1" applyFont="1" applyFill="1" applyBorder="1" applyAlignment="1">
      <alignment horizontal="center" vertical="top"/>
    </xf>
    <xf numFmtId="164" fontId="11" fillId="9" borderId="24" xfId="0" applyNumberFormat="1" applyFont="1" applyFill="1" applyBorder="1" applyAlignment="1">
      <alignment horizontal="center" vertical="top"/>
    </xf>
    <xf numFmtId="164" fontId="11" fillId="7" borderId="24" xfId="0" applyNumberFormat="1" applyFont="1" applyFill="1" applyBorder="1" applyAlignment="1">
      <alignment horizontal="center" vertical="top"/>
    </xf>
    <xf numFmtId="164" fontId="11" fillId="7" borderId="3" xfId="0" applyNumberFormat="1" applyFont="1" applyFill="1" applyBorder="1" applyAlignment="1">
      <alignment horizontal="center" vertical="top"/>
    </xf>
    <xf numFmtId="0" fontId="5" fillId="0" borderId="53" xfId="0" applyNumberFormat="1" applyFont="1" applyBorder="1" applyAlignment="1">
      <alignment horizontal="center" vertical="top"/>
    </xf>
    <xf numFmtId="0" fontId="5" fillId="4" borderId="44" xfId="0" applyFont="1" applyFill="1" applyBorder="1" applyAlignment="1">
      <alignment horizontal="center" vertical="top" wrapText="1"/>
    </xf>
    <xf numFmtId="0" fontId="12" fillId="4" borderId="44" xfId="0" applyFont="1" applyFill="1" applyBorder="1" applyAlignment="1">
      <alignment horizontal="center" vertical="top" wrapText="1"/>
    </xf>
    <xf numFmtId="0" fontId="12" fillId="4" borderId="54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left" vertical="top" wrapText="1"/>
    </xf>
    <xf numFmtId="0" fontId="12" fillId="4" borderId="71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vertical="top"/>
    </xf>
    <xf numFmtId="0" fontId="9" fillId="0" borderId="71" xfId="0" applyNumberFormat="1" applyFont="1" applyBorder="1" applyAlignment="1">
      <alignment horizontal="center" vertical="top"/>
    </xf>
    <xf numFmtId="0" fontId="9" fillId="4" borderId="21" xfId="0" applyFont="1" applyFill="1" applyBorder="1" applyAlignment="1">
      <alignment vertical="top" wrapText="1"/>
    </xf>
    <xf numFmtId="0" fontId="9" fillId="0" borderId="44" xfId="0" applyFont="1" applyBorder="1" applyAlignment="1">
      <alignment vertical="top"/>
    </xf>
    <xf numFmtId="164" fontId="9" fillId="0" borderId="27" xfId="0" applyNumberFormat="1" applyFont="1" applyFill="1" applyBorder="1" applyAlignment="1">
      <alignment horizontal="center" vertical="top"/>
    </xf>
    <xf numFmtId="164" fontId="9" fillId="0" borderId="51" xfId="0" applyNumberFormat="1" applyFont="1" applyBorder="1" applyAlignment="1">
      <alignment horizontal="center" vertical="top"/>
    </xf>
    <xf numFmtId="164" fontId="9" fillId="4" borderId="81" xfId="0" applyNumberFormat="1" applyFont="1" applyFill="1" applyBorder="1" applyAlignment="1">
      <alignment horizontal="center" vertical="top"/>
    </xf>
    <xf numFmtId="164" fontId="9" fillId="0" borderId="83" xfId="0" applyNumberFormat="1" applyFont="1" applyBorder="1" applyAlignment="1">
      <alignment horizontal="center" vertical="top"/>
    </xf>
    <xf numFmtId="164" fontId="9" fillId="0" borderId="82" xfId="0" applyNumberFormat="1" applyFont="1" applyBorder="1" applyAlignment="1">
      <alignment horizontal="center" vertical="top"/>
    </xf>
    <xf numFmtId="164" fontId="3" fillId="0" borderId="52" xfId="0" applyNumberFormat="1" applyFont="1" applyFill="1" applyBorder="1" applyAlignment="1">
      <alignment horizontal="center" vertical="top"/>
    </xf>
    <xf numFmtId="164" fontId="2" fillId="10" borderId="21" xfId="0" applyNumberFormat="1" applyFont="1" applyFill="1" applyBorder="1" applyAlignment="1">
      <alignment horizontal="center" vertical="top"/>
    </xf>
    <xf numFmtId="0" fontId="9" fillId="4" borderId="93" xfId="0" applyFont="1" applyFill="1" applyBorder="1" applyAlignment="1">
      <alignment vertical="top" wrapText="1"/>
    </xf>
    <xf numFmtId="0" fontId="5" fillId="3" borderId="54" xfId="0" applyFont="1" applyFill="1" applyBorder="1" applyAlignment="1">
      <alignment vertical="top"/>
    </xf>
    <xf numFmtId="0" fontId="5" fillId="3" borderId="44" xfId="0" applyFont="1" applyFill="1" applyBorder="1" applyAlignment="1">
      <alignment vertical="top"/>
    </xf>
    <xf numFmtId="0" fontId="26" fillId="10" borderId="23" xfId="0" applyFont="1" applyFill="1" applyBorder="1" applyAlignment="1"/>
    <xf numFmtId="164" fontId="9" fillId="4" borderId="78" xfId="0" applyNumberFormat="1" applyFont="1" applyFill="1" applyBorder="1" applyAlignment="1">
      <alignment vertical="top"/>
    </xf>
    <xf numFmtId="0" fontId="9" fillId="0" borderId="15" xfId="0" applyFont="1" applyFill="1" applyBorder="1" applyAlignment="1">
      <alignment horizontal="center" vertical="top" wrapText="1"/>
    </xf>
    <xf numFmtId="164" fontId="9" fillId="4" borderId="17" xfId="0" applyNumberFormat="1" applyFont="1" applyFill="1" applyBorder="1" applyAlignment="1">
      <alignment vertical="top"/>
    </xf>
    <xf numFmtId="164" fontId="11" fillId="10" borderId="13" xfId="0" applyNumberFormat="1" applyFont="1" applyFill="1" applyBorder="1" applyAlignment="1">
      <alignment vertical="top"/>
    </xf>
    <xf numFmtId="49" fontId="11" fillId="4" borderId="52" xfId="0" applyNumberFormat="1" applyFont="1" applyFill="1" applyBorder="1" applyAlignment="1">
      <alignment horizontal="center" vertical="top"/>
    </xf>
    <xf numFmtId="0" fontId="7" fillId="0" borderId="46" xfId="0" applyFont="1" applyFill="1" applyBorder="1" applyAlignment="1">
      <alignment horizontal="center" vertical="top" wrapText="1"/>
    </xf>
    <xf numFmtId="49" fontId="11" fillId="0" borderId="67" xfId="0" applyNumberFormat="1" applyFont="1" applyBorder="1" applyAlignment="1">
      <alignment horizontal="center" vertical="top"/>
    </xf>
    <xf numFmtId="49" fontId="11" fillId="4" borderId="52" xfId="0" applyNumberFormat="1" applyFont="1" applyFill="1" applyBorder="1" applyAlignment="1">
      <alignment vertical="top"/>
    </xf>
    <xf numFmtId="49" fontId="11" fillId="9" borderId="33" xfId="0" applyNumberFormat="1" applyFont="1" applyFill="1" applyBorder="1" applyAlignment="1">
      <alignment vertical="top"/>
    </xf>
    <xf numFmtId="49" fontId="11" fillId="2" borderId="34" xfId="0" applyNumberFormat="1" applyFont="1" applyFill="1" applyBorder="1" applyAlignment="1">
      <alignment vertical="top"/>
    </xf>
    <xf numFmtId="49" fontId="11" fillId="10" borderId="34" xfId="0" applyNumberFormat="1" applyFont="1" applyFill="1" applyBorder="1" applyAlignment="1">
      <alignment vertical="top"/>
    </xf>
    <xf numFmtId="0" fontId="11" fillId="0" borderId="67" xfId="4" applyNumberFormat="1" applyFont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164" fontId="11" fillId="8" borderId="57" xfId="0" applyNumberFormat="1" applyFont="1" applyFill="1" applyBorder="1" applyAlignment="1">
      <alignment horizontal="center" vertical="top"/>
    </xf>
    <xf numFmtId="164" fontId="11" fillId="2" borderId="3" xfId="0" applyNumberFormat="1" applyFont="1" applyFill="1" applyBorder="1" applyAlignment="1">
      <alignment horizontal="center" vertical="top"/>
    </xf>
    <xf numFmtId="164" fontId="11" fillId="9" borderId="3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44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9" fillId="4" borderId="40" xfId="0" applyNumberFormat="1" applyFont="1" applyFill="1" applyBorder="1" applyAlignment="1">
      <alignment horizontal="center" vertical="top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4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9" fillId="4" borderId="16" xfId="0" applyFont="1" applyFill="1" applyBorder="1" applyAlignment="1">
      <alignment vertical="top" wrapText="1"/>
    </xf>
    <xf numFmtId="0" fontId="9" fillId="4" borderId="38" xfId="0" applyFont="1" applyFill="1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11" fillId="4" borderId="44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44" xfId="0" applyNumberFormat="1" applyFont="1" applyFill="1" applyBorder="1" applyAlignment="1">
      <alignment vertical="top"/>
    </xf>
    <xf numFmtId="49" fontId="11" fillId="4" borderId="18" xfId="0" applyNumberFormat="1" applyFont="1" applyFill="1" applyBorder="1" applyAlignment="1">
      <alignment vertical="top"/>
    </xf>
    <xf numFmtId="49" fontId="11" fillId="4" borderId="19" xfId="0" applyNumberFormat="1" applyFont="1" applyFill="1" applyBorder="1" applyAlignment="1">
      <alignment vertical="top"/>
    </xf>
    <xf numFmtId="164" fontId="9" fillId="4" borderId="44" xfId="0" applyNumberFormat="1" applyFont="1" applyFill="1" applyBorder="1" applyAlignment="1">
      <alignment horizontal="center" vertical="center" textRotation="90" wrapText="1"/>
    </xf>
    <xf numFmtId="164" fontId="9" fillId="4" borderId="54" xfId="0" applyNumberFormat="1" applyFont="1" applyFill="1" applyBorder="1" applyAlignment="1">
      <alignment horizontal="center" vertical="center" textRotation="90" wrapText="1"/>
    </xf>
    <xf numFmtId="49" fontId="11" fillId="4" borderId="78" xfId="0" applyNumberFormat="1" applyFont="1" applyFill="1" applyBorder="1" applyAlignment="1">
      <alignment horizontal="center" vertical="top"/>
    </xf>
    <xf numFmtId="49" fontId="11" fillId="4" borderId="66" xfId="0" applyNumberFormat="1" applyFont="1" applyFill="1" applyBorder="1" applyAlignment="1">
      <alignment horizontal="center" vertical="top"/>
    </xf>
    <xf numFmtId="49" fontId="11" fillId="4" borderId="23" xfId="0" applyNumberFormat="1" applyFont="1" applyFill="1" applyBorder="1" applyAlignment="1">
      <alignment vertical="top"/>
    </xf>
    <xf numFmtId="0" fontId="3" fillId="0" borderId="98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top"/>
    </xf>
    <xf numFmtId="0" fontId="5" fillId="0" borderId="54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left" vertical="top" wrapText="1"/>
    </xf>
    <xf numFmtId="0" fontId="12" fillId="4" borderId="31" xfId="0" applyNumberFormat="1" applyFont="1" applyFill="1" applyBorder="1" applyAlignment="1">
      <alignment horizontal="center" vertical="top"/>
    </xf>
    <xf numFmtId="0" fontId="12" fillId="4" borderId="32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vertical="top"/>
    </xf>
    <xf numFmtId="49" fontId="11" fillId="4" borderId="66" xfId="0" applyNumberFormat="1" applyFont="1" applyFill="1" applyBorder="1" applyAlignment="1">
      <alignment vertical="top"/>
    </xf>
    <xf numFmtId="49" fontId="11" fillId="0" borderId="62" xfId="0" applyNumberFormat="1" applyFont="1" applyFill="1" applyBorder="1" applyAlignment="1">
      <alignment horizontal="center" vertical="top"/>
    </xf>
    <xf numFmtId="49" fontId="11" fillId="0" borderId="55" xfId="0" applyNumberFormat="1" applyFont="1" applyFill="1" applyBorder="1" applyAlignment="1">
      <alignment horizontal="center" vertical="top"/>
    </xf>
    <xf numFmtId="0" fontId="11" fillId="8" borderId="57" xfId="0" applyFont="1" applyFill="1" applyBorder="1" applyAlignment="1">
      <alignment horizontal="center" vertical="top"/>
    </xf>
    <xf numFmtId="0" fontId="26" fillId="4" borderId="31" xfId="0" applyFont="1" applyFill="1" applyBorder="1" applyAlignment="1"/>
    <xf numFmtId="49" fontId="11" fillId="4" borderId="31" xfId="0" applyNumberFormat="1" applyFont="1" applyFill="1" applyBorder="1" applyAlignment="1">
      <alignment vertical="top"/>
    </xf>
    <xf numFmtId="49" fontId="11" fillId="4" borderId="32" xfId="0" applyNumberFormat="1" applyFont="1" applyFill="1" applyBorder="1" applyAlignment="1">
      <alignment vertical="top"/>
    </xf>
    <xf numFmtId="164" fontId="9" fillId="3" borderId="25" xfId="0" applyNumberFormat="1" applyFont="1" applyFill="1" applyBorder="1" applyAlignment="1">
      <alignment horizontal="center" vertical="top"/>
    </xf>
    <xf numFmtId="164" fontId="9" fillId="3" borderId="26" xfId="0" applyNumberFormat="1" applyFont="1" applyFill="1" applyBorder="1" applyAlignment="1">
      <alignment horizontal="center" vertical="top"/>
    </xf>
    <xf numFmtId="164" fontId="9" fillId="3" borderId="27" xfId="0" applyNumberFormat="1" applyFont="1" applyFill="1" applyBorder="1" applyAlignment="1">
      <alignment horizontal="center" vertical="top"/>
    </xf>
    <xf numFmtId="0" fontId="9" fillId="0" borderId="91" xfId="0" applyFont="1" applyBorder="1" applyAlignment="1">
      <alignment vertical="top" wrapText="1"/>
    </xf>
    <xf numFmtId="0" fontId="25" fillId="0" borderId="0" xfId="0" applyFont="1" applyAlignment="1">
      <alignment vertical="top"/>
    </xf>
    <xf numFmtId="0" fontId="9" fillId="4" borderId="44" xfId="0" applyFont="1" applyFill="1" applyBorder="1" applyAlignment="1">
      <alignment vertical="top" wrapText="1"/>
    </xf>
    <xf numFmtId="49" fontId="11" fillId="10" borderId="34" xfId="0" applyNumberFormat="1" applyFont="1" applyFill="1" applyBorder="1" applyAlignment="1">
      <alignment horizontal="center" vertical="top"/>
    </xf>
    <xf numFmtId="49" fontId="11" fillId="4" borderId="67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textRotation="90"/>
    </xf>
    <xf numFmtId="49" fontId="9" fillId="0" borderId="19" xfId="0" applyNumberFormat="1" applyFont="1" applyBorder="1" applyAlignment="1">
      <alignment horizontal="center" vertical="top"/>
    </xf>
    <xf numFmtId="164" fontId="9" fillId="0" borderId="34" xfId="0" applyNumberFormat="1" applyFont="1" applyBorder="1" applyAlignment="1">
      <alignment horizontal="center" vertical="top"/>
    </xf>
    <xf numFmtId="164" fontId="9" fillId="0" borderId="52" xfId="0" applyNumberFormat="1" applyFont="1" applyBorder="1" applyAlignment="1">
      <alignment horizontal="center" vertical="top"/>
    </xf>
    <xf numFmtId="0" fontId="11" fillId="8" borderId="1" xfId="0" applyFont="1" applyFill="1" applyBorder="1" applyAlignment="1">
      <alignment horizontal="right" vertical="top" wrapText="1"/>
    </xf>
    <xf numFmtId="164" fontId="11" fillId="8" borderId="33" xfId="0" applyNumberFormat="1" applyFont="1" applyFill="1" applyBorder="1" applyAlignment="1">
      <alignment vertical="top"/>
    </xf>
    <xf numFmtId="164" fontId="11" fillId="8" borderId="34" xfId="0" applyNumberFormat="1" applyFont="1" applyFill="1" applyBorder="1" applyAlignment="1">
      <alignment vertical="top"/>
    </xf>
    <xf numFmtId="164" fontId="11" fillId="8" borderId="33" xfId="0" applyNumberFormat="1" applyFont="1" applyFill="1" applyBorder="1" applyAlignment="1">
      <alignment horizontal="center" vertical="top"/>
    </xf>
    <xf numFmtId="0" fontId="25" fillId="4" borderId="34" xfId="0" applyNumberFormat="1" applyFont="1" applyFill="1" applyBorder="1" applyAlignment="1">
      <alignment horizontal="center" vertical="top"/>
    </xf>
    <xf numFmtId="0" fontId="6" fillId="0" borderId="4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2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9" fillId="4" borderId="38" xfId="0" applyNumberFormat="1" applyFont="1" applyFill="1" applyBorder="1" applyAlignment="1">
      <alignment horizontal="center" vertical="top"/>
    </xf>
    <xf numFmtId="165" fontId="7" fillId="0" borderId="38" xfId="0" applyNumberFormat="1" applyFont="1" applyFill="1" applyBorder="1" applyAlignment="1">
      <alignment horizontal="center" vertical="top" wrapText="1"/>
    </xf>
    <xf numFmtId="164" fontId="11" fillId="10" borderId="77" xfId="0" applyNumberFormat="1" applyFont="1" applyFill="1" applyBorder="1" applyAlignment="1">
      <alignment horizontal="center" vertical="top"/>
    </xf>
    <xf numFmtId="164" fontId="11" fillId="10" borderId="30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top"/>
    </xf>
    <xf numFmtId="164" fontId="11" fillId="10" borderId="36" xfId="0" applyNumberFormat="1" applyFont="1" applyFill="1" applyBorder="1" applyAlignment="1">
      <alignment horizontal="center" vertical="top"/>
    </xf>
    <xf numFmtId="165" fontId="7" fillId="0" borderId="65" xfId="0" applyNumberFormat="1" applyFont="1" applyFill="1" applyBorder="1" applyAlignment="1">
      <alignment horizontal="center" vertical="top"/>
    </xf>
    <xf numFmtId="165" fontId="7" fillId="0" borderId="60" xfId="0" applyNumberFormat="1" applyFont="1" applyFill="1" applyBorder="1" applyAlignment="1">
      <alignment horizontal="center" vertical="top"/>
    </xf>
    <xf numFmtId="164" fontId="11" fillId="10" borderId="64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44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vertical="top" wrapText="1"/>
    </xf>
    <xf numFmtId="0" fontId="9" fillId="4" borderId="18" xfId="0" applyFont="1" applyFill="1" applyBorder="1" applyAlignment="1">
      <alignment horizontal="center" vertical="top"/>
    </xf>
    <xf numFmtId="0" fontId="9" fillId="0" borderId="88" xfId="0" applyFont="1" applyBorder="1" applyAlignment="1">
      <alignment horizontal="center" vertical="top" wrapText="1"/>
    </xf>
    <xf numFmtId="0" fontId="9" fillId="0" borderId="83" xfId="0" applyFont="1" applyBorder="1" applyAlignment="1">
      <alignment horizontal="center" vertical="top"/>
    </xf>
    <xf numFmtId="0" fontId="9" fillId="0" borderId="102" xfId="0" applyFont="1" applyBorder="1" applyAlignment="1">
      <alignment horizontal="center" vertical="top"/>
    </xf>
    <xf numFmtId="0" fontId="9" fillId="0" borderId="100" xfId="0" applyFont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7" fillId="0" borderId="83" xfId="0" applyFont="1" applyFill="1" applyBorder="1" applyAlignment="1">
      <alignment horizontal="center" vertical="top"/>
    </xf>
    <xf numFmtId="0" fontId="7" fillId="0" borderId="84" xfId="0" applyFont="1" applyFill="1" applyBorder="1" applyAlignment="1">
      <alignment horizontal="center" vertical="top"/>
    </xf>
    <xf numFmtId="49" fontId="7" fillId="4" borderId="34" xfId="0" applyNumberFormat="1" applyFont="1" applyFill="1" applyBorder="1" applyAlignment="1">
      <alignment horizontal="center" vertical="top"/>
    </xf>
    <xf numFmtId="49" fontId="7" fillId="4" borderId="35" xfId="0" applyNumberFormat="1" applyFont="1" applyFill="1" applyBorder="1" applyAlignment="1">
      <alignment horizontal="center" vertical="top"/>
    </xf>
    <xf numFmtId="49" fontId="9" fillId="0" borderId="62" xfId="0" applyNumberFormat="1" applyFont="1" applyBorder="1" applyAlignment="1">
      <alignment horizontal="center" vertical="top"/>
    </xf>
    <xf numFmtId="0" fontId="9" fillId="4" borderId="38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top" wrapText="1"/>
    </xf>
    <xf numFmtId="164" fontId="11" fillId="7" borderId="4" xfId="0" applyNumberFormat="1" applyFont="1" applyFill="1" applyBorder="1" applyAlignment="1">
      <alignment horizontal="center" vertical="top" wrapText="1"/>
    </xf>
    <xf numFmtId="0" fontId="11" fillId="0" borderId="55" xfId="4" applyNumberFormat="1" applyFont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9" fillId="0" borderId="93" xfId="0" applyFont="1" applyBorder="1" applyAlignment="1">
      <alignment vertical="top" wrapText="1"/>
    </xf>
    <xf numFmtId="0" fontId="9" fillId="4" borderId="91" xfId="0" applyFont="1" applyFill="1" applyBorder="1" applyAlignment="1">
      <alignment vertical="top" wrapText="1"/>
    </xf>
    <xf numFmtId="49" fontId="9" fillId="4" borderId="94" xfId="0" applyNumberFormat="1" applyFont="1" applyFill="1" applyBorder="1" applyAlignment="1">
      <alignment horizontal="center" vertical="top"/>
    </xf>
    <xf numFmtId="49" fontId="9" fillId="4" borderId="92" xfId="0" applyNumberFormat="1" applyFont="1" applyFill="1" applyBorder="1" applyAlignment="1">
      <alignment horizontal="center" vertical="top"/>
    </xf>
    <xf numFmtId="0" fontId="9" fillId="0" borderId="60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center" vertical="top"/>
    </xf>
    <xf numFmtId="0" fontId="7" fillId="0" borderId="62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center" textRotation="90"/>
    </xf>
    <xf numFmtId="0" fontId="6" fillId="0" borderId="72" xfId="0" applyFont="1" applyFill="1" applyBorder="1" applyAlignment="1">
      <alignment horizontal="center" vertical="center" textRotation="90"/>
    </xf>
    <xf numFmtId="0" fontId="7" fillId="0" borderId="78" xfId="0" applyFont="1" applyFill="1" applyBorder="1" applyAlignment="1">
      <alignment vertical="top" wrapText="1"/>
    </xf>
    <xf numFmtId="0" fontId="7" fillId="0" borderId="66" xfId="0" applyFont="1" applyFill="1" applyBorder="1" applyAlignment="1">
      <alignment vertical="top" wrapText="1"/>
    </xf>
    <xf numFmtId="0" fontId="7" fillId="0" borderId="46" xfId="0" applyFont="1" applyFill="1" applyBorder="1" applyAlignment="1">
      <alignment vertical="top" wrapText="1"/>
    </xf>
    <xf numFmtId="0" fontId="7" fillId="0" borderId="74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67" xfId="0" applyFont="1" applyFill="1" applyBorder="1" applyAlignment="1">
      <alignment vertical="top" wrapText="1"/>
    </xf>
    <xf numFmtId="49" fontId="11" fillId="2" borderId="19" xfId="0" applyNumberFormat="1" applyFont="1" applyFill="1" applyBorder="1" applyAlignment="1">
      <alignment vertical="top"/>
    </xf>
    <xf numFmtId="49" fontId="11" fillId="10" borderId="19" xfId="0" applyNumberFormat="1" applyFont="1" applyFill="1" applyBorder="1" applyAlignment="1">
      <alignment vertical="top"/>
    </xf>
    <xf numFmtId="164" fontId="9" fillId="0" borderId="66" xfId="0" applyNumberFormat="1" applyFont="1" applyFill="1" applyBorder="1" applyAlignment="1">
      <alignment horizontal="center" vertical="top"/>
    </xf>
    <xf numFmtId="164" fontId="9" fillId="4" borderId="44" xfId="0" applyNumberFormat="1" applyFont="1" applyFill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164" fontId="9" fillId="4" borderId="1" xfId="0" applyNumberFormat="1" applyFont="1" applyFill="1" applyBorder="1" applyAlignment="1">
      <alignment horizontal="right" vertical="top"/>
    </xf>
    <xf numFmtId="0" fontId="9" fillId="4" borderId="110" xfId="0" applyFont="1" applyFill="1" applyBorder="1" applyAlignment="1">
      <alignment horizontal="center" vertical="top"/>
    </xf>
    <xf numFmtId="0" fontId="9" fillId="4" borderId="114" xfId="0" applyFont="1" applyFill="1" applyBorder="1" applyAlignment="1">
      <alignment horizontal="center" vertical="top"/>
    </xf>
    <xf numFmtId="164" fontId="9" fillId="4" borderId="115" xfId="0" applyNumberFormat="1" applyFont="1" applyFill="1" applyBorder="1" applyAlignment="1">
      <alignment vertical="top"/>
    </xf>
    <xf numFmtId="164" fontId="9" fillId="0" borderId="117" xfId="0" applyNumberFormat="1" applyFont="1" applyBorder="1" applyAlignment="1">
      <alignment horizontal="center" vertical="top"/>
    </xf>
    <xf numFmtId="164" fontId="9" fillId="0" borderId="118" xfId="0" applyNumberFormat="1" applyFont="1" applyBorder="1" applyAlignment="1">
      <alignment horizontal="center" vertical="top"/>
    </xf>
    <xf numFmtId="164" fontId="9" fillId="4" borderId="116" xfId="0" applyNumberFormat="1" applyFont="1" applyFill="1" applyBorder="1" applyAlignment="1">
      <alignment vertical="top"/>
    </xf>
    <xf numFmtId="164" fontId="9" fillId="3" borderId="97" xfId="0" applyNumberFormat="1" applyFont="1" applyFill="1" applyBorder="1" applyAlignment="1">
      <alignment vertical="top"/>
    </xf>
    <xf numFmtId="164" fontId="9" fillId="0" borderId="116" xfId="0" applyNumberFormat="1" applyFont="1" applyBorder="1" applyAlignment="1">
      <alignment vertical="top"/>
    </xf>
    <xf numFmtId="0" fontId="9" fillId="4" borderId="96" xfId="0" applyFont="1" applyFill="1" applyBorder="1" applyAlignment="1">
      <alignment horizontal="left" vertical="top" wrapText="1"/>
    </xf>
    <xf numFmtId="0" fontId="9" fillId="4" borderId="116" xfId="0" applyNumberFormat="1" applyFont="1" applyFill="1" applyBorder="1" applyAlignment="1">
      <alignment horizontal="center" vertical="top"/>
    </xf>
    <xf numFmtId="0" fontId="9" fillId="4" borderId="97" xfId="0" applyNumberFormat="1" applyFont="1" applyFill="1" applyBorder="1" applyAlignment="1">
      <alignment horizontal="center" vertical="top"/>
    </xf>
    <xf numFmtId="0" fontId="9" fillId="4" borderId="115" xfId="0" applyNumberFormat="1" applyFont="1" applyFill="1" applyBorder="1" applyAlignment="1">
      <alignment horizontal="center" vertical="top"/>
    </xf>
    <xf numFmtId="0" fontId="9" fillId="4" borderId="93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vertical="top"/>
    </xf>
    <xf numFmtId="0" fontId="7" fillId="0" borderId="108" xfId="0" applyFont="1" applyFill="1" applyBorder="1" applyAlignment="1">
      <alignment horizontal="center" vertical="top" wrapText="1"/>
    </xf>
    <xf numFmtId="49" fontId="9" fillId="0" borderId="102" xfId="0" applyNumberFormat="1" applyFont="1" applyBorder="1" applyAlignment="1">
      <alignment horizontal="center" vertical="top"/>
    </xf>
    <xf numFmtId="49" fontId="11" fillId="0" borderId="108" xfId="0" applyNumberFormat="1" applyFont="1" applyBorder="1" applyAlignment="1">
      <alignment horizontal="center" vertical="top"/>
    </xf>
    <xf numFmtId="49" fontId="9" fillId="0" borderId="100" xfId="0" applyNumberFormat="1" applyFont="1" applyBorder="1" applyAlignment="1">
      <alignment horizontal="center" vertical="top"/>
    </xf>
    <xf numFmtId="0" fontId="9" fillId="0" borderId="119" xfId="0" applyFont="1" applyBorder="1" applyAlignment="1">
      <alignment horizontal="center" vertical="top"/>
    </xf>
    <xf numFmtId="164" fontId="9" fillId="4" borderId="119" xfId="0" applyNumberFormat="1" applyFont="1" applyFill="1" applyBorder="1" applyAlignment="1">
      <alignment horizontal="right" vertical="top"/>
    </xf>
    <xf numFmtId="164" fontId="9" fillId="4" borderId="99" xfId="0" applyNumberFormat="1" applyFont="1" applyFill="1" applyBorder="1" applyAlignment="1">
      <alignment horizontal="right" vertical="top"/>
    </xf>
    <xf numFmtId="164" fontId="9" fillId="4" borderId="102" xfId="0" applyNumberFormat="1" applyFont="1" applyFill="1" applyBorder="1" applyAlignment="1">
      <alignment horizontal="right" vertical="top"/>
    </xf>
    <xf numFmtId="164" fontId="9" fillId="4" borderId="100" xfId="0" applyNumberFormat="1" applyFont="1" applyFill="1" applyBorder="1" applyAlignment="1">
      <alignment horizontal="right" vertical="top"/>
    </xf>
    <xf numFmtId="164" fontId="9" fillId="0" borderId="98" xfId="0" applyNumberFormat="1" applyFont="1" applyBorder="1" applyAlignment="1">
      <alignment horizontal="center" vertical="top"/>
    </xf>
    <xf numFmtId="0" fontId="5" fillId="3" borderId="99" xfId="0" applyFont="1" applyFill="1" applyBorder="1" applyAlignment="1">
      <alignment vertical="top"/>
    </xf>
    <xf numFmtId="0" fontId="5" fillId="3" borderId="100" xfId="0" applyFont="1" applyFill="1" applyBorder="1" applyAlignment="1">
      <alignment vertical="top"/>
    </xf>
    <xf numFmtId="164" fontId="9" fillId="4" borderId="113" xfId="0" applyNumberFormat="1" applyFont="1" applyFill="1" applyBorder="1" applyAlignment="1">
      <alignment vertical="top"/>
    </xf>
    <xf numFmtId="164" fontId="9" fillId="4" borderId="110" xfId="0" applyNumberFormat="1" applyFont="1" applyFill="1" applyBorder="1" applyAlignment="1">
      <alignment vertical="top"/>
    </xf>
    <xf numFmtId="164" fontId="9" fillId="4" borderId="114" xfId="0" applyNumberFormat="1" applyFont="1" applyFill="1" applyBorder="1" applyAlignment="1">
      <alignment vertical="top"/>
    </xf>
    <xf numFmtId="49" fontId="9" fillId="4" borderId="62" xfId="0" applyNumberFormat="1" applyFont="1" applyFill="1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center" vertical="top" wrapText="1"/>
    </xf>
    <xf numFmtId="49" fontId="9" fillId="0" borderId="52" xfId="0" applyNumberFormat="1" applyFont="1" applyFill="1" applyBorder="1" applyAlignment="1">
      <alignment horizontal="center" vertical="top" wrapText="1"/>
    </xf>
    <xf numFmtId="0" fontId="9" fillId="0" borderId="110" xfId="0" applyNumberFormat="1" applyFont="1" applyBorder="1" applyAlignment="1">
      <alignment horizontal="center" vertical="top"/>
    </xf>
    <xf numFmtId="0" fontId="9" fillId="0" borderId="88" xfId="0" applyFont="1" applyFill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4" borderId="122" xfId="0" applyFont="1" applyFill="1" applyBorder="1" applyAlignment="1">
      <alignment horizontal="left" vertical="top" wrapText="1"/>
    </xf>
    <xf numFmtId="0" fontId="9" fillId="0" borderId="115" xfId="0" applyNumberFormat="1" applyFont="1" applyBorder="1" applyAlignment="1">
      <alignment horizontal="center" vertical="top"/>
    </xf>
    <xf numFmtId="49" fontId="11" fillId="4" borderId="54" xfId="0" applyNumberFormat="1" applyFont="1" applyFill="1" applyBorder="1" applyAlignment="1">
      <alignment horizontal="center" vertical="top"/>
    </xf>
    <xf numFmtId="0" fontId="9" fillId="4" borderId="120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horizontal="center" vertical="top"/>
    </xf>
    <xf numFmtId="0" fontId="9" fillId="4" borderId="87" xfId="0" applyFont="1" applyFill="1" applyBorder="1" applyAlignment="1">
      <alignment horizontal="center" vertical="top"/>
    </xf>
    <xf numFmtId="164" fontId="9" fillId="4" borderId="19" xfId="0" applyNumberFormat="1" applyFont="1" applyFill="1" applyBorder="1" applyAlignment="1">
      <alignment vertical="top"/>
    </xf>
    <xf numFmtId="164" fontId="9" fillId="4" borderId="111" xfId="0" applyNumberFormat="1" applyFont="1" applyFill="1" applyBorder="1" applyAlignment="1">
      <alignment horizontal="center" vertical="top"/>
    </xf>
    <xf numFmtId="164" fontId="9" fillId="4" borderId="4" xfId="0" applyNumberFormat="1" applyFont="1" applyFill="1" applyBorder="1" applyAlignment="1">
      <alignment horizontal="center" vertical="top"/>
    </xf>
    <xf numFmtId="164" fontId="9" fillId="4" borderId="117" xfId="0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 wrapText="1"/>
    </xf>
    <xf numFmtId="164" fontId="9" fillId="4" borderId="0" xfId="0" applyNumberFormat="1" applyFont="1" applyFill="1" applyBorder="1" applyAlignment="1">
      <alignment vertical="top"/>
    </xf>
    <xf numFmtId="164" fontId="9" fillId="4" borderId="4" xfId="0" applyNumberFormat="1" applyFont="1" applyFill="1" applyBorder="1" applyAlignment="1">
      <alignment horizontal="right" vertical="top"/>
    </xf>
    <xf numFmtId="0" fontId="7" fillId="0" borderId="7" xfId="0" applyFont="1" applyBorder="1" applyAlignment="1">
      <alignment vertical="top" wrapText="1"/>
    </xf>
    <xf numFmtId="0" fontId="9" fillId="4" borderId="93" xfId="0" applyFont="1" applyFill="1" applyBorder="1" applyAlignment="1">
      <alignment vertical="top"/>
    </xf>
    <xf numFmtId="0" fontId="3" fillId="10" borderId="23" xfId="0" applyFont="1" applyFill="1" applyBorder="1" applyAlignment="1">
      <alignment horizontal="left" vertical="top" wrapText="1"/>
    </xf>
    <xf numFmtId="0" fontId="7" fillId="0" borderId="66" xfId="0" applyFont="1" applyFill="1" applyBorder="1" applyAlignment="1">
      <alignment horizontal="center" vertical="center" textRotation="90" wrapText="1"/>
    </xf>
    <xf numFmtId="0" fontId="9" fillId="4" borderId="78" xfId="0" applyFont="1" applyFill="1" applyBorder="1" applyAlignment="1">
      <alignment vertical="top"/>
    </xf>
    <xf numFmtId="49" fontId="9" fillId="0" borderId="16" xfId="0" applyNumberFormat="1" applyFont="1" applyFill="1" applyBorder="1" applyAlignment="1">
      <alignment horizontal="center" vertical="top"/>
    </xf>
    <xf numFmtId="0" fontId="9" fillId="0" borderId="57" xfId="0" applyFont="1" applyFill="1" applyBorder="1" applyAlignment="1">
      <alignment horizontal="center" vertical="top" wrapText="1"/>
    </xf>
    <xf numFmtId="164" fontId="9" fillId="4" borderId="72" xfId="0" applyNumberFormat="1" applyFont="1" applyFill="1" applyBorder="1" applyAlignment="1">
      <alignment vertical="top"/>
    </xf>
    <xf numFmtId="164" fontId="9" fillId="4" borderId="57" xfId="0" applyNumberFormat="1" applyFont="1" applyFill="1" applyBorder="1" applyAlignment="1">
      <alignment horizontal="right" vertical="top"/>
    </xf>
    <xf numFmtId="0" fontId="9" fillId="0" borderId="16" xfId="0" applyFont="1" applyBorder="1" applyAlignment="1">
      <alignment vertical="top"/>
    </xf>
    <xf numFmtId="0" fontId="9" fillId="4" borderId="74" xfId="0" applyFont="1" applyFill="1" applyBorder="1" applyAlignment="1">
      <alignment vertical="top"/>
    </xf>
    <xf numFmtId="0" fontId="9" fillId="0" borderId="55" xfId="0" applyFont="1" applyBorder="1" applyAlignment="1">
      <alignment vertical="top"/>
    </xf>
    <xf numFmtId="0" fontId="9" fillId="4" borderId="66" xfId="0" applyFont="1" applyFill="1" applyBorder="1" applyAlignment="1">
      <alignment horizontal="left" vertical="top" wrapText="1"/>
    </xf>
    <xf numFmtId="0" fontId="9" fillId="4" borderId="52" xfId="0" applyFont="1" applyFill="1" applyBorder="1" applyAlignment="1">
      <alignment horizontal="center" vertical="top"/>
    </xf>
    <xf numFmtId="0" fontId="9" fillId="0" borderId="34" xfId="0" applyFont="1" applyBorder="1" applyAlignment="1">
      <alignment vertical="top"/>
    </xf>
    <xf numFmtId="0" fontId="9" fillId="0" borderId="35" xfId="0" applyFont="1" applyBorder="1" applyAlignment="1">
      <alignment vertical="top"/>
    </xf>
    <xf numFmtId="0" fontId="9" fillId="0" borderId="88" xfId="0" applyFont="1" applyBorder="1" applyAlignment="1">
      <alignment vertical="top"/>
    </xf>
    <xf numFmtId="0" fontId="9" fillId="4" borderId="94" xfId="0" applyFont="1" applyFill="1" applyBorder="1" applyAlignment="1">
      <alignment horizontal="center" vertical="top"/>
    </xf>
    <xf numFmtId="0" fontId="9" fillId="0" borderId="92" xfId="0" applyFont="1" applyBorder="1" applyAlignment="1">
      <alignment vertical="top"/>
    </xf>
    <xf numFmtId="164" fontId="27" fillId="0" borderId="28" xfId="0" applyNumberFormat="1" applyFont="1" applyBorder="1" applyAlignment="1">
      <alignment vertical="top"/>
    </xf>
    <xf numFmtId="0" fontId="27" fillId="0" borderId="44" xfId="0" applyFont="1" applyBorder="1" applyAlignment="1">
      <alignment vertical="top"/>
    </xf>
    <xf numFmtId="164" fontId="27" fillId="0" borderId="54" xfId="0" applyNumberFormat="1" applyFont="1" applyBorder="1" applyAlignment="1">
      <alignment vertical="top"/>
    </xf>
    <xf numFmtId="0" fontId="11" fillId="4" borderId="16" xfId="0" applyFont="1" applyFill="1" applyBorder="1" applyAlignment="1">
      <alignment vertical="top" wrapText="1"/>
    </xf>
    <xf numFmtId="0" fontId="9" fillId="0" borderId="88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164" fontId="9" fillId="4" borderId="67" xfId="0" applyNumberFormat="1" applyFont="1" applyFill="1" applyBorder="1" applyAlignment="1">
      <alignment vertical="top"/>
    </xf>
    <xf numFmtId="0" fontId="9" fillId="4" borderId="46" xfId="0" applyFont="1" applyFill="1" applyBorder="1" applyAlignment="1">
      <alignment vertical="top"/>
    </xf>
    <xf numFmtId="0" fontId="27" fillId="0" borderId="33" xfId="0" applyFont="1" applyBorder="1" applyAlignment="1">
      <alignment vertical="top"/>
    </xf>
    <xf numFmtId="0" fontId="11" fillId="4" borderId="44" xfId="0" applyFont="1" applyFill="1" applyBorder="1" applyAlignment="1">
      <alignment vertical="top" wrapText="1"/>
    </xf>
    <xf numFmtId="0" fontId="11" fillId="0" borderId="38" xfId="0" applyFont="1" applyBorder="1" applyAlignment="1">
      <alignment horizontal="left" vertical="top" wrapText="1"/>
    </xf>
    <xf numFmtId="164" fontId="9" fillId="4" borderId="121" xfId="0" applyNumberFormat="1" applyFont="1" applyFill="1" applyBorder="1" applyAlignment="1">
      <alignment vertical="top"/>
    </xf>
    <xf numFmtId="165" fontId="7" fillId="4" borderId="60" xfId="0" applyNumberFormat="1" applyFont="1" applyFill="1" applyBorder="1" applyAlignment="1">
      <alignment horizontal="center" vertical="top"/>
    </xf>
    <xf numFmtId="165" fontId="7" fillId="4" borderId="38" xfId="0" applyNumberFormat="1" applyFont="1" applyFill="1" applyBorder="1" applyAlignment="1">
      <alignment horizontal="center" vertical="top"/>
    </xf>
    <xf numFmtId="164" fontId="7" fillId="4" borderId="38" xfId="0" applyNumberFormat="1" applyFont="1" applyFill="1" applyBorder="1" applyAlignment="1">
      <alignment horizontal="center" vertical="top"/>
    </xf>
    <xf numFmtId="164" fontId="7" fillId="4" borderId="62" xfId="0" applyNumberFormat="1" applyFont="1" applyFill="1" applyBorder="1" applyAlignment="1">
      <alignment horizontal="center" vertical="top"/>
    </xf>
    <xf numFmtId="164" fontId="9" fillId="4" borderId="60" xfId="0" applyNumberFormat="1" applyFont="1" applyFill="1" applyBorder="1" applyAlignment="1">
      <alignment vertical="top"/>
    </xf>
    <xf numFmtId="164" fontId="9" fillId="4" borderId="59" xfId="0" applyNumberFormat="1" applyFont="1" applyFill="1" applyBorder="1" applyAlignment="1">
      <alignment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2" borderId="44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0" fontId="9" fillId="4" borderId="45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vertical="top"/>
    </xf>
    <xf numFmtId="0" fontId="9" fillId="4" borderId="17" xfId="0" applyFont="1" applyFill="1" applyBorder="1" applyAlignment="1">
      <alignment horizontal="center" vertical="top"/>
    </xf>
    <xf numFmtId="0" fontId="9" fillId="0" borderId="40" xfId="0" applyFont="1" applyBorder="1" applyAlignment="1">
      <alignment vertical="top"/>
    </xf>
    <xf numFmtId="0" fontId="9" fillId="0" borderId="41" xfId="0" applyFont="1" applyBorder="1" applyAlignment="1">
      <alignment vertical="top"/>
    </xf>
    <xf numFmtId="0" fontId="9" fillId="4" borderId="101" xfId="0" applyFont="1" applyFill="1" applyBorder="1" applyAlignment="1">
      <alignment horizontal="left" vertical="top" wrapText="1"/>
    </xf>
    <xf numFmtId="0" fontId="9" fillId="4" borderId="99" xfId="0" applyFont="1" applyFill="1" applyBorder="1" applyAlignment="1">
      <alignment horizontal="center" vertical="top"/>
    </xf>
    <xf numFmtId="0" fontId="9" fillId="0" borderId="102" xfId="0" applyFont="1" applyBorder="1" applyAlignment="1">
      <alignment vertical="top"/>
    </xf>
    <xf numFmtId="0" fontId="9" fillId="0" borderId="100" xfId="0" applyFont="1" applyBorder="1" applyAlignment="1">
      <alignment vertical="top"/>
    </xf>
    <xf numFmtId="0" fontId="9" fillId="4" borderId="51" xfId="0" applyFont="1" applyFill="1" applyBorder="1" applyAlignment="1">
      <alignment horizontal="center" vertical="top"/>
    </xf>
    <xf numFmtId="0" fontId="9" fillId="0" borderId="38" xfId="0" applyFont="1" applyBorder="1" applyAlignment="1">
      <alignment vertical="top"/>
    </xf>
    <xf numFmtId="0" fontId="9" fillId="0" borderId="62" xfId="0" applyFont="1" applyBorder="1" applyAlignment="1">
      <alignment vertical="top"/>
    </xf>
    <xf numFmtId="0" fontId="7" fillId="0" borderId="60" xfId="0" applyFont="1" applyFill="1" applyBorder="1" applyAlignment="1">
      <alignment horizontal="center" vertical="center" textRotation="90" wrapText="1"/>
    </xf>
    <xf numFmtId="49" fontId="9" fillId="0" borderId="38" xfId="0" applyNumberFormat="1" applyFont="1" applyFill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top"/>
    </xf>
    <xf numFmtId="49" fontId="9" fillId="0" borderId="6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9" fillId="4" borderId="2" xfId="0" applyNumberFormat="1" applyFont="1" applyFill="1" applyBorder="1" applyAlignment="1">
      <alignment horizontal="right" vertical="top"/>
    </xf>
    <xf numFmtId="0" fontId="9" fillId="4" borderId="60" xfId="0" applyFont="1" applyFill="1" applyBorder="1" applyAlignment="1">
      <alignment vertical="top"/>
    </xf>
    <xf numFmtId="0" fontId="4" fillId="8" borderId="10" xfId="0" applyFont="1" applyFill="1" applyBorder="1" applyAlignment="1">
      <alignment horizontal="center" vertical="top"/>
    </xf>
    <xf numFmtId="164" fontId="9" fillId="4" borderId="8" xfId="0" applyNumberFormat="1" applyFont="1" applyFill="1" applyBorder="1" applyAlignment="1">
      <alignment horizontal="center" vertical="top"/>
    </xf>
    <xf numFmtId="164" fontId="9" fillId="4" borderId="7" xfId="0" applyNumberFormat="1" applyFont="1" applyFill="1" applyBorder="1" applyAlignment="1">
      <alignment vertical="top"/>
    </xf>
    <xf numFmtId="164" fontId="11" fillId="4" borderId="44" xfId="0" applyNumberFormat="1" applyFont="1" applyFill="1" applyBorder="1" applyAlignment="1">
      <alignment vertical="top"/>
    </xf>
    <xf numFmtId="164" fontId="11" fillId="4" borderId="56" xfId="0" applyNumberFormat="1" applyFont="1" applyFill="1" applyBorder="1" applyAlignment="1">
      <alignment vertical="top"/>
    </xf>
    <xf numFmtId="0" fontId="27" fillId="0" borderId="28" xfId="0" applyFont="1" applyBorder="1" applyAlignment="1">
      <alignment vertical="top"/>
    </xf>
    <xf numFmtId="0" fontId="27" fillId="0" borderId="54" xfId="0" applyFont="1" applyBorder="1" applyAlignment="1">
      <alignment vertical="top"/>
    </xf>
    <xf numFmtId="49" fontId="9" fillId="0" borderId="27" xfId="0" applyNumberFormat="1" applyFont="1" applyFill="1" applyBorder="1" applyAlignment="1">
      <alignment horizontal="center" vertical="top" wrapText="1"/>
    </xf>
    <xf numFmtId="164" fontId="27" fillId="0" borderId="33" xfId="0" applyNumberFormat="1" applyFont="1" applyBorder="1" applyAlignment="1">
      <alignment vertical="top"/>
    </xf>
    <xf numFmtId="0" fontId="27" fillId="0" borderId="34" xfId="0" applyFont="1" applyBorder="1" applyAlignment="1">
      <alignment vertical="top"/>
    </xf>
    <xf numFmtId="164" fontId="27" fillId="0" borderId="35" xfId="0" applyNumberFormat="1" applyFont="1" applyBorder="1" applyAlignment="1">
      <alignment vertical="top"/>
    </xf>
    <xf numFmtId="0" fontId="9" fillId="4" borderId="46" xfId="0" applyFont="1" applyFill="1" applyBorder="1" applyAlignment="1">
      <alignment horizontal="left" vertical="top" wrapText="1"/>
    </xf>
    <xf numFmtId="164" fontId="27" fillId="0" borderId="7" xfId="0" applyNumberFormat="1" applyFont="1" applyBorder="1" applyAlignment="1">
      <alignment vertical="top"/>
    </xf>
    <xf numFmtId="0" fontId="9" fillId="0" borderId="66" xfId="0" applyFont="1" applyBorder="1" applyAlignment="1">
      <alignment vertical="top"/>
    </xf>
    <xf numFmtId="0" fontId="9" fillId="0" borderId="61" xfId="0" applyFont="1" applyBorder="1" applyAlignment="1">
      <alignment vertical="top"/>
    </xf>
    <xf numFmtId="0" fontId="27" fillId="0" borderId="19" xfId="0" applyFont="1" applyBorder="1" applyAlignment="1">
      <alignment vertical="top"/>
    </xf>
    <xf numFmtId="164" fontId="27" fillId="0" borderId="19" xfId="0" applyNumberFormat="1" applyFont="1" applyBorder="1" applyAlignment="1">
      <alignment vertical="top"/>
    </xf>
    <xf numFmtId="164" fontId="27" fillId="0" borderId="19" xfId="0" applyNumberFormat="1" applyFont="1" applyFill="1" applyBorder="1" applyAlignment="1">
      <alignment vertical="top"/>
    </xf>
    <xf numFmtId="0" fontId="27" fillId="0" borderId="52" xfId="0" applyFont="1" applyFill="1" applyBorder="1" applyAlignment="1">
      <alignment vertical="top"/>
    </xf>
    <xf numFmtId="0" fontId="9" fillId="0" borderId="34" xfId="0" applyFont="1" applyFill="1" applyBorder="1" applyAlignment="1">
      <alignment vertical="top" wrapText="1"/>
    </xf>
    <xf numFmtId="49" fontId="11" fillId="10" borderId="18" xfId="0" applyNumberFormat="1" applyFont="1" applyFill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164" fontId="9" fillId="4" borderId="21" xfId="0" applyNumberFormat="1" applyFont="1" applyFill="1" applyBorder="1" applyAlignment="1">
      <alignment vertical="top"/>
    </xf>
    <xf numFmtId="164" fontId="9" fillId="4" borderId="18" xfId="0" applyNumberFormat="1" applyFont="1" applyFill="1" applyBorder="1" applyAlignment="1">
      <alignment vertical="top"/>
    </xf>
    <xf numFmtId="164" fontId="9" fillId="4" borderId="31" xfId="0" applyNumberFormat="1" applyFont="1" applyFill="1" applyBorder="1" applyAlignment="1">
      <alignment vertical="top"/>
    </xf>
    <xf numFmtId="164" fontId="9" fillId="4" borderId="32" xfId="0" applyNumberFormat="1" applyFont="1" applyFill="1" applyBorder="1" applyAlignment="1">
      <alignment vertical="top"/>
    </xf>
    <xf numFmtId="164" fontId="9" fillId="3" borderId="31" xfId="0" applyNumberFormat="1" applyFont="1" applyFill="1" applyBorder="1" applyAlignment="1">
      <alignment vertical="top"/>
    </xf>
    <xf numFmtId="164" fontId="9" fillId="0" borderId="18" xfId="0" applyNumberFormat="1" applyFont="1" applyBorder="1" applyAlignment="1">
      <alignment vertical="top"/>
    </xf>
    <xf numFmtId="164" fontId="9" fillId="0" borderId="13" xfId="0" applyNumberFormat="1" applyFont="1" applyBorder="1" applyAlignment="1">
      <alignment horizontal="center" vertical="top"/>
    </xf>
    <xf numFmtId="0" fontId="9" fillId="4" borderId="21" xfId="0" applyFont="1" applyFill="1" applyBorder="1" applyAlignment="1">
      <alignment horizontal="left" vertical="top" wrapText="1"/>
    </xf>
    <xf numFmtId="0" fontId="9" fillId="4" borderId="18" xfId="0" applyNumberFormat="1" applyFont="1" applyFill="1" applyBorder="1" applyAlignment="1">
      <alignment horizontal="center" vertical="top"/>
    </xf>
    <xf numFmtId="49" fontId="11" fillId="9" borderId="37" xfId="0" applyNumberFormat="1" applyFont="1" applyFill="1" applyBorder="1" applyAlignment="1">
      <alignment horizontal="center" vertical="top"/>
    </xf>
    <xf numFmtId="49" fontId="11" fillId="4" borderId="50" xfId="0" applyNumberFormat="1" applyFont="1" applyFill="1" applyBorder="1" applyAlignment="1">
      <alignment horizontal="center" vertical="top"/>
    </xf>
    <xf numFmtId="0" fontId="9" fillId="4" borderId="26" xfId="0" applyFont="1" applyFill="1" applyBorder="1" applyAlignment="1">
      <alignment horizontal="left" vertical="top" wrapText="1"/>
    </xf>
    <xf numFmtId="49" fontId="11" fillId="0" borderId="50" xfId="0" applyNumberFormat="1" applyFont="1" applyBorder="1" applyAlignment="1">
      <alignment horizontal="center" vertical="top"/>
    </xf>
    <xf numFmtId="49" fontId="9" fillId="4" borderId="27" xfId="0" applyNumberFormat="1" applyFont="1" applyFill="1" applyBorder="1" applyAlignment="1">
      <alignment horizontal="center" vertical="top" wrapText="1"/>
    </xf>
    <xf numFmtId="0" fontId="9" fillId="4" borderId="76" xfId="0" applyFont="1" applyFill="1" applyBorder="1" applyAlignment="1">
      <alignment horizontal="center" vertical="top"/>
    </xf>
    <xf numFmtId="164" fontId="9" fillId="4" borderId="50" xfId="0" applyNumberFormat="1" applyFont="1" applyFill="1" applyBorder="1" applyAlignment="1">
      <alignment vertical="top"/>
    </xf>
    <xf numFmtId="164" fontId="9" fillId="4" borderId="12" xfId="0" applyNumberFormat="1" applyFont="1" applyFill="1" applyBorder="1" applyAlignment="1">
      <alignment horizontal="center" vertical="top"/>
    </xf>
    <xf numFmtId="0" fontId="9" fillId="4" borderId="26" xfId="0" applyFont="1" applyFill="1" applyBorder="1" applyAlignment="1">
      <alignment vertical="center" textRotation="90"/>
    </xf>
    <xf numFmtId="0" fontId="9" fillId="4" borderId="27" xfId="0" applyFont="1" applyFill="1" applyBorder="1" applyAlignment="1">
      <alignment vertical="center" textRotation="90"/>
    </xf>
    <xf numFmtId="49" fontId="9" fillId="4" borderId="121" xfId="0" applyNumberFormat="1" applyFont="1" applyFill="1" applyBorder="1" applyAlignment="1">
      <alignment horizontal="center" vertical="top"/>
    </xf>
    <xf numFmtId="49" fontId="9" fillId="4" borderId="114" xfId="0" applyNumberFormat="1" applyFont="1" applyFill="1" applyBorder="1" applyAlignment="1">
      <alignment horizontal="center" vertical="top"/>
    </xf>
    <xf numFmtId="0" fontId="7" fillId="0" borderId="97" xfId="0" applyFont="1" applyFill="1" applyBorder="1" applyAlignment="1">
      <alignment horizontal="center" vertical="top"/>
    </xf>
    <xf numFmtId="0" fontId="7" fillId="0" borderId="115" xfId="0" applyFont="1" applyFill="1" applyBorder="1" applyAlignment="1">
      <alignment horizontal="center" vertical="top"/>
    </xf>
    <xf numFmtId="3" fontId="9" fillId="0" borderId="2" xfId="0" applyNumberFormat="1" applyFont="1" applyBorder="1" applyAlignment="1">
      <alignment horizontal="right" vertical="top"/>
    </xf>
    <xf numFmtId="3" fontId="9" fillId="0" borderId="79" xfId="0" applyNumberFormat="1" applyFont="1" applyBorder="1" applyAlignment="1">
      <alignment horizontal="right" vertical="top"/>
    </xf>
    <xf numFmtId="3" fontId="9" fillId="4" borderId="15" xfId="0" applyNumberFormat="1" applyFont="1" applyFill="1" applyBorder="1" applyAlignment="1">
      <alignment horizontal="right" vertical="top"/>
    </xf>
    <xf numFmtId="3" fontId="9" fillId="4" borderId="4" xfId="0" applyNumberFormat="1" applyFont="1" applyFill="1" applyBorder="1" applyAlignment="1">
      <alignment horizontal="right" vertical="top"/>
    </xf>
    <xf numFmtId="3" fontId="9" fillId="4" borderId="56" xfId="0" applyNumberFormat="1" applyFont="1" applyFill="1" applyBorder="1" applyAlignment="1">
      <alignment horizontal="right" vertical="top"/>
    </xf>
    <xf numFmtId="3" fontId="9" fillId="4" borderId="1" xfId="0" applyNumberFormat="1" applyFont="1" applyFill="1" applyBorder="1" applyAlignment="1">
      <alignment horizontal="right" vertical="top"/>
    </xf>
    <xf numFmtId="3" fontId="9" fillId="4" borderId="61" xfId="0" applyNumberFormat="1" applyFont="1" applyFill="1" applyBorder="1" applyAlignment="1">
      <alignment horizontal="right" vertical="top"/>
    </xf>
    <xf numFmtId="3" fontId="11" fillId="2" borderId="24" xfId="0" applyNumberFormat="1" applyFont="1" applyFill="1" applyBorder="1" applyAlignment="1">
      <alignment vertical="top"/>
    </xf>
    <xf numFmtId="3" fontId="11" fillId="2" borderId="3" xfId="0" applyNumberFormat="1" applyFont="1" applyFill="1" applyBorder="1" applyAlignment="1">
      <alignment vertical="top"/>
    </xf>
    <xf numFmtId="3" fontId="11" fillId="2" borderId="106" xfId="0" applyNumberFormat="1" applyFont="1" applyFill="1" applyBorder="1" applyAlignment="1">
      <alignment vertical="top"/>
    </xf>
    <xf numFmtId="0" fontId="9" fillId="0" borderId="23" xfId="0" applyFont="1" applyBorder="1" applyAlignment="1">
      <alignment horizontal="right" vertical="top"/>
    </xf>
    <xf numFmtId="0" fontId="9" fillId="0" borderId="66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center" vertical="top"/>
    </xf>
    <xf numFmtId="0" fontId="9" fillId="0" borderId="54" xfId="0" applyFont="1" applyFill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 wrapText="1"/>
    </xf>
    <xf numFmtId="0" fontId="5" fillId="0" borderId="32" xfId="0" applyNumberFormat="1" applyFont="1" applyBorder="1" applyAlignment="1">
      <alignment horizontal="center" vertical="top"/>
    </xf>
    <xf numFmtId="164" fontId="9" fillId="3" borderId="74" xfId="0" applyNumberFormat="1" applyFont="1" applyFill="1" applyBorder="1" applyAlignment="1">
      <alignment horizontal="center" vertical="top"/>
    </xf>
    <xf numFmtId="164" fontId="9" fillId="0" borderId="93" xfId="0" applyNumberFormat="1" applyFont="1" applyFill="1" applyBorder="1" applyAlignment="1">
      <alignment horizontal="center" vertical="top"/>
    </xf>
    <xf numFmtId="164" fontId="9" fillId="0" borderId="88" xfId="0" applyNumberFormat="1" applyFont="1" applyFill="1" applyBorder="1" applyAlignment="1">
      <alignment horizontal="center" vertical="top"/>
    </xf>
    <xf numFmtId="164" fontId="9" fillId="0" borderId="44" xfId="0" applyNumberFormat="1" applyFont="1" applyFill="1" applyBorder="1" applyAlignment="1">
      <alignment horizontal="center" vertical="top"/>
    </xf>
    <xf numFmtId="164" fontId="9" fillId="3" borderId="60" xfId="0" applyNumberFormat="1" applyFont="1" applyFill="1" applyBorder="1" applyAlignment="1">
      <alignment horizontal="center" vertical="top"/>
    </xf>
    <xf numFmtId="164" fontId="9" fillId="3" borderId="38" xfId="0" applyNumberFormat="1" applyFont="1" applyFill="1" applyBorder="1" applyAlignment="1">
      <alignment horizontal="center" vertical="top"/>
    </xf>
    <xf numFmtId="164" fontId="9" fillId="4" borderId="66" xfId="0" applyNumberFormat="1" applyFont="1" applyFill="1" applyBorder="1" applyAlignment="1">
      <alignment horizontal="center" vertical="top"/>
    </xf>
    <xf numFmtId="164" fontId="9" fillId="4" borderId="93" xfId="0" applyNumberFormat="1" applyFont="1" applyFill="1" applyBorder="1" applyAlignment="1">
      <alignment horizontal="center" vertical="top"/>
    </xf>
    <xf numFmtId="164" fontId="9" fillId="4" borderId="88" xfId="0" applyNumberFormat="1" applyFont="1" applyFill="1" applyBorder="1" applyAlignment="1">
      <alignment horizontal="center" vertical="top" wrapText="1"/>
    </xf>
    <xf numFmtId="164" fontId="9" fillId="4" borderId="88" xfId="0" applyNumberFormat="1" applyFont="1" applyFill="1" applyBorder="1" applyAlignment="1">
      <alignment horizontal="center" vertical="top"/>
    </xf>
    <xf numFmtId="164" fontId="9" fillId="4" borderId="112" xfId="0" applyNumberFormat="1" applyFont="1" applyFill="1" applyBorder="1" applyAlignment="1">
      <alignment horizontal="center" vertical="top"/>
    </xf>
    <xf numFmtId="164" fontId="9" fillId="4" borderId="110" xfId="0" applyNumberFormat="1" applyFont="1" applyFill="1" applyBorder="1" applyAlignment="1">
      <alignment horizontal="center" vertical="top"/>
    </xf>
    <xf numFmtId="164" fontId="9" fillId="4" borderId="109" xfId="0" applyNumberFormat="1" applyFont="1" applyFill="1" applyBorder="1" applyAlignment="1">
      <alignment horizontal="center" vertical="top"/>
    </xf>
    <xf numFmtId="164" fontId="9" fillId="4" borderId="97" xfId="0" applyNumberFormat="1" applyFont="1" applyFill="1" applyBorder="1" applyAlignment="1">
      <alignment horizontal="center" vertical="top"/>
    </xf>
    <xf numFmtId="164" fontId="9" fillId="0" borderId="93" xfId="0" applyNumberFormat="1" applyFont="1" applyBorder="1" applyAlignment="1">
      <alignment horizontal="center" vertical="top"/>
    </xf>
    <xf numFmtId="164" fontId="9" fillId="0" borderId="88" xfId="0" applyNumberFormat="1" applyFont="1" applyBorder="1" applyAlignment="1">
      <alignment horizontal="center" vertical="top"/>
    </xf>
    <xf numFmtId="164" fontId="9" fillId="3" borderId="46" xfId="0" applyNumberFormat="1" applyFont="1" applyFill="1" applyBorder="1" applyAlignment="1">
      <alignment horizontal="center" vertical="top"/>
    </xf>
    <xf numFmtId="164" fontId="9" fillId="4" borderId="77" xfId="0" applyNumberFormat="1" applyFont="1" applyFill="1" applyBorder="1" applyAlignment="1">
      <alignment horizontal="center" vertical="top"/>
    </xf>
    <xf numFmtId="164" fontId="9" fillId="4" borderId="31" xfId="0" applyNumberFormat="1" applyFont="1" applyFill="1" applyBorder="1" applyAlignment="1">
      <alignment horizontal="center" vertical="top"/>
    </xf>
    <xf numFmtId="164" fontId="7" fillId="3" borderId="16" xfId="0" applyNumberFormat="1" applyFont="1" applyFill="1" applyBorder="1" applyAlignment="1">
      <alignment horizontal="center" vertical="top"/>
    </xf>
    <xf numFmtId="164" fontId="9" fillId="0" borderId="53" xfId="0" applyNumberFormat="1" applyFont="1" applyBorder="1" applyAlignment="1">
      <alignment horizontal="center" vertical="top"/>
    </xf>
    <xf numFmtId="3" fontId="9" fillId="8" borderId="89" xfId="0" applyNumberFormat="1" applyFont="1" applyFill="1" applyBorder="1" applyAlignment="1">
      <alignment horizontal="right" vertical="top"/>
    </xf>
    <xf numFmtId="3" fontId="9" fillId="0" borderId="95" xfId="0" applyNumberFormat="1" applyFont="1" applyBorder="1" applyAlignment="1">
      <alignment horizontal="right" vertical="top"/>
    </xf>
    <xf numFmtId="3" fontId="9" fillId="0" borderId="89" xfId="0" applyNumberFormat="1" applyFont="1" applyBorder="1" applyAlignment="1">
      <alignment horizontal="right" vertical="top"/>
    </xf>
    <xf numFmtId="3" fontId="9" fillId="8" borderId="2" xfId="0" applyNumberFormat="1" applyFont="1" applyFill="1" applyBorder="1" applyAlignment="1">
      <alignment horizontal="right" vertical="top"/>
    </xf>
    <xf numFmtId="3" fontId="9" fillId="0" borderId="75" xfId="0" applyNumberFormat="1" applyFont="1" applyBorder="1" applyAlignment="1">
      <alignment horizontal="right" vertical="top"/>
    </xf>
    <xf numFmtId="3" fontId="9" fillId="8" borderId="4" xfId="0" applyNumberFormat="1" applyFont="1" applyFill="1" applyBorder="1" applyAlignment="1">
      <alignment horizontal="right" vertical="top"/>
    </xf>
    <xf numFmtId="3" fontId="9" fillId="0" borderId="56" xfId="0" applyNumberFormat="1" applyFont="1" applyBorder="1" applyAlignment="1">
      <alignment horizontal="right" vertical="top"/>
    </xf>
    <xf numFmtId="3" fontId="9" fillId="8" borderId="1" xfId="0" applyNumberFormat="1" applyFont="1" applyFill="1" applyBorder="1" applyAlignment="1">
      <alignment horizontal="right" vertical="top"/>
    </xf>
    <xf numFmtId="3" fontId="9" fillId="4" borderId="67" xfId="0" applyNumberFormat="1" applyFont="1" applyFill="1" applyBorder="1" applyAlignment="1">
      <alignment horizontal="right" vertical="top"/>
    </xf>
    <xf numFmtId="3" fontId="11" fillId="8" borderId="10" xfId="0" applyNumberFormat="1" applyFont="1" applyFill="1" applyBorder="1" applyAlignment="1">
      <alignment horizontal="right" vertical="top"/>
    </xf>
    <xf numFmtId="3" fontId="11" fillId="8" borderId="23" xfId="0" applyNumberFormat="1" applyFont="1" applyFill="1" applyBorder="1" applyAlignment="1">
      <alignment horizontal="right" vertical="top"/>
    </xf>
    <xf numFmtId="3" fontId="9" fillId="8" borderId="34" xfId="0" applyNumberFormat="1" applyFont="1" applyFill="1" applyBorder="1" applyAlignment="1">
      <alignment horizontal="right" vertical="top"/>
    </xf>
    <xf numFmtId="3" fontId="9" fillId="0" borderId="11" xfId="0" applyNumberFormat="1" applyFont="1" applyBorder="1" applyAlignment="1">
      <alignment horizontal="right" vertical="top"/>
    </xf>
    <xf numFmtId="3" fontId="9" fillId="0" borderId="12" xfId="0" applyNumberFormat="1" applyFont="1" applyBorder="1" applyAlignment="1">
      <alignment horizontal="right" vertical="top"/>
    </xf>
    <xf numFmtId="3" fontId="11" fillId="8" borderId="21" xfId="0" applyNumberFormat="1" applyFont="1" applyFill="1" applyBorder="1" applyAlignment="1">
      <alignment horizontal="right" vertical="top"/>
    </xf>
    <xf numFmtId="3" fontId="11" fillId="8" borderId="13" xfId="0" applyNumberFormat="1" applyFon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/>
    </xf>
    <xf numFmtId="3" fontId="11" fillId="8" borderId="30" xfId="0" applyNumberFormat="1" applyFont="1" applyFill="1" applyBorder="1" applyAlignment="1">
      <alignment horizontal="right" vertical="top"/>
    </xf>
    <xf numFmtId="3" fontId="11" fillId="8" borderId="5" xfId="0" applyNumberFormat="1" applyFont="1" applyFill="1" applyBorder="1" applyAlignment="1">
      <alignment horizontal="right" vertical="top"/>
    </xf>
    <xf numFmtId="3" fontId="9" fillId="8" borderId="46" xfId="0" applyNumberFormat="1" applyFont="1" applyFill="1" applyBorder="1" applyAlignment="1">
      <alignment horizontal="right" vertical="top"/>
    </xf>
    <xf numFmtId="3" fontId="9" fillId="0" borderId="1" xfId="0" applyNumberFormat="1" applyFont="1" applyBorder="1" applyAlignment="1">
      <alignment horizontal="right" vertical="top"/>
    </xf>
    <xf numFmtId="3" fontId="11" fillId="8" borderId="28" xfId="0" applyNumberFormat="1" applyFont="1" applyFill="1" applyBorder="1" applyAlignment="1">
      <alignment horizontal="right" vertical="top"/>
    </xf>
    <xf numFmtId="3" fontId="9" fillId="8" borderId="65" xfId="0" applyNumberFormat="1" applyFont="1" applyFill="1" applyBorder="1" applyAlignment="1">
      <alignment horizontal="right" vertical="top"/>
    </xf>
    <xf numFmtId="3" fontId="9" fillId="8" borderId="81" xfId="0" applyNumberFormat="1" applyFont="1" applyFill="1" applyBorder="1" applyAlignment="1">
      <alignment horizontal="right" vertical="top"/>
    </xf>
    <xf numFmtId="3" fontId="11" fillId="8" borderId="14" xfId="0" applyNumberFormat="1" applyFont="1" applyFill="1" applyBorder="1" applyAlignment="1">
      <alignment horizontal="right" vertical="top"/>
    </xf>
    <xf numFmtId="3" fontId="9" fillId="8" borderId="66" xfId="0" applyNumberFormat="1" applyFont="1" applyFill="1" applyBorder="1" applyAlignment="1">
      <alignment horizontal="right" vertical="top"/>
    </xf>
    <xf numFmtId="3" fontId="9" fillId="0" borderId="15" xfId="0" applyNumberFormat="1" applyFont="1" applyFill="1" applyBorder="1" applyAlignment="1">
      <alignment horizontal="right" vertical="top"/>
    </xf>
    <xf numFmtId="3" fontId="9" fillId="0" borderId="37" xfId="0" applyNumberFormat="1" applyFont="1" applyFill="1" applyBorder="1" applyAlignment="1">
      <alignment horizontal="right" vertical="top"/>
    </xf>
    <xf numFmtId="3" fontId="11" fillId="8" borderId="45" xfId="0" applyNumberFormat="1" applyFont="1" applyFill="1" applyBorder="1" applyAlignment="1">
      <alignment horizontal="right" vertical="top"/>
    </xf>
    <xf numFmtId="3" fontId="9" fillId="0" borderId="12" xfId="0" applyNumberFormat="1" applyFont="1" applyFill="1" applyBorder="1" applyAlignment="1">
      <alignment horizontal="right" vertical="top"/>
    </xf>
    <xf numFmtId="3" fontId="9" fillId="8" borderId="60" xfId="0" applyNumberFormat="1" applyFont="1" applyFill="1" applyBorder="1" applyAlignment="1">
      <alignment horizontal="right" vertical="top"/>
    </xf>
    <xf numFmtId="3" fontId="9" fillId="0" borderId="4" xfId="0" applyNumberFormat="1" applyFont="1" applyFill="1" applyBorder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3" fontId="9" fillId="0" borderId="1" xfId="0" applyNumberFormat="1" applyFont="1" applyFill="1" applyBorder="1" applyAlignment="1">
      <alignment horizontal="right" vertical="top"/>
    </xf>
    <xf numFmtId="3" fontId="9" fillId="8" borderId="67" xfId="0" applyNumberFormat="1" applyFont="1" applyFill="1" applyBorder="1" applyAlignment="1">
      <alignment horizontal="right" vertical="top"/>
    </xf>
    <xf numFmtId="3" fontId="9" fillId="4" borderId="2" xfId="0" applyNumberFormat="1" applyFont="1" applyFill="1" applyBorder="1" applyAlignment="1">
      <alignment horizontal="right" vertical="top"/>
    </xf>
    <xf numFmtId="3" fontId="11" fillId="8" borderId="72" xfId="0" applyNumberFormat="1" applyFont="1" applyFill="1" applyBorder="1" applyAlignment="1">
      <alignment horizontal="right" vertical="top"/>
    </xf>
    <xf numFmtId="3" fontId="9" fillId="8" borderId="22" xfId="0" applyNumberFormat="1" applyFont="1" applyFill="1" applyBorder="1" applyAlignment="1">
      <alignment horizontal="right" vertical="top"/>
    </xf>
    <xf numFmtId="3" fontId="9" fillId="0" borderId="22" xfId="0" applyNumberFormat="1" applyFont="1" applyBorder="1" applyAlignment="1">
      <alignment horizontal="right" vertical="top"/>
    </xf>
    <xf numFmtId="3" fontId="9" fillId="0" borderId="11" xfId="0" applyNumberFormat="1" applyFont="1" applyFill="1" applyBorder="1" applyAlignment="1">
      <alignment horizontal="right" vertical="top"/>
    </xf>
    <xf numFmtId="3" fontId="9" fillId="4" borderId="8" xfId="0" applyNumberFormat="1" applyFont="1" applyFill="1" applyBorder="1" applyAlignment="1">
      <alignment horizontal="right" vertical="top"/>
    </xf>
    <xf numFmtId="3" fontId="11" fillId="8" borderId="64" xfId="0" applyNumberFormat="1" applyFont="1" applyFill="1" applyBorder="1" applyAlignment="1">
      <alignment horizontal="right" vertical="top"/>
    </xf>
    <xf numFmtId="3" fontId="11" fillId="2" borderId="21" xfId="0" applyNumberFormat="1" applyFont="1" applyFill="1" applyBorder="1" applyAlignment="1">
      <alignment horizontal="right" vertical="top"/>
    </xf>
    <xf numFmtId="3" fontId="7" fillId="8" borderId="33" xfId="0" applyNumberFormat="1" applyFont="1" applyFill="1" applyBorder="1" applyAlignment="1">
      <alignment horizontal="right" vertical="top"/>
    </xf>
    <xf numFmtId="3" fontId="7" fillId="0" borderId="1" xfId="0" applyNumberFormat="1" applyFont="1" applyFill="1" applyBorder="1" applyAlignment="1">
      <alignment horizontal="right" vertical="top"/>
    </xf>
    <xf numFmtId="3" fontId="6" fillId="8" borderId="21" xfId="0" applyNumberFormat="1" applyFont="1" applyFill="1" applyBorder="1" applyAlignment="1">
      <alignment horizontal="right" vertical="top"/>
    </xf>
    <xf numFmtId="0" fontId="5" fillId="3" borderId="88" xfId="0" applyFont="1" applyFill="1" applyBorder="1" applyAlignment="1">
      <alignment horizontal="center" vertical="top"/>
    </xf>
    <xf numFmtId="0" fontId="5" fillId="3" borderId="92" xfId="0" applyFont="1" applyFill="1" applyBorder="1" applyAlignment="1">
      <alignment horizontal="center" vertical="top"/>
    </xf>
    <xf numFmtId="3" fontId="9" fillId="8" borderId="66" xfId="0" applyNumberFormat="1" applyFont="1" applyFill="1" applyBorder="1" applyAlignment="1">
      <alignment horizontal="right" vertical="top" wrapText="1"/>
    </xf>
    <xf numFmtId="3" fontId="3" fillId="8" borderId="46" xfId="0" applyNumberFormat="1" applyFont="1" applyFill="1" applyBorder="1" applyAlignment="1">
      <alignment horizontal="right" vertical="top"/>
    </xf>
    <xf numFmtId="3" fontId="3" fillId="4" borderId="12" xfId="0" applyNumberFormat="1" applyFont="1" applyFill="1" applyBorder="1" applyAlignment="1">
      <alignment horizontal="right" vertical="top" wrapText="1"/>
    </xf>
    <xf numFmtId="3" fontId="3" fillId="0" borderId="61" xfId="0" applyNumberFormat="1" applyFont="1" applyFill="1" applyBorder="1" applyAlignment="1">
      <alignment horizontal="right" vertical="top"/>
    </xf>
    <xf numFmtId="3" fontId="3" fillId="4" borderId="1" xfId="0" applyNumberFormat="1" applyFont="1" applyFill="1" applyBorder="1" applyAlignment="1">
      <alignment horizontal="right" vertical="top" wrapText="1"/>
    </xf>
    <xf numFmtId="3" fontId="2" fillId="8" borderId="30" xfId="0" applyNumberFormat="1" applyFont="1" applyFill="1" applyBorder="1" applyAlignment="1">
      <alignment horizontal="right" vertical="center"/>
    </xf>
    <xf numFmtId="3" fontId="2" fillId="8" borderId="5" xfId="0" applyNumberFormat="1" applyFont="1" applyFill="1" applyBorder="1" applyAlignment="1">
      <alignment horizontal="right" vertical="center"/>
    </xf>
    <xf numFmtId="3" fontId="2" fillId="8" borderId="64" xfId="0" applyNumberFormat="1" applyFont="1" applyFill="1" applyBorder="1" applyAlignment="1">
      <alignment horizontal="right" vertical="center"/>
    </xf>
    <xf numFmtId="3" fontId="9" fillId="8" borderId="48" xfId="0" applyNumberFormat="1" applyFont="1" applyFill="1" applyBorder="1" applyAlignment="1">
      <alignment horizontal="right" vertical="top"/>
    </xf>
    <xf numFmtId="3" fontId="3" fillId="0" borderId="76" xfId="0" applyNumberFormat="1" applyFont="1" applyFill="1" applyBorder="1" applyAlignment="1">
      <alignment horizontal="right" vertical="top"/>
    </xf>
    <xf numFmtId="3" fontId="9" fillId="8" borderId="59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 wrapText="1"/>
    </xf>
    <xf numFmtId="3" fontId="2" fillId="8" borderId="14" xfId="0" applyNumberFormat="1" applyFont="1" applyFill="1" applyBorder="1" applyAlignment="1">
      <alignment horizontal="right" vertical="center"/>
    </xf>
    <xf numFmtId="3" fontId="2" fillId="8" borderId="5" xfId="0" applyNumberFormat="1" applyFont="1" applyFill="1" applyBorder="1" applyAlignment="1">
      <alignment horizontal="right" vertical="center" wrapText="1"/>
    </xf>
    <xf numFmtId="3" fontId="2" fillId="8" borderId="63" xfId="0" applyNumberFormat="1" applyFont="1" applyFill="1" applyBorder="1" applyAlignment="1">
      <alignment horizontal="right" vertical="center"/>
    </xf>
    <xf numFmtId="3" fontId="9" fillId="0" borderId="67" xfId="0" applyNumberFormat="1" applyFont="1" applyBorder="1" applyAlignment="1">
      <alignment horizontal="right" vertical="top"/>
    </xf>
    <xf numFmtId="3" fontId="9" fillId="0" borderId="59" xfId="0" applyNumberFormat="1" applyFont="1" applyBorder="1" applyAlignment="1">
      <alignment horizontal="right" vertical="top"/>
    </xf>
    <xf numFmtId="3" fontId="3" fillId="8" borderId="12" xfId="0" applyNumberFormat="1" applyFont="1" applyFill="1" applyBorder="1" applyAlignment="1">
      <alignment horizontal="right" vertical="top"/>
    </xf>
    <xf numFmtId="3" fontId="9" fillId="0" borderId="48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top"/>
    </xf>
    <xf numFmtId="3" fontId="11" fillId="8" borderId="49" xfId="0" applyNumberFormat="1" applyFont="1" applyFill="1" applyBorder="1" applyAlignment="1">
      <alignment horizontal="right" vertical="top"/>
    </xf>
    <xf numFmtId="3" fontId="11" fillId="2" borderId="3" xfId="0" applyNumberFormat="1" applyFont="1" applyFill="1" applyBorder="1" applyAlignment="1">
      <alignment horizontal="right" vertical="top"/>
    </xf>
    <xf numFmtId="3" fontId="11" fillId="2" borderId="106" xfId="0" applyNumberFormat="1" applyFont="1" applyFill="1" applyBorder="1" applyAlignment="1">
      <alignment horizontal="right" vertical="top"/>
    </xf>
    <xf numFmtId="3" fontId="11" fillId="2" borderId="24" xfId="0" applyNumberFormat="1" applyFont="1" applyFill="1" applyBorder="1" applyAlignment="1">
      <alignment horizontal="right" vertical="top"/>
    </xf>
    <xf numFmtId="3" fontId="9" fillId="8" borderId="0" xfId="0" applyNumberFormat="1" applyFont="1" applyFill="1" applyBorder="1" applyAlignment="1">
      <alignment horizontal="right" vertical="top"/>
    </xf>
    <xf numFmtId="3" fontId="7" fillId="8" borderId="67" xfId="0" applyNumberFormat="1" applyFont="1" applyFill="1" applyBorder="1" applyAlignment="1">
      <alignment horizontal="right" vertical="top"/>
    </xf>
    <xf numFmtId="3" fontId="9" fillId="4" borderId="2" xfId="0" applyNumberFormat="1" applyFont="1" applyFill="1" applyBorder="1" applyAlignment="1">
      <alignment horizontal="right" vertical="top" wrapText="1"/>
    </xf>
    <xf numFmtId="3" fontId="11" fillId="2" borderId="9" xfId="0" applyNumberFormat="1" applyFont="1" applyFill="1" applyBorder="1" applyAlignment="1">
      <alignment horizontal="right" vertical="top"/>
    </xf>
    <xf numFmtId="3" fontId="11" fillId="9" borderId="9" xfId="0" applyNumberFormat="1" applyFont="1" applyFill="1" applyBorder="1" applyAlignment="1">
      <alignment horizontal="right" vertical="top"/>
    </xf>
    <xf numFmtId="3" fontId="11" fillId="9" borderId="3" xfId="0" applyNumberFormat="1" applyFont="1" applyFill="1" applyBorder="1" applyAlignment="1">
      <alignment horizontal="right" vertical="top"/>
    </xf>
    <xf numFmtId="3" fontId="11" fillId="9" borderId="24" xfId="0" applyNumberFormat="1" applyFont="1" applyFill="1" applyBorder="1" applyAlignment="1">
      <alignment horizontal="right" vertical="top"/>
    </xf>
    <xf numFmtId="3" fontId="11" fillId="7" borderId="9" xfId="0" applyNumberFormat="1" applyFont="1" applyFill="1" applyBorder="1" applyAlignment="1">
      <alignment horizontal="right" vertical="top"/>
    </xf>
    <xf numFmtId="3" fontId="11" fillId="7" borderId="24" xfId="0" applyNumberFormat="1" applyFont="1" applyFill="1" applyBorder="1" applyAlignment="1">
      <alignment horizontal="right" vertical="top"/>
    </xf>
    <xf numFmtId="3" fontId="11" fillId="7" borderId="37" xfId="0" applyNumberFormat="1" applyFont="1" applyFill="1" applyBorder="1" applyAlignment="1">
      <alignment horizontal="right" vertical="top" wrapText="1"/>
    </xf>
    <xf numFmtId="3" fontId="9" fillId="8" borderId="8" xfId="0" applyNumberFormat="1" applyFont="1" applyFill="1" applyBorder="1" applyAlignment="1">
      <alignment horizontal="right" vertical="top" wrapText="1"/>
    </xf>
    <xf numFmtId="3" fontId="9" fillId="8" borderId="2" xfId="0" applyNumberFormat="1" applyFont="1" applyFill="1" applyBorder="1" applyAlignment="1">
      <alignment horizontal="right" vertical="top" wrapText="1"/>
    </xf>
    <xf numFmtId="3" fontId="9" fillId="0" borderId="8" xfId="0" applyNumberFormat="1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3" fontId="11" fillId="7" borderId="7" xfId="0" applyNumberFormat="1" applyFont="1" applyFill="1" applyBorder="1" applyAlignment="1">
      <alignment horizontal="right" vertical="top" wrapText="1"/>
    </xf>
    <xf numFmtId="3" fontId="11" fillId="7" borderId="4" xfId="0" applyNumberFormat="1" applyFont="1" applyFill="1" applyBorder="1" applyAlignment="1">
      <alignment horizontal="right" vertical="top" wrapText="1"/>
    </xf>
    <xf numFmtId="3" fontId="11" fillId="8" borderId="13" xfId="0" applyNumberFormat="1" applyFont="1" applyFill="1" applyBorder="1" applyAlignment="1">
      <alignment horizontal="right" vertical="top" wrapText="1"/>
    </xf>
    <xf numFmtId="3" fontId="11" fillId="8" borderId="10" xfId="0" applyNumberFormat="1" applyFont="1" applyFill="1" applyBorder="1" applyAlignment="1">
      <alignment horizontal="right" vertical="top" wrapText="1"/>
    </xf>
    <xf numFmtId="3" fontId="9" fillId="8" borderId="12" xfId="0" applyNumberFormat="1" applyFont="1" applyFill="1" applyBorder="1" applyAlignment="1">
      <alignment horizontal="right" vertical="top"/>
    </xf>
    <xf numFmtId="164" fontId="10" fillId="4" borderId="0" xfId="0" applyNumberFormat="1" applyFont="1" applyFill="1" applyBorder="1" applyAlignment="1">
      <alignment vertical="top"/>
    </xf>
    <xf numFmtId="164" fontId="9" fillId="4" borderId="96" xfId="0" applyNumberFormat="1" applyFont="1" applyFill="1" applyBorder="1" applyAlignment="1">
      <alignment horizontal="center" vertical="top"/>
    </xf>
    <xf numFmtId="0" fontId="11" fillId="0" borderId="41" xfId="4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77" xfId="0" applyFont="1" applyBorder="1" applyAlignment="1">
      <alignment vertical="top" wrapText="1"/>
    </xf>
    <xf numFmtId="164" fontId="11" fillId="10" borderId="29" xfId="0" applyNumberFormat="1" applyFont="1" applyFill="1" applyBorder="1" applyAlignment="1">
      <alignment vertical="top"/>
    </xf>
    <xf numFmtId="164" fontId="11" fillId="10" borderId="36" xfId="0" applyNumberFormat="1" applyFont="1" applyFill="1" applyBorder="1" applyAlignment="1">
      <alignment vertical="top"/>
    </xf>
    <xf numFmtId="164" fontId="11" fillId="10" borderId="64" xfId="0" applyNumberFormat="1" applyFont="1" applyFill="1" applyBorder="1" applyAlignment="1">
      <alignment vertical="top"/>
    </xf>
    <xf numFmtId="164" fontId="9" fillId="0" borderId="65" xfId="0" applyNumberFormat="1" applyFont="1" applyFill="1" applyBorder="1" applyAlignment="1">
      <alignment vertical="top"/>
    </xf>
    <xf numFmtId="164" fontId="9" fillId="0" borderId="60" xfId="0" applyNumberFormat="1" applyFont="1" applyFill="1" applyBorder="1" applyAlignment="1">
      <alignment vertical="top"/>
    </xf>
    <xf numFmtId="164" fontId="9" fillId="0" borderId="66" xfId="0" applyNumberFormat="1" applyFont="1" applyFill="1" applyBorder="1" applyAlignment="1">
      <alignment vertical="top"/>
    </xf>
    <xf numFmtId="164" fontId="9" fillId="0" borderId="74" xfId="0" applyNumberFormat="1" applyFont="1" applyFill="1" applyBorder="1" applyAlignment="1">
      <alignment vertical="top"/>
    </xf>
    <xf numFmtId="164" fontId="9" fillId="0" borderId="93" xfId="0" applyNumberFormat="1" applyFont="1" applyFill="1" applyBorder="1" applyAlignment="1">
      <alignment vertical="top"/>
    </xf>
    <xf numFmtId="164" fontId="9" fillId="0" borderId="46" xfId="0" applyNumberFormat="1" applyFont="1" applyFill="1" applyBorder="1" applyAlignment="1">
      <alignment vertical="top"/>
    </xf>
    <xf numFmtId="164" fontId="9" fillId="4" borderId="85" xfId="0" applyNumberFormat="1" applyFont="1" applyFill="1" applyBorder="1" applyAlignment="1">
      <alignment vertical="top"/>
    </xf>
    <xf numFmtId="164" fontId="9" fillId="4" borderId="46" xfId="0" applyNumberFormat="1" applyFont="1" applyFill="1" applyBorder="1" applyAlignment="1">
      <alignment vertical="top"/>
    </xf>
    <xf numFmtId="165" fontId="7" fillId="0" borderId="85" xfId="0" applyNumberFormat="1" applyFont="1" applyFill="1" applyBorder="1" applyAlignment="1">
      <alignment horizontal="right" vertical="top"/>
    </xf>
    <xf numFmtId="165" fontId="7" fillId="0" borderId="46" xfId="0" applyNumberFormat="1" applyFont="1" applyFill="1" applyBorder="1" applyAlignment="1">
      <alignment horizontal="right" vertical="top"/>
    </xf>
    <xf numFmtId="3" fontId="9" fillId="0" borderId="0" xfId="0" applyNumberFormat="1" applyFont="1" applyBorder="1" applyAlignment="1">
      <alignment horizontal="right" vertical="top"/>
    </xf>
    <xf numFmtId="3" fontId="9" fillId="4" borderId="0" xfId="0" applyNumberFormat="1" applyFont="1" applyFill="1" applyBorder="1" applyAlignment="1">
      <alignment horizontal="right" vertical="top"/>
    </xf>
    <xf numFmtId="0" fontId="9" fillId="4" borderId="4" xfId="0" applyFont="1" applyFill="1" applyBorder="1" applyAlignment="1">
      <alignment horizontal="center" vertical="top"/>
    </xf>
    <xf numFmtId="3" fontId="7" fillId="4" borderId="7" xfId="0" applyNumberFormat="1" applyFont="1" applyFill="1" applyBorder="1" applyAlignment="1">
      <alignment horizontal="right" vertical="top"/>
    </xf>
    <xf numFmtId="3" fontId="7" fillId="4" borderId="4" xfId="0" applyNumberFormat="1" applyFont="1" applyFill="1" applyBorder="1" applyAlignment="1">
      <alignment horizontal="right" vertical="top"/>
    </xf>
    <xf numFmtId="3" fontId="7" fillId="8" borderId="66" xfId="0" applyNumberFormat="1" applyFont="1" applyFill="1" applyBorder="1" applyAlignment="1">
      <alignment horizontal="right" vertical="top"/>
    </xf>
    <xf numFmtId="3" fontId="9" fillId="0" borderId="37" xfId="0" applyNumberFormat="1" applyFont="1" applyBorder="1" applyAlignment="1">
      <alignment horizontal="right" vertical="top"/>
    </xf>
    <xf numFmtId="3" fontId="7" fillId="8" borderId="0" xfId="0" applyNumberFormat="1" applyFont="1" applyFill="1" applyBorder="1" applyAlignment="1">
      <alignment horizontal="right" vertical="top"/>
    </xf>
    <xf numFmtId="0" fontId="9" fillId="0" borderId="33" xfId="0" applyFont="1" applyBorder="1" applyAlignment="1">
      <alignment horizontal="left"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4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center" vertical="top"/>
    </xf>
    <xf numFmtId="0" fontId="11" fillId="4" borderId="44" xfId="0" applyFont="1" applyFill="1" applyBorder="1" applyAlignment="1">
      <alignment horizontal="left" vertical="top" wrapText="1"/>
    </xf>
    <xf numFmtId="0" fontId="6" fillId="0" borderId="66" xfId="0" applyFont="1" applyFill="1" applyBorder="1" applyAlignment="1">
      <alignment horizontal="center" vertical="top"/>
    </xf>
    <xf numFmtId="49" fontId="11" fillId="0" borderId="44" xfId="0" applyNumberFormat="1" applyFont="1" applyBorder="1" applyAlignment="1">
      <alignment horizontal="center" vertical="top"/>
    </xf>
    <xf numFmtId="0" fontId="9" fillId="4" borderId="45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49" fontId="11" fillId="0" borderId="38" xfId="0" applyNumberFormat="1" applyFont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center" textRotation="90" wrapText="1"/>
    </xf>
    <xf numFmtId="49" fontId="11" fillId="0" borderId="34" xfId="0" applyNumberFormat="1" applyFont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9" borderId="33" xfId="0" applyNumberFormat="1" applyFont="1" applyFill="1" applyBorder="1" applyAlignment="1">
      <alignment horizontal="center" vertical="top"/>
    </xf>
    <xf numFmtId="49" fontId="11" fillId="2" borderId="34" xfId="0" applyNumberFormat="1" applyFont="1" applyFill="1" applyBorder="1" applyAlignment="1">
      <alignment horizontal="center" vertical="top"/>
    </xf>
    <xf numFmtId="0" fontId="7" fillId="0" borderId="40" xfId="0" applyFont="1" applyFill="1" applyBorder="1" applyAlignment="1">
      <alignment horizontal="center" vertical="center" textRotation="90" wrapText="1"/>
    </xf>
    <xf numFmtId="49" fontId="11" fillId="4" borderId="38" xfId="0" applyNumberFormat="1" applyFont="1" applyFill="1" applyBorder="1" applyAlignment="1">
      <alignment horizontal="center" vertical="top"/>
    </xf>
    <xf numFmtId="0" fontId="11" fillId="4" borderId="40" xfId="0" applyFont="1" applyFill="1" applyBorder="1" applyAlignment="1">
      <alignment vertical="top" wrapText="1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9" fillId="4" borderId="34" xfId="0" applyFont="1" applyFill="1" applyBorder="1" applyAlignment="1">
      <alignment horizontal="left" vertical="top" wrapText="1"/>
    </xf>
    <xf numFmtId="49" fontId="11" fillId="4" borderId="44" xfId="0" applyNumberFormat="1" applyFont="1" applyFill="1" applyBorder="1" applyAlignment="1">
      <alignment horizontal="center" vertical="top"/>
    </xf>
    <xf numFmtId="49" fontId="11" fillId="0" borderId="54" xfId="0" applyNumberFormat="1" applyFont="1" applyBorder="1" applyAlignment="1">
      <alignment horizontal="center" vertical="top"/>
    </xf>
    <xf numFmtId="49" fontId="11" fillId="0" borderId="54" xfId="0" applyNumberFormat="1" applyFont="1" applyFill="1" applyBorder="1" applyAlignment="1">
      <alignment horizontal="center" vertical="top"/>
    </xf>
    <xf numFmtId="0" fontId="9" fillId="4" borderId="40" xfId="0" applyNumberFormat="1" applyFont="1" applyFill="1" applyBorder="1" applyAlignment="1">
      <alignment horizontal="center" vertical="top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4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0" fontId="9" fillId="4" borderId="44" xfId="0" applyFont="1" applyFill="1" applyBorder="1" applyAlignment="1">
      <alignment horizontal="left" vertical="top" wrapText="1"/>
    </xf>
    <xf numFmtId="0" fontId="9" fillId="0" borderId="20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1" fillId="4" borderId="16" xfId="0" applyFont="1" applyFill="1" applyBorder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0" borderId="38" xfId="0" applyNumberFormat="1" applyFont="1" applyBorder="1" applyAlignment="1">
      <alignment horizontal="center" vertical="top"/>
    </xf>
    <xf numFmtId="49" fontId="9" fillId="0" borderId="44" xfId="0" applyNumberFormat="1" applyFont="1" applyBorder="1" applyAlignment="1">
      <alignment horizontal="center" vertical="top"/>
    </xf>
    <xf numFmtId="49" fontId="9" fillId="0" borderId="41" xfId="0" applyNumberFormat="1" applyFont="1" applyBorder="1" applyAlignment="1">
      <alignment horizontal="center" vertical="top" wrapText="1"/>
    </xf>
    <xf numFmtId="49" fontId="9" fillId="0" borderId="54" xfId="0" applyNumberFormat="1" applyFont="1" applyBorder="1" applyAlignment="1">
      <alignment horizontal="center" vertical="top" wrapText="1"/>
    </xf>
    <xf numFmtId="164" fontId="11" fillId="8" borderId="13" xfId="0" applyNumberFormat="1" applyFont="1" applyFill="1" applyBorder="1" applyAlignment="1">
      <alignment horizontal="center" vertical="top" wrapText="1"/>
    </xf>
    <xf numFmtId="164" fontId="11" fillId="7" borderId="37" xfId="0" applyNumberFormat="1" applyFont="1" applyFill="1" applyBorder="1" applyAlignment="1">
      <alignment horizontal="center" vertical="top" wrapText="1"/>
    </xf>
    <xf numFmtId="164" fontId="11" fillId="7" borderId="7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8" borderId="8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top"/>
    </xf>
    <xf numFmtId="49" fontId="9" fillId="0" borderId="56" xfId="0" applyNumberFormat="1" applyFont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49" fontId="11" fillId="10" borderId="17" xfId="0" applyNumberFormat="1" applyFont="1" applyFill="1" applyBorder="1" applyAlignment="1">
      <alignment horizontal="center" vertical="top"/>
    </xf>
    <xf numFmtId="49" fontId="11" fillId="10" borderId="19" xfId="0" applyNumberFormat="1" applyFont="1" applyFill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49" fontId="11" fillId="0" borderId="18" xfId="0" applyNumberFormat="1" applyFont="1" applyBorder="1" applyAlignment="1">
      <alignment horizontal="center" vertical="top"/>
    </xf>
    <xf numFmtId="49" fontId="9" fillId="0" borderId="55" xfId="0" applyNumberFormat="1" applyFont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7" fillId="0" borderId="44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center" vertical="top" wrapText="1"/>
    </xf>
    <xf numFmtId="49" fontId="11" fillId="0" borderId="72" xfId="0" applyNumberFormat="1" applyFont="1" applyBorder="1" applyAlignment="1">
      <alignment horizontal="center" vertical="top"/>
    </xf>
    <xf numFmtId="49" fontId="9" fillId="0" borderId="16" xfId="0" applyNumberFormat="1" applyFont="1" applyBorder="1" applyAlignment="1">
      <alignment horizontal="center" vertical="top"/>
    </xf>
    <xf numFmtId="0" fontId="9" fillId="0" borderId="23" xfId="0" applyFont="1" applyBorder="1" applyAlignment="1">
      <alignment horizontal="right" vertical="top"/>
    </xf>
    <xf numFmtId="0" fontId="0" fillId="0" borderId="28" xfId="0" applyBorder="1" applyAlignment="1">
      <alignment horizontal="left" vertical="top" wrapText="1"/>
    </xf>
    <xf numFmtId="0" fontId="0" fillId="0" borderId="44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49" fontId="11" fillId="0" borderId="17" xfId="0" applyNumberFormat="1" applyFont="1" applyBorder="1" applyAlignment="1">
      <alignment horizontal="center" vertical="top"/>
    </xf>
    <xf numFmtId="49" fontId="11" fillId="0" borderId="52" xfId="0" applyNumberFormat="1" applyFont="1" applyBorder="1" applyAlignment="1">
      <alignment horizontal="center" vertical="top"/>
    </xf>
    <xf numFmtId="49" fontId="11" fillId="0" borderId="19" xfId="0" applyNumberFormat="1" applyFont="1" applyFill="1" applyBorder="1" applyAlignment="1">
      <alignment horizontal="center" vertical="top"/>
    </xf>
    <xf numFmtId="0" fontId="9" fillId="4" borderId="51" xfId="0" applyFont="1" applyFill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center" vertical="top"/>
    </xf>
    <xf numFmtId="0" fontId="7" fillId="0" borderId="26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center" vertical="top" wrapText="1"/>
    </xf>
    <xf numFmtId="49" fontId="9" fillId="0" borderId="4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center" textRotation="90"/>
    </xf>
    <xf numFmtId="0" fontId="7" fillId="0" borderId="16" xfId="0" applyFont="1" applyFill="1" applyBorder="1" applyAlignment="1">
      <alignment horizontal="center" vertical="top" wrapText="1"/>
    </xf>
    <xf numFmtId="49" fontId="11" fillId="0" borderId="53" xfId="0" applyNumberFormat="1" applyFont="1" applyBorder="1" applyAlignment="1">
      <alignment horizontal="center" vertical="top"/>
    </xf>
    <xf numFmtId="3" fontId="10" fillId="4" borderId="0" xfId="0" applyNumberFormat="1" applyFont="1" applyFill="1" applyAlignment="1">
      <alignment vertical="top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40" xfId="4" applyNumberFormat="1" applyFont="1" applyBorder="1" applyAlignment="1">
      <alignment horizontal="center" vertical="top"/>
    </xf>
    <xf numFmtId="49" fontId="9" fillId="0" borderId="44" xfId="0" applyNumberFormat="1" applyFont="1" applyFill="1" applyBorder="1" applyAlignment="1">
      <alignment horizontal="center" vertical="top"/>
    </xf>
    <xf numFmtId="165" fontId="11" fillId="8" borderId="49" xfId="0" applyNumberFormat="1" applyFont="1" applyFill="1" applyBorder="1" applyAlignment="1">
      <alignment vertical="top"/>
    </xf>
    <xf numFmtId="164" fontId="11" fillId="2" borderId="13" xfId="0" applyNumberFormat="1" applyFont="1" applyFill="1" applyBorder="1" applyAlignment="1">
      <alignment vertical="top"/>
    </xf>
    <xf numFmtId="165" fontId="9" fillId="4" borderId="27" xfId="0" applyNumberFormat="1" applyFont="1" applyFill="1" applyBorder="1" applyAlignment="1">
      <alignment vertical="top"/>
    </xf>
    <xf numFmtId="165" fontId="11" fillId="4" borderId="62" xfId="0" applyNumberFormat="1" applyFont="1" applyFill="1" applyBorder="1" applyAlignment="1">
      <alignment vertical="top"/>
    </xf>
    <xf numFmtId="165" fontId="11" fillId="8" borderId="30" xfId="0" applyNumberFormat="1" applyFont="1" applyFill="1" applyBorder="1" applyAlignment="1">
      <alignment vertical="top"/>
    </xf>
    <xf numFmtId="165" fontId="11" fillId="8" borderId="63" xfId="0" applyNumberFormat="1" applyFont="1" applyFill="1" applyBorder="1" applyAlignment="1">
      <alignment vertical="top"/>
    </xf>
    <xf numFmtId="164" fontId="11" fillId="2" borderId="10" xfId="0" applyNumberFormat="1" applyFont="1" applyFill="1" applyBorder="1" applyAlignment="1">
      <alignment vertical="top"/>
    </xf>
    <xf numFmtId="164" fontId="25" fillId="4" borderId="26" xfId="0" applyNumberFormat="1" applyFont="1" applyFill="1" applyBorder="1" applyAlignment="1">
      <alignment horizontal="center" vertical="top"/>
    </xf>
    <xf numFmtId="0" fontId="25" fillId="4" borderId="107" xfId="0" applyFont="1" applyFill="1" applyBorder="1" applyAlignment="1">
      <alignment horizontal="center" vertical="top"/>
    </xf>
    <xf numFmtId="164" fontId="25" fillId="4" borderId="102" xfId="0" applyNumberFormat="1" applyFont="1" applyFill="1" applyBorder="1" applyAlignment="1">
      <alignment horizontal="center" vertical="top"/>
    </xf>
    <xf numFmtId="164" fontId="25" fillId="4" borderId="100" xfId="0" applyNumberFormat="1" applyFont="1" applyFill="1" applyBorder="1" applyAlignment="1">
      <alignment horizontal="center" vertical="top"/>
    </xf>
    <xf numFmtId="164" fontId="25" fillId="4" borderId="119" xfId="0" applyNumberFormat="1" applyFont="1" applyFill="1" applyBorder="1" applyAlignment="1">
      <alignment horizontal="center" vertical="top"/>
    </xf>
    <xf numFmtId="0" fontId="25" fillId="0" borderId="101" xfId="0" applyFont="1" applyBorder="1" applyAlignment="1">
      <alignment vertical="top" wrapText="1"/>
    </xf>
    <xf numFmtId="164" fontId="25" fillId="4" borderId="39" xfId="0" applyNumberFormat="1" applyFont="1" applyFill="1" applyBorder="1" applyAlignment="1">
      <alignment horizontal="center" vertical="top"/>
    </xf>
    <xf numFmtId="164" fontId="25" fillId="4" borderId="38" xfId="0" applyNumberFormat="1" applyFont="1" applyFill="1" applyBorder="1" applyAlignment="1">
      <alignment horizontal="center" vertical="top"/>
    </xf>
    <xf numFmtId="0" fontId="25" fillId="0" borderId="0" xfId="0" applyFont="1" applyBorder="1" applyAlignment="1">
      <alignment vertical="top"/>
    </xf>
    <xf numFmtId="0" fontId="9" fillId="4" borderId="102" xfId="0" applyFont="1" applyFill="1" applyBorder="1" applyAlignment="1">
      <alignment vertical="top" wrapText="1"/>
    </xf>
    <xf numFmtId="3" fontId="9" fillId="4" borderId="89" xfId="0" applyNumberFormat="1" applyFont="1" applyFill="1" applyBorder="1" applyAlignment="1">
      <alignment horizontal="right" vertical="top"/>
    </xf>
    <xf numFmtId="3" fontId="9" fillId="4" borderId="12" xfId="0" applyNumberFormat="1" applyFont="1" applyFill="1" applyBorder="1" applyAlignment="1">
      <alignment horizontal="right" vertical="top"/>
    </xf>
    <xf numFmtId="3" fontId="3" fillId="4" borderId="12" xfId="0" applyNumberFormat="1" applyFont="1" applyFill="1" applyBorder="1" applyAlignment="1">
      <alignment horizontal="right" vertical="top"/>
    </xf>
    <xf numFmtId="3" fontId="3" fillId="4" borderId="1" xfId="0" applyNumberFormat="1" applyFont="1" applyFill="1" applyBorder="1" applyAlignment="1">
      <alignment horizontal="right" vertical="top"/>
    </xf>
    <xf numFmtId="3" fontId="7" fillId="4" borderId="1" xfId="0" applyNumberFormat="1" applyFont="1" applyFill="1" applyBorder="1" applyAlignment="1">
      <alignment horizontal="right" vertical="top"/>
    </xf>
    <xf numFmtId="3" fontId="11" fillId="7" borderId="3" xfId="0" applyNumberFormat="1" applyFont="1" applyFill="1" applyBorder="1" applyAlignment="1">
      <alignment horizontal="right" vertical="top"/>
    </xf>
    <xf numFmtId="3" fontId="9" fillId="8" borderId="0" xfId="0" applyNumberFormat="1" applyFont="1" applyFill="1" applyBorder="1" applyAlignment="1">
      <alignment horizontal="right" vertical="top" wrapText="1"/>
    </xf>
    <xf numFmtId="3" fontId="3" fillId="8" borderId="67" xfId="0" applyNumberFormat="1" applyFont="1" applyFill="1" applyBorder="1" applyAlignment="1">
      <alignment horizontal="right" vertical="top"/>
    </xf>
    <xf numFmtId="3" fontId="11" fillId="2" borderId="9" xfId="0" applyNumberFormat="1" applyFont="1" applyFill="1" applyBorder="1" applyAlignment="1">
      <alignment vertical="top"/>
    </xf>
    <xf numFmtId="3" fontId="9" fillId="4" borderId="4" xfId="0" applyNumberFormat="1" applyFont="1" applyFill="1" applyBorder="1" applyAlignment="1">
      <alignment horizontal="right" vertical="top" wrapText="1"/>
    </xf>
    <xf numFmtId="3" fontId="11" fillId="8" borderId="43" xfId="0" applyNumberFormat="1" applyFont="1" applyFill="1" applyBorder="1" applyAlignment="1">
      <alignment horizontal="right" vertical="top"/>
    </xf>
    <xf numFmtId="3" fontId="9" fillId="0" borderId="76" xfId="0" applyNumberFormat="1" applyFont="1" applyFill="1" applyBorder="1" applyAlignment="1">
      <alignment horizontal="right" vertical="top"/>
    </xf>
    <xf numFmtId="3" fontId="7" fillId="4" borderId="56" xfId="0" applyNumberFormat="1" applyFont="1" applyFill="1" applyBorder="1" applyAlignment="1">
      <alignment horizontal="right" vertical="top"/>
    </xf>
    <xf numFmtId="3" fontId="11" fillId="8" borderId="63" xfId="0" applyNumberFormat="1" applyFont="1" applyFill="1" applyBorder="1" applyAlignment="1">
      <alignment horizontal="right" vertical="top"/>
    </xf>
    <xf numFmtId="3" fontId="11" fillId="8" borderId="57" xfId="0" applyNumberFormat="1" applyFont="1" applyFill="1" applyBorder="1" applyAlignment="1">
      <alignment horizontal="right" vertical="top"/>
    </xf>
    <xf numFmtId="3" fontId="9" fillId="8" borderId="52" xfId="0" applyNumberFormat="1" applyFont="1" applyFill="1" applyBorder="1" applyAlignment="1">
      <alignment horizontal="right" vertical="top"/>
    </xf>
    <xf numFmtId="3" fontId="9" fillId="8" borderId="50" xfId="0" applyNumberFormat="1" applyFont="1" applyFill="1" applyBorder="1" applyAlignment="1">
      <alignment horizontal="right" vertical="top"/>
    </xf>
    <xf numFmtId="3" fontId="11" fillId="8" borderId="7" xfId="0" applyNumberFormat="1" applyFont="1" applyFill="1" applyBorder="1" applyAlignment="1">
      <alignment horizontal="right" vertical="top"/>
    </xf>
    <xf numFmtId="3" fontId="7" fillId="8" borderId="6" xfId="0" applyNumberFormat="1" applyFont="1" applyFill="1" applyBorder="1" applyAlignment="1">
      <alignment horizontal="right" vertical="top"/>
    </xf>
    <xf numFmtId="3" fontId="6" fillId="8" borderId="13" xfId="0" applyNumberFormat="1" applyFont="1" applyFill="1" applyBorder="1" applyAlignment="1">
      <alignment horizontal="right" vertical="top"/>
    </xf>
    <xf numFmtId="3" fontId="11" fillId="8" borderId="4" xfId="0" applyNumberFormat="1" applyFont="1" applyFill="1" applyBorder="1" applyAlignment="1">
      <alignment horizontal="right" vertical="top"/>
    </xf>
    <xf numFmtId="3" fontId="6" fillId="8" borderId="10" xfId="0" applyNumberFormat="1" applyFont="1" applyFill="1" applyBorder="1" applyAlignment="1">
      <alignment horizontal="right" vertical="top"/>
    </xf>
    <xf numFmtId="3" fontId="9" fillId="4" borderId="50" xfId="0" applyNumberFormat="1" applyFont="1" applyFill="1" applyBorder="1" applyAlignment="1">
      <alignment horizontal="right" vertical="top"/>
    </xf>
    <xf numFmtId="3" fontId="10" fillId="4" borderId="22" xfId="0" applyNumberFormat="1" applyFont="1" applyFill="1" applyBorder="1" applyAlignment="1">
      <alignment vertical="top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0" fontId="9" fillId="0" borderId="62" xfId="0" applyFont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top" wrapText="1"/>
    </xf>
    <xf numFmtId="0" fontId="11" fillId="8" borderId="14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49" fontId="9" fillId="0" borderId="37" xfId="0" applyNumberFormat="1" applyFont="1" applyFill="1" applyBorder="1" applyAlignment="1">
      <alignment horizontal="center" vertical="top"/>
    </xf>
    <xf numFmtId="0" fontId="9" fillId="0" borderId="37" xfId="0" applyFont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0" fontId="9" fillId="4" borderId="123" xfId="0" applyFont="1" applyFill="1" applyBorder="1" applyAlignment="1">
      <alignment horizontal="left" vertical="top" wrapText="1"/>
    </xf>
    <xf numFmtId="0" fontId="9" fillId="0" borderId="123" xfId="0" applyFont="1" applyBorder="1" applyAlignment="1">
      <alignment vertical="top" wrapText="1"/>
    </xf>
    <xf numFmtId="0" fontId="9" fillId="0" borderId="93" xfId="0" applyFont="1" applyFill="1" applyBorder="1" applyAlignment="1">
      <alignment vertical="center" wrapText="1"/>
    </xf>
    <xf numFmtId="0" fontId="9" fillId="4" borderId="60" xfId="0" applyFont="1" applyFill="1" applyBorder="1" applyAlignment="1">
      <alignment horizontal="left" vertical="top" wrapText="1"/>
    </xf>
    <xf numFmtId="0" fontId="9" fillId="10" borderId="77" xfId="0" applyFont="1" applyFill="1" applyBorder="1" applyAlignment="1">
      <alignment vertical="top"/>
    </xf>
    <xf numFmtId="0" fontId="9" fillId="0" borderId="85" xfId="0" applyFont="1" applyBorder="1" applyAlignment="1">
      <alignment horizontal="left" vertical="top" wrapText="1"/>
    </xf>
    <xf numFmtId="0" fontId="5" fillId="0" borderId="46" xfId="0" applyFont="1" applyFill="1" applyBorder="1" applyAlignment="1">
      <alignment horizontal="left" vertical="top" wrapText="1"/>
    </xf>
    <xf numFmtId="0" fontId="9" fillId="0" borderId="65" xfId="0" applyFont="1" applyBorder="1" applyAlignment="1">
      <alignment vertical="top"/>
    </xf>
    <xf numFmtId="0" fontId="9" fillId="0" borderId="64" xfId="0" applyFont="1" applyBorder="1" applyAlignment="1">
      <alignment vertical="top"/>
    </xf>
    <xf numFmtId="164" fontId="9" fillId="4" borderId="46" xfId="0" applyNumberFormat="1" applyFont="1" applyFill="1" applyBorder="1" applyAlignment="1">
      <alignment horizontal="left" vertical="top" wrapText="1"/>
    </xf>
    <xf numFmtId="0" fontId="9" fillId="0" borderId="78" xfId="0" applyFont="1" applyBorder="1" applyAlignment="1">
      <alignment vertical="top"/>
    </xf>
    <xf numFmtId="0" fontId="9" fillId="0" borderId="77" xfId="0" applyFont="1" applyBorder="1" applyAlignment="1">
      <alignment vertical="top"/>
    </xf>
    <xf numFmtId="0" fontId="9" fillId="5" borderId="23" xfId="0" applyFont="1" applyFill="1" applyBorder="1" applyAlignment="1">
      <alignment vertical="top"/>
    </xf>
    <xf numFmtId="49" fontId="9" fillId="0" borderId="51" xfId="0" applyNumberFormat="1" applyFont="1" applyBorder="1" applyAlignment="1">
      <alignment horizontal="center" vertical="top" wrapText="1"/>
    </xf>
    <xf numFmtId="49" fontId="9" fillId="0" borderId="52" xfId="0" applyNumberFormat="1" applyFont="1" applyBorder="1" applyAlignment="1">
      <alignment horizontal="center" vertical="top" wrapText="1"/>
    </xf>
    <xf numFmtId="49" fontId="9" fillId="4" borderId="19" xfId="0" applyNumberFormat="1" applyFont="1" applyFill="1" applyBorder="1" applyAlignment="1">
      <alignment horizontal="center" vertical="top" wrapText="1"/>
    </xf>
    <xf numFmtId="49" fontId="9" fillId="4" borderId="53" xfId="0" applyNumberFormat="1" applyFont="1" applyFill="1" applyBorder="1" applyAlignment="1">
      <alignment horizontal="center" vertical="top" wrapText="1"/>
    </xf>
    <xf numFmtId="49" fontId="9" fillId="4" borderId="51" xfId="0" applyNumberFormat="1" applyFont="1" applyFill="1" applyBorder="1" applyAlignment="1">
      <alignment horizontal="center" vertical="top" wrapText="1"/>
    </xf>
    <xf numFmtId="0" fontId="9" fillId="0" borderId="117" xfId="0" applyFont="1" applyBorder="1" applyAlignment="1">
      <alignment horizontal="center" vertical="top"/>
    </xf>
    <xf numFmtId="0" fontId="9" fillId="0" borderId="89" xfId="0" applyFont="1" applyBorder="1" applyAlignment="1">
      <alignment horizontal="center" vertical="top"/>
    </xf>
    <xf numFmtId="0" fontId="9" fillId="4" borderId="111" xfId="0" applyFont="1" applyFill="1" applyBorder="1" applyAlignment="1">
      <alignment horizontal="center" vertical="top"/>
    </xf>
    <xf numFmtId="0" fontId="9" fillId="4" borderId="117" xfId="0" applyFont="1" applyFill="1" applyBorder="1" applyAlignment="1">
      <alignment horizontal="center" vertical="top"/>
    </xf>
    <xf numFmtId="0" fontId="9" fillId="0" borderId="98" xfId="0" applyFont="1" applyBorder="1" applyAlignment="1">
      <alignment horizontal="center" vertical="top"/>
    </xf>
    <xf numFmtId="0" fontId="11" fillId="4" borderId="0" xfId="0" applyFont="1" applyFill="1" applyBorder="1" applyAlignment="1">
      <alignment horizontal="left" vertical="top" wrapText="1"/>
    </xf>
    <xf numFmtId="0" fontId="9" fillId="4" borderId="85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vertical="top" wrapText="1"/>
    </xf>
    <xf numFmtId="0" fontId="11" fillId="0" borderId="26" xfId="4" applyNumberFormat="1" applyFont="1" applyBorder="1" applyAlignment="1">
      <alignment horizontal="center" vertical="top"/>
    </xf>
    <xf numFmtId="0" fontId="9" fillId="0" borderId="76" xfId="4" applyNumberFormat="1" applyFont="1" applyBorder="1" applyAlignment="1">
      <alignment horizontal="center" vertical="top" wrapText="1"/>
    </xf>
    <xf numFmtId="0" fontId="9" fillId="0" borderId="65" xfId="0" applyFont="1" applyBorder="1" applyAlignment="1">
      <alignment vertical="top" wrapText="1"/>
    </xf>
    <xf numFmtId="0" fontId="9" fillId="4" borderId="56" xfId="4" applyNumberFormat="1" applyFont="1" applyFill="1" applyBorder="1" applyAlignment="1">
      <alignment horizontal="center" vertical="top" wrapText="1"/>
    </xf>
    <xf numFmtId="0" fontId="11" fillId="4" borderId="54" xfId="4" applyNumberFormat="1" applyFont="1" applyFill="1" applyBorder="1" applyAlignment="1">
      <alignment horizontal="center" vertical="top"/>
    </xf>
    <xf numFmtId="0" fontId="11" fillId="10" borderId="72" xfId="0" applyFont="1" applyFill="1" applyBorder="1" applyAlignment="1">
      <alignment horizontal="center" vertical="top" wrapText="1"/>
    </xf>
    <xf numFmtId="0" fontId="11" fillId="10" borderId="4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/>
    </xf>
    <xf numFmtId="0" fontId="7" fillId="4" borderId="44" xfId="0" applyFont="1" applyFill="1" applyBorder="1" applyAlignment="1">
      <alignment vertical="top" wrapText="1"/>
    </xf>
    <xf numFmtId="0" fontId="11" fillId="4" borderId="44" xfId="4" applyNumberFormat="1" applyFont="1" applyFill="1" applyBorder="1" applyAlignment="1">
      <alignment horizontal="center" vertical="top"/>
    </xf>
    <xf numFmtId="0" fontId="7" fillId="4" borderId="19" xfId="0" applyFont="1" applyFill="1" applyBorder="1" applyAlignment="1">
      <alignment vertical="top" wrapText="1"/>
    </xf>
    <xf numFmtId="3" fontId="9" fillId="0" borderId="4" xfId="0" applyNumberFormat="1" applyFont="1" applyFill="1" applyBorder="1" applyAlignment="1">
      <alignment horizontal="center" vertical="top"/>
    </xf>
    <xf numFmtId="3" fontId="9" fillId="4" borderId="4" xfId="0" applyNumberFormat="1" applyFont="1" applyFill="1" applyBorder="1" applyAlignment="1">
      <alignment horizontal="center" vertical="top"/>
    </xf>
    <xf numFmtId="3" fontId="9" fillId="4" borderId="79" xfId="0" applyNumberFormat="1" applyFont="1" applyFill="1" applyBorder="1" applyAlignment="1">
      <alignment horizontal="center" vertical="top"/>
    </xf>
    <xf numFmtId="3" fontId="9" fillId="4" borderId="1" xfId="0" applyNumberFormat="1" applyFont="1" applyFill="1" applyBorder="1" applyAlignment="1">
      <alignment horizontal="center" vertical="top"/>
    </xf>
    <xf numFmtId="3" fontId="11" fillId="10" borderId="10" xfId="0" applyNumberFormat="1" applyFont="1" applyFill="1" applyBorder="1" applyAlignment="1">
      <alignment horizontal="center" vertical="top"/>
    </xf>
    <xf numFmtId="3" fontId="11" fillId="8" borderId="10" xfId="0" applyNumberFormat="1" applyFont="1" applyFill="1" applyBorder="1" applyAlignment="1">
      <alignment horizontal="center" vertical="top"/>
    </xf>
    <xf numFmtId="3" fontId="11" fillId="8" borderId="5" xfId="0" applyNumberFormat="1" applyFont="1" applyFill="1" applyBorder="1" applyAlignment="1">
      <alignment horizontal="center" vertical="top"/>
    </xf>
    <xf numFmtId="3" fontId="9" fillId="3" borderId="12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3" fontId="2" fillId="10" borderId="10" xfId="0" applyNumberFormat="1" applyFont="1" applyFill="1" applyBorder="1" applyAlignment="1">
      <alignment horizontal="center" vertical="top"/>
    </xf>
    <xf numFmtId="0" fontId="6" fillId="4" borderId="44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165" fontId="7" fillId="0" borderId="12" xfId="0" applyNumberFormat="1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 wrapText="1"/>
    </xf>
    <xf numFmtId="3" fontId="9" fillId="0" borderId="26" xfId="0" applyNumberFormat="1" applyFont="1" applyBorder="1" applyAlignment="1">
      <alignment horizontal="center" vertical="top"/>
    </xf>
    <xf numFmtId="3" fontId="9" fillId="0" borderId="38" xfId="0" applyNumberFormat="1" applyFont="1" applyBorder="1" applyAlignment="1">
      <alignment horizontal="center" vertical="top"/>
    </xf>
    <xf numFmtId="3" fontId="11" fillId="9" borderId="24" xfId="0" applyNumberFormat="1" applyFont="1" applyFill="1" applyBorder="1" applyAlignment="1">
      <alignment horizontal="center" vertical="top"/>
    </xf>
    <xf numFmtId="3" fontId="11" fillId="7" borderId="24" xfId="0" applyNumberFormat="1" applyFont="1" applyFill="1" applyBorder="1" applyAlignment="1">
      <alignment horizontal="center" vertical="top"/>
    </xf>
    <xf numFmtId="3" fontId="9" fillId="4" borderId="35" xfId="0" applyNumberFormat="1" applyFont="1" applyFill="1" applyBorder="1" applyAlignment="1">
      <alignment horizontal="center" vertical="top"/>
    </xf>
    <xf numFmtId="3" fontId="11" fillId="8" borderId="64" xfId="0" applyNumberFormat="1" applyFont="1" applyFill="1" applyBorder="1" applyAlignment="1">
      <alignment horizontal="center" vertical="top"/>
    </xf>
    <xf numFmtId="3" fontId="11" fillId="2" borderId="24" xfId="0" applyNumberFormat="1" applyFont="1" applyFill="1" applyBorder="1" applyAlignment="1">
      <alignment horizontal="center" vertical="top"/>
    </xf>
    <xf numFmtId="3" fontId="3" fillId="4" borderId="26" xfId="0" applyNumberFormat="1" applyFont="1" applyFill="1" applyBorder="1" applyAlignment="1">
      <alignment horizontal="center" vertical="top"/>
    </xf>
    <xf numFmtId="3" fontId="3" fillId="4" borderId="34" xfId="0" applyNumberFormat="1" applyFont="1" applyFill="1" applyBorder="1" applyAlignment="1">
      <alignment horizontal="center" vertical="top"/>
    </xf>
    <xf numFmtId="3" fontId="11" fillId="8" borderId="29" xfId="0" applyNumberFormat="1" applyFont="1" applyFill="1" applyBorder="1" applyAlignment="1">
      <alignment horizontal="center" vertical="top"/>
    </xf>
    <xf numFmtId="3" fontId="7" fillId="0" borderId="38" xfId="0" applyNumberFormat="1" applyFont="1" applyFill="1" applyBorder="1" applyAlignment="1">
      <alignment horizontal="center" vertical="top" wrapText="1"/>
    </xf>
    <xf numFmtId="3" fontId="3" fillId="4" borderId="35" xfId="0" applyNumberFormat="1" applyFont="1" applyFill="1" applyBorder="1" applyAlignment="1">
      <alignment horizontal="center" vertical="top"/>
    </xf>
    <xf numFmtId="3" fontId="2" fillId="8" borderId="64" xfId="0" applyNumberFormat="1" applyFont="1" applyFill="1" applyBorder="1" applyAlignment="1">
      <alignment horizontal="center" vertical="center"/>
    </xf>
    <xf numFmtId="3" fontId="2" fillId="8" borderId="29" xfId="0" applyNumberFormat="1" applyFont="1" applyFill="1" applyBorder="1" applyAlignment="1">
      <alignment horizontal="center" vertical="center"/>
    </xf>
    <xf numFmtId="3" fontId="27" fillId="0" borderId="4" xfId="0" applyNumberFormat="1" applyFont="1" applyBorder="1" applyAlignment="1">
      <alignment horizontal="center" vertical="top"/>
    </xf>
    <xf numFmtId="3" fontId="27" fillId="0" borderId="1" xfId="0" applyNumberFormat="1" applyFont="1" applyBorder="1" applyAlignment="1">
      <alignment horizontal="center" vertical="top"/>
    </xf>
    <xf numFmtId="3" fontId="27" fillId="4" borderId="4" xfId="0" applyNumberFormat="1" applyFont="1" applyFill="1" applyBorder="1" applyAlignment="1">
      <alignment horizontal="center" vertical="top"/>
    </xf>
    <xf numFmtId="3" fontId="27" fillId="0" borderId="1" xfId="0" applyNumberFormat="1" applyFont="1" applyFill="1" applyBorder="1" applyAlignment="1">
      <alignment horizontal="center" vertical="top"/>
    </xf>
    <xf numFmtId="3" fontId="9" fillId="0" borderId="2" xfId="0" applyNumberFormat="1" applyFont="1" applyFill="1" applyBorder="1" applyAlignment="1">
      <alignment horizontal="center" vertical="top"/>
    </xf>
    <xf numFmtId="3" fontId="11" fillId="10" borderId="5" xfId="0" applyNumberFormat="1" applyFont="1" applyFill="1" applyBorder="1" applyAlignment="1">
      <alignment horizontal="center" vertical="top"/>
    </xf>
    <xf numFmtId="3" fontId="11" fillId="2" borderId="10" xfId="0" applyNumberFormat="1" applyFont="1" applyFill="1" applyBorder="1" applyAlignment="1">
      <alignment horizontal="center" vertical="top"/>
    </xf>
    <xf numFmtId="3" fontId="11" fillId="10" borderId="57" xfId="0" applyNumberFormat="1" applyFont="1" applyFill="1" applyBorder="1" applyAlignment="1">
      <alignment horizontal="center" vertical="top"/>
    </xf>
    <xf numFmtId="3" fontId="11" fillId="7" borderId="15" xfId="0" applyNumberFormat="1" applyFont="1" applyFill="1" applyBorder="1" applyAlignment="1">
      <alignment horizontal="center" vertical="top" wrapText="1"/>
    </xf>
    <xf numFmtId="3" fontId="9" fillId="8" borderId="2" xfId="0" applyNumberFormat="1" applyFont="1" applyFill="1" applyBorder="1" applyAlignment="1">
      <alignment horizontal="center" vertical="top" wrapText="1"/>
    </xf>
    <xf numFmtId="3" fontId="9" fillId="0" borderId="2" xfId="0" applyNumberFormat="1" applyFont="1" applyFill="1" applyBorder="1" applyAlignment="1">
      <alignment horizontal="center" vertical="top" wrapText="1"/>
    </xf>
    <xf numFmtId="3" fontId="11" fillId="7" borderId="4" xfId="0" applyNumberFormat="1" applyFont="1" applyFill="1" applyBorder="1" applyAlignment="1">
      <alignment horizontal="center" vertical="top" wrapText="1"/>
    </xf>
    <xf numFmtId="3" fontId="11" fillId="8" borderId="10" xfId="0" applyNumberFormat="1" applyFont="1" applyFill="1" applyBorder="1" applyAlignment="1">
      <alignment horizontal="center" vertical="top" wrapText="1"/>
    </xf>
    <xf numFmtId="3" fontId="7" fillId="4" borderId="2" xfId="0" applyNumberFormat="1" applyFont="1" applyFill="1" applyBorder="1" applyAlignment="1">
      <alignment horizontal="center" vertical="top"/>
    </xf>
    <xf numFmtId="3" fontId="7" fillId="4" borderId="57" xfId="0" applyNumberFormat="1" applyFont="1" applyFill="1" applyBorder="1" applyAlignment="1">
      <alignment horizontal="center" vertical="top"/>
    </xf>
    <xf numFmtId="0" fontId="9" fillId="0" borderId="109" xfId="0" applyFont="1" applyFill="1" applyBorder="1" applyAlignment="1">
      <alignment vertical="top" wrapText="1"/>
    </xf>
    <xf numFmtId="49" fontId="9" fillId="4" borderId="5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7" fillId="4" borderId="66" xfId="0" applyFont="1" applyFill="1" applyBorder="1" applyAlignment="1">
      <alignment vertical="top" wrapText="1"/>
    </xf>
    <xf numFmtId="0" fontId="9" fillId="4" borderId="0" xfId="0" applyFont="1" applyFill="1" applyBorder="1" applyAlignment="1">
      <alignment horizontal="center" vertical="top" wrapText="1"/>
    </xf>
    <xf numFmtId="49" fontId="11" fillId="4" borderId="72" xfId="0" applyNumberFormat="1" applyFont="1" applyFill="1" applyBorder="1" applyAlignment="1">
      <alignment horizontal="center" vertical="top"/>
    </xf>
    <xf numFmtId="49" fontId="10" fillId="0" borderId="38" xfId="0" applyNumberFormat="1" applyFont="1" applyBorder="1" applyAlignment="1">
      <alignment horizontal="center" vertical="top" textRotation="90"/>
    </xf>
    <xf numFmtId="1" fontId="12" fillId="0" borderId="67" xfId="0" applyNumberFormat="1" applyFont="1" applyFill="1" applyBorder="1" applyAlignment="1">
      <alignment horizontal="center" vertical="top" textRotation="90" wrapText="1"/>
    </xf>
    <xf numFmtId="0" fontId="6" fillId="0" borderId="82" xfId="0" applyFont="1" applyFill="1" applyBorder="1" applyAlignment="1">
      <alignment horizontal="center" vertical="center" textRotation="90"/>
    </xf>
    <xf numFmtId="49" fontId="11" fillId="0" borderId="83" xfId="0" applyNumberFormat="1" applyFont="1" applyFill="1" applyBorder="1" applyAlignment="1">
      <alignment horizontal="center" vertical="top"/>
    </xf>
    <xf numFmtId="3" fontId="9" fillId="0" borderId="12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vertical="top"/>
    </xf>
    <xf numFmtId="0" fontId="7" fillId="0" borderId="51" xfId="0" applyFont="1" applyFill="1" applyBorder="1" applyAlignment="1">
      <alignment vertical="top" wrapText="1"/>
    </xf>
    <xf numFmtId="0" fontId="11" fillId="0" borderId="38" xfId="4" applyNumberFormat="1" applyFont="1" applyBorder="1" applyAlignment="1">
      <alignment horizontal="center" vertical="top"/>
    </xf>
    <xf numFmtId="49" fontId="10" fillId="4" borderId="52" xfId="0" applyNumberFormat="1" applyFont="1" applyFill="1" applyBorder="1" applyAlignment="1">
      <alignment vertical="center" textRotation="90"/>
    </xf>
    <xf numFmtId="49" fontId="10" fillId="0" borderId="26" xfId="0" applyNumberFormat="1" applyFont="1" applyBorder="1" applyAlignment="1">
      <alignment vertical="top" textRotation="90"/>
    </xf>
    <xf numFmtId="49" fontId="9" fillId="0" borderId="40" xfId="0" applyNumberFormat="1" applyFont="1" applyFill="1" applyBorder="1" applyAlignment="1">
      <alignment horizontal="center" vertical="top" textRotation="90"/>
    </xf>
    <xf numFmtId="0" fontId="6" fillId="4" borderId="38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3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3" fontId="9" fillId="0" borderId="6" xfId="0" applyNumberFormat="1" applyFont="1" applyFill="1" applyBorder="1" applyAlignment="1">
      <alignment horizontal="right" vertical="top"/>
    </xf>
    <xf numFmtId="0" fontId="11" fillId="0" borderId="26" xfId="0" applyFont="1" applyFill="1" applyBorder="1" applyAlignment="1">
      <alignment vertical="top" wrapText="1"/>
    </xf>
    <xf numFmtId="0" fontId="9" fillId="0" borderId="38" xfId="0" applyFont="1" applyFill="1" applyBorder="1" applyAlignment="1">
      <alignment vertical="top" wrapText="1"/>
    </xf>
    <xf numFmtId="0" fontId="9" fillId="0" borderId="6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vertical="top" wrapText="1"/>
    </xf>
    <xf numFmtId="164" fontId="9" fillId="4" borderId="85" xfId="0" applyNumberFormat="1" applyFont="1" applyFill="1" applyBorder="1" applyAlignment="1">
      <alignment horizontal="center" vertical="top"/>
    </xf>
    <xf numFmtId="49" fontId="11" fillId="4" borderId="16" xfId="0" applyNumberFormat="1" applyFont="1" applyFill="1" applyBorder="1" applyAlignment="1">
      <alignment horizontal="center" vertical="top"/>
    </xf>
    <xf numFmtId="165" fontId="9" fillId="4" borderId="25" xfId="0" applyNumberFormat="1" applyFont="1" applyFill="1" applyBorder="1" applyAlignment="1">
      <alignment vertical="top"/>
    </xf>
    <xf numFmtId="165" fontId="9" fillId="4" borderId="39" xfId="0" applyNumberFormat="1" applyFont="1" applyFill="1" applyBorder="1" applyAlignment="1">
      <alignment vertical="top"/>
    </xf>
    <xf numFmtId="0" fontId="9" fillId="0" borderId="81" xfId="0" applyFont="1" applyBorder="1" applyAlignment="1">
      <alignment vertical="top" wrapText="1"/>
    </xf>
    <xf numFmtId="49" fontId="11" fillId="4" borderId="46" xfId="0" applyNumberFormat="1" applyFont="1" applyFill="1" applyBorder="1" applyAlignment="1">
      <alignment horizontal="center" vertical="top"/>
    </xf>
    <xf numFmtId="0" fontId="7" fillId="0" borderId="53" xfId="0" applyFont="1" applyFill="1" applyBorder="1" applyAlignment="1">
      <alignment vertical="top" wrapText="1"/>
    </xf>
    <xf numFmtId="49" fontId="9" fillId="0" borderId="53" xfId="0" applyNumberFormat="1" applyFont="1" applyBorder="1" applyAlignment="1">
      <alignment vertical="top"/>
    </xf>
    <xf numFmtId="0" fontId="11" fillId="0" borderId="16" xfId="4" applyNumberFormat="1" applyFont="1" applyBorder="1" applyAlignment="1">
      <alignment horizontal="center" vertical="top"/>
    </xf>
    <xf numFmtId="0" fontId="9" fillId="4" borderId="72" xfId="0" applyFont="1" applyFill="1" applyBorder="1" applyAlignment="1">
      <alignment horizontal="center" vertical="top"/>
    </xf>
    <xf numFmtId="164" fontId="9" fillId="4" borderId="74" xfId="0" applyNumberFormat="1" applyFont="1" applyFill="1" applyBorder="1" applyAlignment="1">
      <alignment vertical="top"/>
    </xf>
    <xf numFmtId="0" fontId="26" fillId="0" borderId="52" xfId="0" applyFont="1" applyBorder="1" applyAlignment="1">
      <alignment vertical="center"/>
    </xf>
    <xf numFmtId="49" fontId="11" fillId="4" borderId="74" xfId="0" applyNumberFormat="1" applyFont="1" applyFill="1" applyBorder="1" applyAlignment="1">
      <alignment horizontal="center" vertical="top"/>
    </xf>
    <xf numFmtId="0" fontId="9" fillId="4" borderId="0" xfId="0" applyFont="1" applyFill="1" applyBorder="1" applyAlignment="1">
      <alignment horizontal="center" vertical="top"/>
    </xf>
    <xf numFmtId="0" fontId="9" fillId="4" borderId="43" xfId="0" applyFont="1" applyFill="1" applyBorder="1" applyAlignment="1">
      <alignment horizontal="center" vertical="top"/>
    </xf>
    <xf numFmtId="0" fontId="9" fillId="0" borderId="107" xfId="0" applyFont="1" applyBorder="1" applyAlignment="1">
      <alignment vertical="top" wrapText="1"/>
    </xf>
    <xf numFmtId="3" fontId="9" fillId="0" borderId="0" xfId="0" applyNumberFormat="1" applyFont="1" applyAlignment="1">
      <alignment vertical="top"/>
    </xf>
    <xf numFmtId="165" fontId="27" fillId="4" borderId="4" xfId="0" applyNumberFormat="1" applyFont="1" applyFill="1" applyBorder="1" applyAlignment="1">
      <alignment horizontal="center" vertical="top"/>
    </xf>
    <xf numFmtId="0" fontId="25" fillId="4" borderId="32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165" fontId="7" fillId="11" borderId="38" xfId="0" applyNumberFormat="1" applyFont="1" applyFill="1" applyBorder="1" applyAlignment="1">
      <alignment horizontal="center" vertical="top"/>
    </xf>
    <xf numFmtId="164" fontId="9" fillId="11" borderId="34" xfId="0" applyNumberFormat="1" applyFont="1" applyFill="1" applyBorder="1" applyAlignment="1">
      <alignment vertical="top"/>
    </xf>
    <xf numFmtId="164" fontId="11" fillId="11" borderId="34" xfId="0" applyNumberFormat="1" applyFont="1" applyFill="1" applyBorder="1" applyAlignment="1">
      <alignment vertical="top"/>
    </xf>
    <xf numFmtId="164" fontId="9" fillId="11" borderId="35" xfId="0" applyNumberFormat="1" applyFont="1" applyFill="1" applyBorder="1" applyAlignment="1">
      <alignment vertical="top"/>
    </xf>
    <xf numFmtId="3" fontId="7" fillId="8" borderId="15" xfId="0" applyNumberFormat="1" applyFont="1" applyFill="1" applyBorder="1" applyAlignment="1">
      <alignment horizontal="right" vertical="top"/>
    </xf>
    <xf numFmtId="164" fontId="3" fillId="4" borderId="35" xfId="0" applyNumberFormat="1" applyFont="1" applyFill="1" applyBorder="1" applyAlignment="1">
      <alignment horizontal="center" vertical="top"/>
    </xf>
    <xf numFmtId="0" fontId="9" fillId="0" borderId="94" xfId="0" applyNumberFormat="1" applyFont="1" applyBorder="1" applyAlignment="1">
      <alignment horizontal="center" vertical="top"/>
    </xf>
    <xf numFmtId="0" fontId="9" fillId="0" borderId="80" xfId="0" applyFont="1" applyBorder="1" applyAlignment="1">
      <alignment vertical="top" wrapText="1"/>
    </xf>
    <xf numFmtId="0" fontId="9" fillId="0" borderId="90" xfId="0" applyFont="1" applyBorder="1" applyAlignment="1">
      <alignment vertical="top" wrapText="1"/>
    </xf>
    <xf numFmtId="0" fontId="9" fillId="0" borderId="67" xfId="0" applyFont="1" applyFill="1" applyBorder="1" applyAlignment="1">
      <alignment horizontal="center" vertical="top"/>
    </xf>
    <xf numFmtId="164" fontId="9" fillId="11" borderId="46" xfId="0" applyNumberFormat="1" applyFont="1" applyFill="1" applyBorder="1" applyAlignment="1">
      <alignment vertical="top"/>
    </xf>
    <xf numFmtId="3" fontId="9" fillId="4" borderId="7" xfId="0" applyNumberFormat="1" applyFont="1" applyFill="1" applyBorder="1" applyAlignment="1">
      <alignment horizontal="right" vertical="top"/>
    </xf>
    <xf numFmtId="49" fontId="9" fillId="0" borderId="54" xfId="0" applyNumberFormat="1" applyFont="1" applyBorder="1" applyAlignment="1">
      <alignment horizontal="center" vertical="top"/>
    </xf>
    <xf numFmtId="3" fontId="9" fillId="0" borderId="8" xfId="0" applyNumberFormat="1" applyFont="1" applyFill="1" applyBorder="1" applyAlignment="1">
      <alignment horizontal="right" vertical="top"/>
    </xf>
    <xf numFmtId="3" fontId="9" fillId="0" borderId="7" xfId="0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vertical="top" wrapText="1"/>
    </xf>
    <xf numFmtId="0" fontId="3" fillId="4" borderId="77" xfId="0" applyFont="1" applyFill="1" applyBorder="1" applyAlignment="1">
      <alignment horizontal="left" vertical="top" wrapText="1"/>
    </xf>
    <xf numFmtId="0" fontId="9" fillId="0" borderId="109" xfId="0" applyFont="1" applyBorder="1" applyAlignment="1">
      <alignment vertical="top" wrapText="1"/>
    </xf>
    <xf numFmtId="0" fontId="7" fillId="4" borderId="51" xfId="0" applyFont="1" applyFill="1" applyBorder="1" applyAlignment="1">
      <alignment horizontal="center" vertical="top" wrapText="1"/>
    </xf>
    <xf numFmtId="0" fontId="11" fillId="4" borderId="51" xfId="4" applyNumberFormat="1" applyFont="1" applyFill="1" applyBorder="1" applyAlignment="1">
      <alignment horizontal="center" vertical="top"/>
    </xf>
    <xf numFmtId="0" fontId="9" fillId="0" borderId="62" xfId="4" applyNumberFormat="1" applyFont="1" applyBorder="1" applyAlignment="1">
      <alignment horizontal="center" vertical="top" wrapText="1"/>
    </xf>
    <xf numFmtId="0" fontId="9" fillId="4" borderId="51" xfId="0" applyFont="1" applyFill="1" applyBorder="1" applyAlignment="1">
      <alignment horizontal="left" vertical="top" wrapText="1"/>
    </xf>
    <xf numFmtId="49" fontId="9" fillId="4" borderId="19" xfId="0" applyNumberFormat="1" applyFont="1" applyFill="1" applyBorder="1" applyAlignment="1">
      <alignment horizontal="center" vertical="top"/>
    </xf>
    <xf numFmtId="0" fontId="9" fillId="4" borderId="66" xfId="0" applyFont="1" applyFill="1" applyBorder="1" applyAlignment="1">
      <alignment vertical="top" wrapText="1"/>
    </xf>
    <xf numFmtId="3" fontId="7" fillId="4" borderId="15" xfId="0" applyNumberFormat="1" applyFont="1" applyFill="1" applyBorder="1" applyAlignment="1">
      <alignment horizontal="right" vertical="top"/>
    </xf>
    <xf numFmtId="0" fontId="9" fillId="4" borderId="38" xfId="0" applyFont="1" applyFill="1" applyBorder="1" applyAlignment="1">
      <alignment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4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11" fillId="4" borderId="40" xfId="0" applyFont="1" applyFill="1" applyBorder="1" applyAlignment="1">
      <alignment horizontal="left" vertical="top" wrapText="1"/>
    </xf>
    <xf numFmtId="0" fontId="11" fillId="8" borderId="13" xfId="0" applyFont="1" applyFill="1" applyBorder="1" applyAlignment="1">
      <alignment horizontal="right" vertical="top" wrapText="1"/>
    </xf>
    <xf numFmtId="49" fontId="11" fillId="9" borderId="20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49" fontId="11" fillId="0" borderId="41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11" fillId="4" borderId="0" xfId="0" applyNumberFormat="1" applyFont="1" applyFill="1" applyBorder="1" applyAlignment="1">
      <alignment horizontal="center" vertical="top"/>
    </xf>
    <xf numFmtId="3" fontId="9" fillId="4" borderId="12" xfId="0" applyNumberFormat="1" applyFont="1" applyFill="1" applyBorder="1" applyAlignment="1">
      <alignment horizontal="center" vertical="top"/>
    </xf>
    <xf numFmtId="49" fontId="9" fillId="0" borderId="125" xfId="0" applyNumberFormat="1" applyFont="1" applyFill="1" applyBorder="1" applyAlignment="1">
      <alignment horizontal="center" vertical="top"/>
    </xf>
    <xf numFmtId="3" fontId="9" fillId="0" borderId="124" xfId="0" applyNumberFormat="1" applyFont="1" applyFill="1" applyBorder="1" applyAlignment="1">
      <alignment horizontal="center" vertical="top"/>
    </xf>
    <xf numFmtId="49" fontId="9" fillId="0" borderId="4" xfId="0" applyNumberFormat="1" applyFont="1" applyFill="1" applyBorder="1" applyAlignment="1">
      <alignment horizontal="center" vertical="top"/>
    </xf>
    <xf numFmtId="3" fontId="9" fillId="8" borderId="11" xfId="0" applyNumberFormat="1" applyFont="1" applyFill="1" applyBorder="1" applyAlignment="1">
      <alignment horizontal="right" vertical="top"/>
    </xf>
    <xf numFmtId="0" fontId="9" fillId="0" borderId="28" xfId="0" applyFont="1" applyBorder="1" applyAlignment="1">
      <alignment vertical="top" wrapText="1"/>
    </xf>
    <xf numFmtId="49" fontId="9" fillId="0" borderId="12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Fill="1" applyBorder="1" applyAlignment="1">
      <alignment vertical="top"/>
    </xf>
    <xf numFmtId="3" fontId="9" fillId="4" borderId="2" xfId="0" applyNumberFormat="1" applyFont="1" applyFill="1" applyBorder="1" applyAlignment="1">
      <alignment horizontal="center" vertical="top" wrapText="1"/>
    </xf>
    <xf numFmtId="164" fontId="9" fillId="4" borderId="44" xfId="0" applyNumberFormat="1" applyFont="1" applyFill="1" applyBorder="1" applyAlignment="1">
      <alignment horizontal="center" vertical="center" wrapText="1"/>
    </xf>
    <xf numFmtId="164" fontId="9" fillId="4" borderId="54" xfId="0" applyNumberFormat="1" applyFont="1" applyFill="1" applyBorder="1" applyAlignment="1">
      <alignment horizontal="center" vertical="center" wrapText="1"/>
    </xf>
    <xf numFmtId="49" fontId="11" fillId="4" borderId="34" xfId="0" applyNumberFormat="1" applyFont="1" applyFill="1" applyBorder="1" applyAlignment="1">
      <alignment vertical="top"/>
    </xf>
    <xf numFmtId="0" fontId="7" fillId="4" borderId="34" xfId="0" applyFont="1" applyFill="1" applyBorder="1" applyAlignment="1">
      <alignment vertical="top" wrapText="1"/>
    </xf>
    <xf numFmtId="49" fontId="11" fillId="9" borderId="45" xfId="0" applyNumberFormat="1" applyFont="1" applyFill="1" applyBorder="1" applyAlignment="1">
      <alignment vertical="top"/>
    </xf>
    <xf numFmtId="49" fontId="11" fillId="2" borderId="74" xfId="0" applyNumberFormat="1" applyFont="1" applyFill="1" applyBorder="1" applyAlignment="1">
      <alignment vertical="top"/>
    </xf>
    <xf numFmtId="0" fontId="7" fillId="4" borderId="53" xfId="0" applyFont="1" applyFill="1" applyBorder="1" applyAlignment="1">
      <alignment vertical="top" wrapText="1"/>
    </xf>
    <xf numFmtId="0" fontId="11" fillId="4" borderId="55" xfId="4" applyNumberFormat="1" applyFont="1" applyFill="1" applyBorder="1" applyAlignment="1">
      <alignment horizontal="center" vertical="top"/>
    </xf>
    <xf numFmtId="0" fontId="9" fillId="4" borderId="57" xfId="0" applyFont="1" applyFill="1" applyBorder="1" applyAlignment="1">
      <alignment horizontal="center" vertical="top"/>
    </xf>
    <xf numFmtId="3" fontId="9" fillId="8" borderId="74" xfId="0" applyNumberFormat="1" applyFont="1" applyFill="1" applyBorder="1" applyAlignment="1">
      <alignment horizontal="right" vertical="top"/>
    </xf>
    <xf numFmtId="3" fontId="9" fillId="0" borderId="43" xfId="0" applyNumberFormat="1" applyFont="1" applyFill="1" applyBorder="1" applyAlignment="1">
      <alignment horizontal="right" vertical="top"/>
    </xf>
    <xf numFmtId="3" fontId="9" fillId="0" borderId="57" xfId="0" applyNumberFormat="1" applyFont="1" applyBorder="1" applyAlignment="1">
      <alignment horizontal="right" vertical="top"/>
    </xf>
    <xf numFmtId="3" fontId="9" fillId="0" borderId="70" xfId="0" applyNumberFormat="1" applyFont="1" applyFill="1" applyBorder="1" applyAlignment="1">
      <alignment horizontal="right" vertical="top"/>
    </xf>
    <xf numFmtId="3" fontId="9" fillId="0" borderId="70" xfId="0" applyNumberFormat="1" applyFont="1" applyBorder="1" applyAlignment="1">
      <alignment horizontal="right" vertical="top"/>
    </xf>
    <xf numFmtId="3" fontId="3" fillId="8" borderId="48" xfId="0" applyNumberFormat="1" applyFont="1" applyFill="1" applyBorder="1" applyAlignment="1">
      <alignment horizontal="right" vertical="top"/>
    </xf>
    <xf numFmtId="3" fontId="9" fillId="0" borderId="61" xfId="0" applyNumberFormat="1" applyFont="1" applyBorder="1" applyAlignment="1">
      <alignment horizontal="right" vertical="top"/>
    </xf>
    <xf numFmtId="3" fontId="11" fillId="2" borderId="69" xfId="0" applyNumberFormat="1" applyFont="1" applyFill="1" applyBorder="1" applyAlignment="1">
      <alignment vertical="top"/>
    </xf>
    <xf numFmtId="3" fontId="9" fillId="0" borderId="12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3" fontId="11" fillId="8" borderId="71" xfId="0" applyNumberFormat="1" applyFont="1" applyFill="1" applyBorder="1" applyAlignment="1">
      <alignment horizontal="right" vertical="top"/>
    </xf>
    <xf numFmtId="3" fontId="9" fillId="4" borderId="8" xfId="0" applyNumberFormat="1" applyFont="1" applyFill="1" applyBorder="1" applyAlignment="1">
      <alignment horizontal="right" vertical="top" wrapText="1"/>
    </xf>
    <xf numFmtId="3" fontId="9" fillId="4" borderId="57" xfId="0" applyNumberFormat="1" applyFont="1" applyFill="1" applyBorder="1" applyAlignment="1">
      <alignment horizontal="center" vertical="top"/>
    </xf>
    <xf numFmtId="3" fontId="9" fillId="4" borderId="117" xfId="0" applyNumberFormat="1" applyFont="1" applyFill="1" applyBorder="1" applyAlignment="1">
      <alignment horizontal="center" vertical="top"/>
    </xf>
    <xf numFmtId="3" fontId="9" fillId="4" borderId="2" xfId="0" applyNumberFormat="1" applyFont="1" applyFill="1" applyBorder="1" applyAlignment="1">
      <alignment horizontal="center" vertical="top"/>
    </xf>
    <xf numFmtId="3" fontId="9" fillId="4" borderId="111" xfId="0" applyNumberFormat="1" applyFont="1" applyFill="1" applyBorder="1" applyAlignment="1">
      <alignment horizontal="center" vertical="top"/>
    </xf>
    <xf numFmtId="3" fontId="9" fillId="4" borderId="89" xfId="0" applyNumberFormat="1" applyFont="1" applyFill="1" applyBorder="1" applyAlignment="1">
      <alignment horizontal="center" vertical="top" wrapText="1"/>
    </xf>
    <xf numFmtId="3" fontId="9" fillId="4" borderId="89" xfId="0" applyNumberFormat="1" applyFont="1" applyFill="1" applyBorder="1" applyAlignment="1">
      <alignment horizontal="center" vertical="top"/>
    </xf>
    <xf numFmtId="3" fontId="9" fillId="4" borderId="98" xfId="0" applyNumberFormat="1" applyFont="1" applyFill="1" applyBorder="1" applyAlignment="1">
      <alignment horizontal="center" vertical="top"/>
    </xf>
    <xf numFmtId="0" fontId="26" fillId="0" borderId="44" xfId="0" applyFont="1" applyBorder="1" applyAlignment="1">
      <alignment vertical="center"/>
    </xf>
    <xf numFmtId="0" fontId="11" fillId="4" borderId="34" xfId="4" applyNumberFormat="1" applyFont="1" applyFill="1" applyBorder="1" applyAlignment="1">
      <alignment horizontal="center" vertical="top"/>
    </xf>
    <xf numFmtId="0" fontId="26" fillId="4" borderId="44" xfId="0" applyFont="1" applyFill="1" applyBorder="1" applyAlignment="1">
      <alignment vertical="center"/>
    </xf>
    <xf numFmtId="0" fontId="26" fillId="4" borderId="19" xfId="0" applyFont="1" applyFill="1" applyBorder="1" applyAlignment="1">
      <alignment vertical="center"/>
    </xf>
    <xf numFmtId="49" fontId="10" fillId="0" borderId="16" xfId="0" applyNumberFormat="1" applyFont="1" applyBorder="1" applyAlignment="1">
      <alignment horizontal="center" vertical="top" textRotation="90" wrapText="1"/>
    </xf>
    <xf numFmtId="49" fontId="10" fillId="0" borderId="51" xfId="0" applyNumberFormat="1" applyFont="1" applyBorder="1" applyAlignment="1">
      <alignment horizontal="center" vertical="center" textRotation="90" wrapText="1"/>
    </xf>
    <xf numFmtId="49" fontId="10" fillId="0" borderId="51" xfId="0" applyNumberFormat="1" applyFont="1" applyBorder="1" applyAlignment="1">
      <alignment horizontal="center" vertical="top" textRotation="90" wrapText="1"/>
    </xf>
    <xf numFmtId="49" fontId="10" fillId="4" borderId="52" xfId="0" applyNumberFormat="1" applyFont="1" applyFill="1" applyBorder="1" applyAlignment="1">
      <alignment horizontal="center" vertical="center" textRotation="90" wrapText="1"/>
    </xf>
    <xf numFmtId="3" fontId="31" fillId="4" borderId="38" xfId="0" applyNumberFormat="1" applyFont="1" applyFill="1" applyBorder="1" applyAlignment="1">
      <alignment horizontal="center" vertical="top" textRotation="90" wrapText="1"/>
    </xf>
    <xf numFmtId="3" fontId="31" fillId="4" borderId="38" xfId="0" applyNumberFormat="1" applyFont="1" applyFill="1" applyBorder="1" applyAlignment="1">
      <alignment horizontal="center" vertical="top" textRotation="90"/>
    </xf>
    <xf numFmtId="49" fontId="10" fillId="0" borderId="38" xfId="0" applyNumberFormat="1" applyFont="1" applyBorder="1" applyAlignment="1">
      <alignment horizontal="center" vertical="center" textRotation="90" wrapText="1"/>
    </xf>
    <xf numFmtId="49" fontId="10" fillId="4" borderId="34" xfId="0" applyNumberFormat="1" applyFont="1" applyFill="1" applyBorder="1" applyAlignment="1">
      <alignment horizontal="center" vertical="top" textRotation="90" wrapText="1"/>
    </xf>
    <xf numFmtId="0" fontId="9" fillId="4" borderId="79" xfId="0" applyFont="1" applyFill="1" applyBorder="1" applyAlignment="1">
      <alignment horizontal="center" vertical="top"/>
    </xf>
    <xf numFmtId="164" fontId="9" fillId="4" borderId="54" xfId="0" applyNumberFormat="1" applyFont="1" applyFill="1" applyBorder="1" applyAlignment="1">
      <alignment horizontal="center" vertical="center" textRotation="90"/>
    </xf>
    <xf numFmtId="0" fontId="9" fillId="0" borderId="114" xfId="0" applyNumberFormat="1" applyFont="1" applyBorder="1" applyAlignment="1">
      <alignment horizontal="center" vertical="top"/>
    </xf>
    <xf numFmtId="0" fontId="9" fillId="0" borderId="92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horizontal="center" vertical="top"/>
    </xf>
    <xf numFmtId="0" fontId="5" fillId="3" borderId="54" xfId="0" applyFont="1" applyFill="1" applyBorder="1" applyAlignment="1">
      <alignment horizontal="center" vertical="top"/>
    </xf>
    <xf numFmtId="0" fontId="5" fillId="3" borderId="100" xfId="0" applyFont="1" applyFill="1" applyBorder="1" applyAlignment="1">
      <alignment horizontal="center" vertical="top"/>
    </xf>
    <xf numFmtId="0" fontId="9" fillId="4" borderId="84" xfId="0" applyNumberFormat="1" applyFont="1" applyFill="1" applyBorder="1" applyAlignment="1">
      <alignment horizontal="center" vertical="top"/>
    </xf>
    <xf numFmtId="0" fontId="9" fillId="4" borderId="55" xfId="0" applyFont="1" applyFill="1" applyBorder="1" applyAlignment="1">
      <alignment vertical="center" textRotation="90"/>
    </xf>
    <xf numFmtId="0" fontId="9" fillId="4" borderId="35" xfId="0" applyFont="1" applyFill="1" applyBorder="1" applyAlignment="1">
      <alignment vertical="center" textRotation="90"/>
    </xf>
    <xf numFmtId="49" fontId="9" fillId="4" borderId="35" xfId="0" applyNumberFormat="1" applyFont="1" applyFill="1" applyBorder="1" applyAlignment="1">
      <alignment horizontal="center" vertical="top"/>
    </xf>
    <xf numFmtId="0" fontId="12" fillId="10" borderId="63" xfId="0" applyNumberFormat="1" applyFont="1" applyFill="1" applyBorder="1" applyAlignment="1">
      <alignment horizontal="center" vertical="top"/>
    </xf>
    <xf numFmtId="0" fontId="9" fillId="4" borderId="55" xfId="0" applyFont="1" applyFill="1" applyBorder="1" applyAlignment="1">
      <alignment horizontal="center" vertical="top"/>
    </xf>
    <xf numFmtId="0" fontId="9" fillId="4" borderId="35" xfId="0" applyFont="1" applyFill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 wrapText="1"/>
    </xf>
    <xf numFmtId="49" fontId="5" fillId="4" borderId="55" xfId="0" applyNumberFormat="1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center" vertical="top" wrapText="1"/>
    </xf>
    <xf numFmtId="0" fontId="5" fillId="4" borderId="54" xfId="0" applyFont="1" applyFill="1" applyBorder="1" applyAlignment="1">
      <alignment horizontal="center" vertical="top" wrapText="1"/>
    </xf>
    <xf numFmtId="0" fontId="5" fillId="0" borderId="54" xfId="0" applyFont="1" applyFill="1" applyBorder="1" applyAlignment="1">
      <alignment horizontal="center" vertical="top" wrapText="1"/>
    </xf>
    <xf numFmtId="0" fontId="9" fillId="0" borderId="54" xfId="0" applyFont="1" applyBorder="1" applyAlignment="1">
      <alignment vertical="top"/>
    </xf>
    <xf numFmtId="0" fontId="9" fillId="4" borderId="27" xfId="0" applyFont="1" applyFill="1" applyBorder="1" applyAlignment="1">
      <alignment horizontal="center" vertical="top"/>
    </xf>
    <xf numFmtId="0" fontId="9" fillId="4" borderId="62" xfId="0" applyFont="1" applyFill="1" applyBorder="1" applyAlignment="1">
      <alignment horizontal="center" vertical="top"/>
    </xf>
    <xf numFmtId="0" fontId="9" fillId="4" borderId="62" xfId="0" applyFont="1" applyFill="1" applyBorder="1" applyAlignment="1">
      <alignment horizontal="center" vertical="top" wrapText="1"/>
    </xf>
    <xf numFmtId="0" fontId="9" fillId="4" borderId="55" xfId="0" applyFont="1" applyFill="1" applyBorder="1" applyAlignment="1">
      <alignment horizontal="center" vertical="top" wrapText="1"/>
    </xf>
    <xf numFmtId="49" fontId="10" fillId="0" borderId="52" xfId="0" applyNumberFormat="1" applyFont="1" applyBorder="1" applyAlignment="1">
      <alignment horizontal="center" vertical="center" textRotation="90"/>
    </xf>
    <xf numFmtId="49" fontId="10" fillId="0" borderId="83" xfId="0" applyNumberFormat="1" applyFont="1" applyBorder="1" applyAlignment="1">
      <alignment horizontal="center" vertical="center" textRotation="90"/>
    </xf>
    <xf numFmtId="0" fontId="9" fillId="4" borderId="0" xfId="4" applyNumberFormat="1" applyFont="1" applyFill="1" applyBorder="1" applyAlignment="1">
      <alignment horizontal="center" vertical="top" wrapText="1"/>
    </xf>
    <xf numFmtId="49" fontId="11" fillId="10" borderId="46" xfId="0" applyNumberFormat="1" applyFont="1" applyFill="1" applyBorder="1" applyAlignment="1">
      <alignment vertical="top"/>
    </xf>
    <xf numFmtId="0" fontId="26" fillId="4" borderId="34" xfId="0" applyFont="1" applyFill="1" applyBorder="1" applyAlignment="1">
      <alignment vertical="center"/>
    </xf>
    <xf numFmtId="49" fontId="11" fillId="10" borderId="74" xfId="0" applyNumberFormat="1" applyFont="1" applyFill="1" applyBorder="1" applyAlignment="1">
      <alignment vertical="top"/>
    </xf>
    <xf numFmtId="49" fontId="11" fillId="4" borderId="59" xfId="0" applyNumberFormat="1" applyFont="1" applyFill="1" applyBorder="1" applyAlignment="1">
      <alignment vertical="top"/>
    </xf>
    <xf numFmtId="0" fontId="9" fillId="4" borderId="51" xfId="0" applyFont="1" applyFill="1" applyBorder="1" applyAlignment="1">
      <alignment vertical="top" wrapText="1"/>
    </xf>
    <xf numFmtId="0" fontId="26" fillId="4" borderId="16" xfId="0" applyFont="1" applyFill="1" applyBorder="1" applyAlignment="1">
      <alignment vertical="center"/>
    </xf>
    <xf numFmtId="0" fontId="11" fillId="4" borderId="16" xfId="4" applyNumberFormat="1" applyFont="1" applyFill="1" applyBorder="1" applyAlignment="1">
      <alignment horizontal="center" vertical="top"/>
    </xf>
    <xf numFmtId="0" fontId="9" fillId="4" borderId="54" xfId="0" applyFont="1" applyFill="1" applyBorder="1" applyAlignment="1">
      <alignment horizontal="center" vertical="top"/>
    </xf>
    <xf numFmtId="0" fontId="9" fillId="4" borderId="38" xfId="0" applyFont="1" applyFill="1" applyBorder="1" applyAlignment="1">
      <alignment vertical="top" wrapText="1"/>
    </xf>
    <xf numFmtId="0" fontId="9" fillId="4" borderId="33" xfId="0" applyFont="1" applyFill="1" applyBorder="1" applyAlignment="1">
      <alignment horizontal="left" vertical="top" wrapText="1"/>
    </xf>
    <xf numFmtId="164" fontId="9" fillId="4" borderId="34" xfId="0" applyNumberFormat="1" applyFont="1" applyFill="1" applyBorder="1" applyAlignment="1">
      <alignment horizontal="center" vertical="center" wrapText="1"/>
    </xf>
    <xf numFmtId="164" fontId="9" fillId="4" borderId="35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top" wrapText="1"/>
    </xf>
    <xf numFmtId="3" fontId="11" fillId="7" borderId="15" xfId="0" applyNumberFormat="1" applyFont="1" applyFill="1" applyBorder="1" applyAlignment="1">
      <alignment horizontal="right" vertical="top" wrapText="1"/>
    </xf>
    <xf numFmtId="49" fontId="11" fillId="2" borderId="16" xfId="0" applyNumberFormat="1" applyFont="1" applyFill="1" applyBorder="1" applyAlignment="1">
      <alignment vertical="top"/>
    </xf>
    <xf numFmtId="49" fontId="11" fillId="4" borderId="16" xfId="0" applyNumberFormat="1" applyFont="1" applyFill="1" applyBorder="1" applyAlignment="1">
      <alignment vertical="top"/>
    </xf>
    <xf numFmtId="3" fontId="7" fillId="4" borderId="6" xfId="0" applyNumberFormat="1" applyFont="1" applyFill="1" applyBorder="1" applyAlignment="1">
      <alignment horizontal="right" vertical="top"/>
    </xf>
    <xf numFmtId="0" fontId="7" fillId="4" borderId="16" xfId="0" applyFont="1" applyFill="1" applyBorder="1" applyAlignment="1">
      <alignment vertical="top" wrapText="1"/>
    </xf>
    <xf numFmtId="0" fontId="9" fillId="4" borderId="33" xfId="0" applyFont="1" applyFill="1" applyBorder="1" applyAlignment="1">
      <alignment horizontal="left" vertical="top" wrapText="1"/>
    </xf>
    <xf numFmtId="0" fontId="9" fillId="4" borderId="34" xfId="0" applyFont="1" applyFill="1" applyBorder="1" applyAlignment="1">
      <alignment vertical="top" wrapText="1"/>
    </xf>
    <xf numFmtId="0" fontId="9" fillId="4" borderId="52" xfId="0" applyFont="1" applyFill="1" applyBorder="1" applyAlignment="1">
      <alignment vertical="top" wrapText="1"/>
    </xf>
    <xf numFmtId="0" fontId="9" fillId="4" borderId="16" xfId="0" applyFont="1" applyFill="1" applyBorder="1" applyAlignment="1">
      <alignment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4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11" fillId="4" borderId="44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49" fontId="11" fillId="0" borderId="38" xfId="0" applyNumberFormat="1" applyFont="1" applyBorder="1" applyAlignment="1">
      <alignment horizontal="center" vertical="top"/>
    </xf>
    <xf numFmtId="0" fontId="11" fillId="8" borderId="13" xfId="0" applyFont="1" applyFill="1" applyBorder="1" applyAlignment="1">
      <alignment horizontal="right" vertical="top" wrapText="1"/>
    </xf>
    <xf numFmtId="0" fontId="7" fillId="0" borderId="34" xfId="0" applyFont="1" applyFill="1" applyBorder="1" applyAlignment="1">
      <alignment horizontal="center" vertical="center" textRotation="90" wrapText="1"/>
    </xf>
    <xf numFmtId="49" fontId="11" fillId="0" borderId="34" xfId="0" applyNumberFormat="1" applyFont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0" fontId="11" fillId="4" borderId="19" xfId="0" applyFont="1" applyFill="1" applyBorder="1" applyAlignment="1">
      <alignment horizontal="left" vertical="top" wrapText="1"/>
    </xf>
    <xf numFmtId="0" fontId="9" fillId="4" borderId="74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center" vertical="center" textRotation="90" wrapText="1"/>
    </xf>
    <xf numFmtId="0" fontId="0" fillId="0" borderId="44" xfId="0" applyBorder="1" applyAlignment="1">
      <alignment horizontal="center" vertical="center" textRotation="90" wrapText="1"/>
    </xf>
    <xf numFmtId="49" fontId="11" fillId="4" borderId="38" xfId="0" applyNumberFormat="1" applyFont="1" applyFill="1" applyBorder="1" applyAlignment="1">
      <alignment horizontal="center" vertical="top"/>
    </xf>
    <xf numFmtId="0" fontId="7" fillId="0" borderId="46" xfId="0" applyFont="1" applyFill="1" applyBorder="1" applyAlignment="1">
      <alignment horizontal="center" vertical="top" wrapText="1"/>
    </xf>
    <xf numFmtId="0" fontId="11" fillId="4" borderId="40" xfId="0" applyFont="1" applyFill="1" applyBorder="1" applyAlignment="1">
      <alignment vertical="top" wrapText="1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9" fillId="4" borderId="34" xfId="0" applyFont="1" applyFill="1" applyBorder="1" applyAlignment="1">
      <alignment horizontal="left" vertical="top" wrapText="1"/>
    </xf>
    <xf numFmtId="49" fontId="11" fillId="4" borderId="44" xfId="0" applyNumberFormat="1" applyFont="1" applyFill="1" applyBorder="1" applyAlignment="1">
      <alignment horizontal="center" vertical="top"/>
    </xf>
    <xf numFmtId="0" fontId="9" fillId="4" borderId="4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0" fontId="9" fillId="4" borderId="44" xfId="0" applyFont="1" applyFill="1" applyBorder="1" applyAlignment="1">
      <alignment horizontal="left" vertical="top" wrapText="1"/>
    </xf>
    <xf numFmtId="0" fontId="9" fillId="0" borderId="20" xfId="0" applyFont="1" applyBorder="1" applyAlignment="1">
      <alignment vertical="top" wrapText="1"/>
    </xf>
    <xf numFmtId="0" fontId="11" fillId="4" borderId="16" xfId="0" applyFont="1" applyFill="1" applyBorder="1" applyAlignment="1">
      <alignment horizontal="left"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6" xfId="0" applyFont="1" applyBorder="1" applyAlignment="1">
      <alignment horizontal="left" vertical="top" wrapText="1"/>
    </xf>
    <xf numFmtId="49" fontId="9" fillId="0" borderId="41" xfId="0" applyNumberFormat="1" applyFont="1" applyBorder="1" applyAlignment="1">
      <alignment horizontal="center" vertical="top" wrapText="1"/>
    </xf>
    <xf numFmtId="0" fontId="5" fillId="0" borderId="32" xfId="0" applyNumberFormat="1" applyFont="1" applyBorder="1" applyAlignment="1">
      <alignment horizontal="center" vertical="top"/>
    </xf>
    <xf numFmtId="49" fontId="11" fillId="0" borderId="22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49" fontId="11" fillId="10" borderId="17" xfId="0" applyNumberFormat="1" applyFont="1" applyFill="1" applyBorder="1" applyAlignment="1">
      <alignment horizontal="center" vertical="top"/>
    </xf>
    <xf numFmtId="49" fontId="11" fillId="10" borderId="19" xfId="0" applyNumberFormat="1" applyFont="1" applyFill="1" applyBorder="1" applyAlignment="1">
      <alignment horizontal="center" vertical="top"/>
    </xf>
    <xf numFmtId="0" fontId="9" fillId="10" borderId="18" xfId="0" applyFont="1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9" fillId="4" borderId="44" xfId="0" applyFont="1" applyFill="1" applyBorder="1" applyAlignment="1">
      <alignment vertical="top" wrapText="1"/>
    </xf>
    <xf numFmtId="49" fontId="11" fillId="4" borderId="16" xfId="0" applyNumberFormat="1" applyFont="1" applyFill="1" applyBorder="1" applyAlignment="1">
      <alignment horizontal="center" vertical="top"/>
    </xf>
    <xf numFmtId="49" fontId="11" fillId="4" borderId="0" xfId="0" applyNumberFormat="1" applyFont="1" applyFill="1" applyBorder="1" applyAlignment="1">
      <alignment horizontal="center" vertical="top"/>
    </xf>
    <xf numFmtId="49" fontId="11" fillId="4" borderId="67" xfId="0" applyNumberFormat="1" applyFont="1" applyFill="1" applyBorder="1" applyAlignment="1">
      <alignment horizontal="center" vertical="top"/>
    </xf>
    <xf numFmtId="0" fontId="9" fillId="4" borderId="51" xfId="0" applyFont="1" applyFill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49" fontId="11" fillId="0" borderId="52" xfId="0" applyNumberFormat="1" applyFont="1" applyBorder="1" applyAlignment="1">
      <alignment horizontal="center" vertical="top"/>
    </xf>
    <xf numFmtId="49" fontId="11" fillId="0" borderId="19" xfId="0" applyNumberFormat="1" applyFont="1" applyFill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top" wrapText="1"/>
    </xf>
    <xf numFmtId="49" fontId="11" fillId="0" borderId="18" xfId="0" applyNumberFormat="1" applyFont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top" wrapText="1"/>
    </xf>
    <xf numFmtId="49" fontId="11" fillId="0" borderId="53" xfId="0" applyNumberFormat="1" applyFont="1" applyBorder="1" applyAlignment="1">
      <alignment horizontal="center" vertical="top"/>
    </xf>
    <xf numFmtId="0" fontId="0" fillId="0" borderId="32" xfId="0" applyBorder="1" applyAlignment="1">
      <alignment horizontal="center" vertical="top" wrapText="1"/>
    </xf>
    <xf numFmtId="49" fontId="11" fillId="0" borderId="72" xfId="0" applyNumberFormat="1" applyFont="1" applyBorder="1" applyAlignment="1">
      <alignment horizontal="center" vertical="top"/>
    </xf>
    <xf numFmtId="0" fontId="0" fillId="0" borderId="54" xfId="0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9" fillId="4" borderId="54" xfId="4" applyNumberFormat="1" applyFont="1" applyFill="1" applyBorder="1" applyAlignment="1">
      <alignment horizontal="center" vertical="top" wrapText="1"/>
    </xf>
    <xf numFmtId="0" fontId="9" fillId="4" borderId="46" xfId="0" applyFont="1" applyFill="1" applyBorder="1" applyAlignment="1">
      <alignment horizontal="left" vertical="top" wrapText="1"/>
    </xf>
    <xf numFmtId="49" fontId="10" fillId="0" borderId="44" xfId="0" applyNumberFormat="1" applyFont="1" applyBorder="1" applyAlignment="1">
      <alignment horizontal="center" vertical="top" textRotation="90"/>
    </xf>
    <xf numFmtId="0" fontId="9" fillId="0" borderId="78" xfId="0" applyFont="1" applyBorder="1" applyAlignment="1">
      <alignment vertical="top" wrapText="1"/>
    </xf>
    <xf numFmtId="0" fontId="0" fillId="0" borderId="66" xfId="0" applyBorder="1" applyAlignment="1">
      <alignment horizontal="left" vertical="top" wrapText="1"/>
    </xf>
    <xf numFmtId="0" fontId="7" fillId="0" borderId="67" xfId="0" applyFont="1" applyFill="1" applyBorder="1" applyAlignment="1">
      <alignment horizontal="center" vertical="top" wrapText="1"/>
    </xf>
    <xf numFmtId="49" fontId="9" fillId="0" borderId="53" xfId="0" applyNumberFormat="1" applyFont="1" applyBorder="1" applyAlignment="1">
      <alignment horizontal="center" vertical="top" wrapText="1"/>
    </xf>
    <xf numFmtId="49" fontId="11" fillId="0" borderId="67" xfId="0" applyNumberFormat="1" applyFont="1" applyBorder="1" applyAlignment="1">
      <alignment horizontal="center" vertical="top"/>
    </xf>
    <xf numFmtId="49" fontId="11" fillId="10" borderId="44" xfId="0" applyNumberFormat="1" applyFont="1" applyFill="1" applyBorder="1" applyAlignment="1">
      <alignment horizontal="center" vertical="top"/>
    </xf>
    <xf numFmtId="0" fontId="9" fillId="0" borderId="66" xfId="0" applyFont="1" applyBorder="1" applyAlignment="1">
      <alignment vertical="top" wrapText="1"/>
    </xf>
    <xf numFmtId="49" fontId="7" fillId="4" borderId="44" xfId="0" applyNumberFormat="1" applyFont="1" applyFill="1" applyBorder="1" applyAlignment="1">
      <alignment vertical="center" textRotation="90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44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9" fillId="4" borderId="28" xfId="0" applyFont="1" applyFill="1" applyBorder="1" applyAlignment="1">
      <alignment vertical="top"/>
    </xf>
    <xf numFmtId="0" fontId="9" fillId="4" borderId="19" xfId="0" applyFont="1" applyFill="1" applyBorder="1" applyAlignment="1">
      <alignment horizontal="center" vertical="top"/>
    </xf>
    <xf numFmtId="0" fontId="9" fillId="0" borderId="124" xfId="0" applyFont="1" applyFill="1" applyBorder="1" applyAlignment="1">
      <alignment horizontal="center" vertical="top" wrapText="1"/>
    </xf>
    <xf numFmtId="3" fontId="9" fillId="8" borderId="126" xfId="0" applyNumberFormat="1" applyFont="1" applyFill="1" applyBorder="1" applyAlignment="1">
      <alignment horizontal="right" vertical="top"/>
    </xf>
    <xf numFmtId="3" fontId="9" fillId="4" borderId="124" xfId="0" applyNumberFormat="1" applyFont="1" applyFill="1" applyBorder="1" applyAlignment="1">
      <alignment horizontal="right" vertical="top"/>
    </xf>
    <xf numFmtId="3" fontId="9" fillId="4" borderId="127" xfId="0" applyNumberFormat="1" applyFont="1" applyFill="1" applyBorder="1" applyAlignment="1">
      <alignment horizontal="right" vertical="top"/>
    </xf>
    <xf numFmtId="0" fontId="9" fillId="0" borderId="98" xfId="0" applyFont="1" applyFill="1" applyBorder="1" applyAlignment="1">
      <alignment horizontal="center" vertical="top" wrapText="1"/>
    </xf>
    <xf numFmtId="3" fontId="9" fillId="8" borderId="107" xfId="0" applyNumberFormat="1" applyFont="1" applyFill="1" applyBorder="1" applyAlignment="1">
      <alignment horizontal="right" vertical="top"/>
    </xf>
    <xf numFmtId="3" fontId="9" fillId="4" borderId="98" xfId="0" applyNumberFormat="1" applyFont="1" applyFill="1" applyBorder="1" applyAlignment="1">
      <alignment horizontal="right" vertical="top"/>
    </xf>
    <xf numFmtId="3" fontId="9" fillId="4" borderId="128" xfId="0" applyNumberFormat="1" applyFont="1" applyFill="1" applyBorder="1" applyAlignment="1">
      <alignment horizontal="right" vertical="top"/>
    </xf>
    <xf numFmtId="3" fontId="9" fillId="8" borderId="129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top" wrapText="1"/>
    </xf>
    <xf numFmtId="3" fontId="9" fillId="8" borderId="98" xfId="0" applyNumberFormat="1" applyFont="1" applyFill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3" fontId="11" fillId="8" borderId="73" xfId="0" applyNumberFormat="1" applyFont="1" applyFill="1" applyBorder="1" applyAlignment="1">
      <alignment horizontal="right" vertical="top"/>
    </xf>
    <xf numFmtId="3" fontId="9" fillId="0" borderId="61" xfId="0" applyNumberFormat="1" applyFont="1" applyFill="1" applyBorder="1" applyAlignment="1">
      <alignment horizontal="right" vertical="top"/>
    </xf>
    <xf numFmtId="3" fontId="9" fillId="4" borderId="75" xfId="0" applyNumberFormat="1" applyFont="1" applyFill="1" applyBorder="1" applyAlignment="1">
      <alignment horizontal="right" vertical="top"/>
    </xf>
    <xf numFmtId="3" fontId="25" fillId="4" borderId="76" xfId="0" applyNumberFormat="1" applyFont="1" applyFill="1" applyBorder="1" applyAlignment="1">
      <alignment horizontal="right" vertical="top"/>
    </xf>
    <xf numFmtId="3" fontId="36" fillId="8" borderId="63" xfId="0" applyNumberFormat="1" applyFont="1" applyFill="1" applyBorder="1" applyAlignment="1">
      <alignment horizontal="right" vertical="top"/>
    </xf>
    <xf numFmtId="3" fontId="25" fillId="0" borderId="61" xfId="0" applyNumberFormat="1" applyFont="1" applyBorder="1" applyAlignment="1">
      <alignment horizontal="right" vertical="top"/>
    </xf>
    <xf numFmtId="3" fontId="36" fillId="2" borderId="69" xfId="0" applyNumberFormat="1" applyFont="1" applyFill="1" applyBorder="1" applyAlignment="1">
      <alignment horizontal="right" vertical="top"/>
    </xf>
    <xf numFmtId="49" fontId="11" fillId="9" borderId="33" xfId="0" applyNumberFormat="1" applyFont="1" applyFill="1" applyBorder="1" applyAlignment="1">
      <alignment horizontal="left" vertical="top"/>
    </xf>
    <xf numFmtId="49" fontId="11" fillId="2" borderId="52" xfId="0" applyNumberFormat="1" applyFont="1" applyFill="1" applyBorder="1" applyAlignment="1">
      <alignment horizontal="left" vertical="top"/>
    </xf>
    <xf numFmtId="0" fontId="9" fillId="4" borderId="34" xfId="0" applyFont="1" applyFill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9" fillId="4" borderId="16" xfId="0" applyFont="1" applyFill="1" applyBorder="1" applyAlignment="1">
      <alignment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4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11" fillId="4" borderId="40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11" fillId="8" borderId="13" xfId="0" applyFont="1" applyFill="1" applyBorder="1" applyAlignment="1">
      <alignment horizontal="right" vertical="top" wrapText="1"/>
    </xf>
    <xf numFmtId="49" fontId="11" fillId="9" borderId="20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0" fontId="11" fillId="0" borderId="41" xfId="4" applyNumberFormat="1" applyFont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49" fontId="11" fillId="4" borderId="44" xfId="0" applyNumberFormat="1" applyFont="1" applyFill="1" applyBorder="1" applyAlignment="1">
      <alignment horizontal="center" vertical="top"/>
    </xf>
    <xf numFmtId="49" fontId="11" fillId="0" borderId="41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0" fontId="9" fillId="4" borderId="44" xfId="0" applyFont="1" applyFill="1" applyBorder="1" applyAlignment="1">
      <alignment vertical="top" wrapText="1"/>
    </xf>
    <xf numFmtId="49" fontId="11" fillId="4" borderId="0" xfId="0" applyNumberFormat="1" applyFont="1" applyFill="1" applyBorder="1" applyAlignment="1">
      <alignment horizontal="center" vertical="top"/>
    </xf>
    <xf numFmtId="49" fontId="11" fillId="9" borderId="33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3" fontId="36" fillId="8" borderId="5" xfId="0" applyNumberFormat="1" applyFont="1" applyFill="1" applyBorder="1" applyAlignment="1">
      <alignment horizontal="right" vertical="top"/>
    </xf>
    <xf numFmtId="3" fontId="36" fillId="9" borderId="69" xfId="0" applyNumberFormat="1" applyFont="1" applyFill="1" applyBorder="1" applyAlignment="1">
      <alignment horizontal="right" vertical="top"/>
    </xf>
    <xf numFmtId="3" fontId="36" fillId="7" borderId="69" xfId="0" applyNumberFormat="1" applyFont="1" applyFill="1" applyBorder="1" applyAlignment="1">
      <alignment horizontal="right" vertical="top"/>
    </xf>
    <xf numFmtId="3" fontId="36" fillId="7" borderId="15" xfId="0" applyNumberFormat="1" applyFont="1" applyFill="1" applyBorder="1" applyAlignment="1">
      <alignment horizontal="right" vertical="top" wrapText="1"/>
    </xf>
    <xf numFmtId="3" fontId="25" fillId="8" borderId="2" xfId="0" applyNumberFormat="1" applyFont="1" applyFill="1" applyBorder="1" applyAlignment="1">
      <alignment horizontal="right" vertical="top" wrapText="1"/>
    </xf>
    <xf numFmtId="3" fontId="25" fillId="0" borderId="2" xfId="0" applyNumberFormat="1" applyFont="1" applyFill="1" applyBorder="1" applyAlignment="1">
      <alignment horizontal="right" vertical="top" wrapText="1"/>
    </xf>
    <xf numFmtId="3" fontId="25" fillId="4" borderId="2" xfId="0" applyNumberFormat="1" applyFont="1" applyFill="1" applyBorder="1" applyAlignment="1">
      <alignment horizontal="right" vertical="top" wrapText="1"/>
    </xf>
    <xf numFmtId="3" fontId="36" fillId="7" borderId="4" xfId="0" applyNumberFormat="1" applyFont="1" applyFill="1" applyBorder="1" applyAlignment="1">
      <alignment horizontal="right" vertical="top" wrapText="1"/>
    </xf>
    <xf numFmtId="3" fontId="36" fillId="8" borderId="10" xfId="0" applyNumberFormat="1" applyFont="1" applyFill="1" applyBorder="1" applyAlignment="1">
      <alignment horizontal="right" vertical="top" wrapText="1"/>
    </xf>
    <xf numFmtId="49" fontId="11" fillId="2" borderId="46" xfId="0" applyNumberFormat="1" applyFont="1" applyFill="1" applyBorder="1" applyAlignment="1">
      <alignment horizontal="center" vertical="top"/>
    </xf>
    <xf numFmtId="3" fontId="9" fillId="8" borderId="8" xfId="0" applyNumberFormat="1" applyFont="1" applyFill="1" applyBorder="1" applyAlignment="1">
      <alignment horizontal="right" vertical="top"/>
    </xf>
    <xf numFmtId="0" fontId="18" fillId="0" borderId="3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39" xfId="0" applyFont="1" applyBorder="1" applyAlignment="1">
      <alignment horizontal="left" vertical="top" wrapText="1"/>
    </xf>
    <xf numFmtId="0" fontId="9" fillId="0" borderId="38" xfId="0" applyFont="1" applyBorder="1" applyAlignment="1">
      <alignment vertical="top" wrapText="1"/>
    </xf>
    <xf numFmtId="0" fontId="9" fillId="0" borderId="51" xfId="0" applyFont="1" applyBorder="1" applyAlignment="1">
      <alignment vertical="top" wrapText="1"/>
    </xf>
    <xf numFmtId="0" fontId="9" fillId="4" borderId="33" xfId="0" applyFont="1" applyFill="1" applyBorder="1" applyAlignment="1">
      <alignment horizontal="left" vertical="top" wrapText="1"/>
    </xf>
    <xf numFmtId="0" fontId="9" fillId="4" borderId="34" xfId="0" applyFont="1" applyFill="1" applyBorder="1" applyAlignment="1">
      <alignment vertical="top" wrapText="1"/>
    </xf>
    <xf numFmtId="0" fontId="9" fillId="4" borderId="52" xfId="0" applyFont="1" applyFill="1" applyBorder="1" applyAlignment="1">
      <alignment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59" xfId="0" applyFont="1" applyBorder="1" applyAlignment="1">
      <alignment horizontal="left" vertical="top" wrapText="1"/>
    </xf>
    <xf numFmtId="0" fontId="9" fillId="0" borderId="75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59" xfId="0" applyFont="1" applyFill="1" applyBorder="1" applyAlignment="1">
      <alignment horizontal="left" vertical="top" wrapText="1"/>
    </xf>
    <xf numFmtId="0" fontId="9" fillId="4" borderId="75" xfId="0" applyFont="1" applyFill="1" applyBorder="1" applyAlignment="1">
      <alignment horizontal="left" vertical="top" wrapText="1"/>
    </xf>
    <xf numFmtId="49" fontId="11" fillId="2" borderId="58" xfId="0" applyNumberFormat="1" applyFont="1" applyFill="1" applyBorder="1" applyAlignment="1">
      <alignment horizontal="right" vertical="top"/>
    </xf>
    <xf numFmtId="49" fontId="11" fillId="2" borderId="68" xfId="0" applyNumberFormat="1" applyFont="1" applyFill="1" applyBorder="1" applyAlignment="1">
      <alignment horizontal="right" vertical="top"/>
    </xf>
    <xf numFmtId="164" fontId="11" fillId="2" borderId="9" xfId="0" applyNumberFormat="1" applyFont="1" applyFill="1" applyBorder="1" applyAlignment="1">
      <alignment horizontal="center" vertical="top"/>
    </xf>
    <xf numFmtId="164" fontId="11" fillId="2" borderId="68" xfId="0" applyNumberFormat="1" applyFont="1" applyFill="1" applyBorder="1" applyAlignment="1">
      <alignment horizontal="center" vertical="top"/>
    </xf>
    <xf numFmtId="164" fontId="11" fillId="2" borderId="69" xfId="0" applyNumberFormat="1" applyFont="1" applyFill="1" applyBorder="1" applyAlignment="1">
      <alignment horizontal="center" vertical="top"/>
    </xf>
    <xf numFmtId="49" fontId="11" fillId="2" borderId="58" xfId="0" applyNumberFormat="1" applyFont="1" applyFill="1" applyBorder="1" applyAlignment="1">
      <alignment horizontal="left" vertical="top"/>
    </xf>
    <xf numFmtId="49" fontId="11" fillId="2" borderId="68" xfId="0" applyNumberFormat="1" applyFont="1" applyFill="1" applyBorder="1" applyAlignment="1">
      <alignment horizontal="left" vertical="top"/>
    </xf>
    <xf numFmtId="49" fontId="11" fillId="2" borderId="69" xfId="0" applyNumberFormat="1" applyFont="1" applyFill="1" applyBorder="1" applyAlignment="1">
      <alignment horizontal="left" vertical="top"/>
    </xf>
    <xf numFmtId="0" fontId="9" fillId="4" borderId="16" xfId="0" applyFont="1" applyFill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4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center" vertical="top"/>
    </xf>
    <xf numFmtId="0" fontId="11" fillId="4" borderId="40" xfId="0" applyFont="1" applyFill="1" applyBorder="1" applyAlignment="1">
      <alignment horizontal="left" vertical="top" wrapText="1"/>
    </xf>
    <xf numFmtId="0" fontId="11" fillId="4" borderId="44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horizontal="left" vertical="top" wrapText="1"/>
    </xf>
    <xf numFmtId="0" fontId="6" fillId="0" borderId="66" xfId="0" applyFont="1" applyFill="1" applyBorder="1" applyAlignment="1">
      <alignment horizontal="center" vertical="top"/>
    </xf>
    <xf numFmtId="0" fontId="6" fillId="0" borderId="77" xfId="0" applyFont="1" applyFill="1" applyBorder="1" applyAlignment="1">
      <alignment horizontal="center" vertical="top"/>
    </xf>
    <xf numFmtId="49" fontId="11" fillId="0" borderId="44" xfId="0" applyNumberFormat="1" applyFont="1" applyBorder="1" applyAlignment="1">
      <alignment horizontal="center" vertical="top"/>
    </xf>
    <xf numFmtId="49" fontId="11" fillId="0" borderId="31" xfId="0" applyNumberFormat="1" applyFont="1" applyBorder="1" applyAlignment="1">
      <alignment horizontal="center" vertical="top"/>
    </xf>
    <xf numFmtId="0" fontId="9" fillId="4" borderId="45" xfId="0" applyFont="1" applyFill="1" applyBorder="1" applyAlignment="1">
      <alignment vertical="top" wrapText="1"/>
    </xf>
    <xf numFmtId="0" fontId="0" fillId="0" borderId="21" xfId="0" applyBorder="1" applyAlignment="1">
      <alignment vertical="top"/>
    </xf>
    <xf numFmtId="0" fontId="9" fillId="4" borderId="45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49" fontId="11" fillId="0" borderId="26" xfId="0" applyNumberFormat="1" applyFont="1" applyBorder="1" applyAlignment="1">
      <alignment horizontal="center" vertical="top"/>
    </xf>
    <xf numFmtId="49" fontId="11" fillId="0" borderId="38" xfId="0" applyNumberFormat="1" applyFont="1" applyBorder="1" applyAlignment="1">
      <alignment horizontal="center" vertical="top"/>
    </xf>
    <xf numFmtId="49" fontId="11" fillId="0" borderId="29" xfId="0" applyNumberFormat="1" applyFont="1" applyBorder="1" applyAlignment="1">
      <alignment horizontal="center" vertical="top"/>
    </xf>
    <xf numFmtId="0" fontId="11" fillId="8" borderId="13" xfId="0" applyFont="1" applyFill="1" applyBorder="1" applyAlignment="1">
      <alignment horizontal="right" vertical="top" wrapText="1"/>
    </xf>
    <xf numFmtId="0" fontId="11" fillId="8" borderId="23" xfId="0" applyFont="1" applyFill="1" applyBorder="1" applyAlignment="1">
      <alignment horizontal="right" vertical="top" wrapText="1"/>
    </xf>
    <xf numFmtId="0" fontId="11" fillId="8" borderId="71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59" xfId="0" applyFont="1" applyFill="1" applyBorder="1" applyAlignment="1">
      <alignment horizontal="left" vertical="top" wrapText="1"/>
    </xf>
    <xf numFmtId="0" fontId="9" fillId="8" borderId="33" xfId="0" applyFont="1" applyFill="1" applyBorder="1" applyAlignment="1">
      <alignment horizontal="left" vertical="top" wrapText="1"/>
    </xf>
    <xf numFmtId="0" fontId="9" fillId="8" borderId="34" xfId="0" applyFont="1" applyFill="1" applyBorder="1" applyAlignment="1">
      <alignment vertical="top" wrapText="1"/>
    </xf>
    <xf numFmtId="0" fontId="9" fillId="8" borderId="52" xfId="0" applyFont="1" applyFill="1" applyBorder="1" applyAlignment="1">
      <alignment vertical="top" wrapText="1"/>
    </xf>
    <xf numFmtId="0" fontId="11" fillId="7" borderId="28" xfId="0" applyFont="1" applyFill="1" applyBorder="1" applyAlignment="1">
      <alignment horizontal="right" vertical="top" wrapText="1"/>
    </xf>
    <xf numFmtId="0" fontId="9" fillId="7" borderId="44" xfId="0" applyFont="1" applyFill="1" applyBorder="1" applyAlignment="1">
      <alignment vertical="top" wrapText="1"/>
    </xf>
    <xf numFmtId="0" fontId="9" fillId="7" borderId="19" xfId="0" applyFont="1" applyFill="1" applyBorder="1" applyAlignment="1">
      <alignment vertical="top" wrapText="1"/>
    </xf>
    <xf numFmtId="49" fontId="11" fillId="9" borderId="58" xfId="0" applyNumberFormat="1" applyFont="1" applyFill="1" applyBorder="1" applyAlignment="1">
      <alignment horizontal="right" vertical="top"/>
    </xf>
    <xf numFmtId="0" fontId="9" fillId="9" borderId="68" xfId="0" applyFont="1" applyFill="1" applyBorder="1" applyAlignment="1">
      <alignment horizontal="right" vertical="top"/>
    </xf>
    <xf numFmtId="0" fontId="9" fillId="9" borderId="69" xfId="0" applyFont="1" applyFill="1" applyBorder="1" applyAlignment="1">
      <alignment horizontal="right" vertical="top"/>
    </xf>
    <xf numFmtId="164" fontId="11" fillId="9" borderId="9" xfId="0" applyNumberFormat="1" applyFont="1" applyFill="1" applyBorder="1" applyAlignment="1">
      <alignment horizontal="center" vertical="top"/>
    </xf>
    <xf numFmtId="164" fontId="11" fillId="9" borderId="68" xfId="0" applyNumberFormat="1" applyFont="1" applyFill="1" applyBorder="1" applyAlignment="1">
      <alignment horizontal="center" vertical="top"/>
    </xf>
    <xf numFmtId="164" fontId="11" fillId="9" borderId="69" xfId="0" applyNumberFormat="1" applyFont="1" applyFill="1" applyBorder="1" applyAlignment="1">
      <alignment horizontal="center" vertical="top"/>
    </xf>
    <xf numFmtId="49" fontId="11" fillId="7" borderId="68" xfId="0" applyNumberFormat="1" applyFont="1" applyFill="1" applyBorder="1" applyAlignment="1">
      <alignment horizontal="right" vertical="top"/>
    </xf>
    <xf numFmtId="49" fontId="11" fillId="7" borderId="69" xfId="0" applyNumberFormat="1" applyFont="1" applyFill="1" applyBorder="1" applyAlignment="1">
      <alignment horizontal="right" vertical="top"/>
    </xf>
    <xf numFmtId="164" fontId="11" fillId="7" borderId="9" xfId="0" applyNumberFormat="1" applyFont="1" applyFill="1" applyBorder="1" applyAlignment="1">
      <alignment horizontal="center" vertical="top"/>
    </xf>
    <xf numFmtId="164" fontId="11" fillId="7" borderId="68" xfId="0" applyNumberFormat="1" applyFont="1" applyFill="1" applyBorder="1" applyAlignment="1">
      <alignment horizontal="center" vertical="top"/>
    </xf>
    <xf numFmtId="164" fontId="11" fillId="7" borderId="69" xfId="0" applyNumberFormat="1" applyFont="1" applyFill="1" applyBorder="1" applyAlignment="1">
      <alignment horizontal="center" vertical="top"/>
    </xf>
    <xf numFmtId="0" fontId="11" fillId="7" borderId="20" xfId="0" applyFont="1" applyFill="1" applyBorder="1" applyAlignment="1">
      <alignment horizontal="right" vertical="top" wrapText="1"/>
    </xf>
    <xf numFmtId="0" fontId="9" fillId="7" borderId="40" xfId="0" applyFont="1" applyFill="1" applyBorder="1" applyAlignment="1">
      <alignment vertical="top" wrapText="1"/>
    </xf>
    <xf numFmtId="0" fontId="9" fillId="7" borderId="17" xfId="0" applyFont="1" applyFill="1" applyBorder="1" applyAlignment="1">
      <alignment vertical="top" wrapText="1"/>
    </xf>
    <xf numFmtId="0" fontId="11" fillId="8" borderId="8" xfId="0" applyFont="1" applyFill="1" applyBorder="1" applyAlignment="1">
      <alignment horizontal="right" vertical="top" wrapText="1"/>
    </xf>
    <xf numFmtId="0" fontId="11" fillId="8" borderId="59" xfId="0" applyFont="1" applyFill="1" applyBorder="1" applyAlignment="1">
      <alignment horizontal="right" vertical="top" wrapText="1"/>
    </xf>
    <xf numFmtId="0" fontId="11" fillId="8" borderId="75" xfId="0" applyFont="1" applyFill="1" applyBorder="1" applyAlignment="1">
      <alignment horizontal="righ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left" vertical="top" wrapText="1"/>
    </xf>
    <xf numFmtId="0" fontId="11" fillId="0" borderId="29" xfId="0" applyFont="1" applyFill="1" applyBorder="1" applyAlignment="1">
      <alignment horizontal="left" vertical="top" wrapText="1"/>
    </xf>
    <xf numFmtId="0" fontId="7" fillId="0" borderId="34" xfId="0" applyFont="1" applyFill="1" applyBorder="1" applyAlignment="1">
      <alignment horizontal="center" vertical="center" textRotation="90" wrapText="1"/>
    </xf>
    <xf numFmtId="0" fontId="7" fillId="0" borderId="29" xfId="0" applyFont="1" applyFill="1" applyBorder="1" applyAlignment="1">
      <alignment horizontal="center" vertical="center" textRotation="90" wrapText="1"/>
    </xf>
    <xf numFmtId="49" fontId="11" fillId="0" borderId="34" xfId="0" applyNumberFormat="1" applyFont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0" fontId="11" fillId="4" borderId="26" xfId="0" applyFont="1" applyFill="1" applyBorder="1" applyAlignment="1">
      <alignment horizontal="left" vertical="top" wrapText="1"/>
    </xf>
    <xf numFmtId="0" fontId="11" fillId="4" borderId="38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center" vertical="top" textRotation="90" wrapText="1"/>
    </xf>
    <xf numFmtId="0" fontId="7" fillId="0" borderId="44" xfId="0" applyFont="1" applyFill="1" applyBorder="1" applyAlignment="1">
      <alignment horizontal="center" vertical="top" textRotation="90" wrapText="1"/>
    </xf>
    <xf numFmtId="0" fontId="7" fillId="0" borderId="31" xfId="0" applyFont="1" applyFill="1" applyBorder="1" applyAlignment="1">
      <alignment horizontal="center" vertical="top" textRotation="90" wrapText="1"/>
    </xf>
    <xf numFmtId="0" fontId="5" fillId="4" borderId="20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49" fontId="11" fillId="2" borderId="23" xfId="0" applyNumberFormat="1" applyFont="1" applyFill="1" applyBorder="1" applyAlignment="1">
      <alignment horizontal="right" vertical="top"/>
    </xf>
    <xf numFmtId="49" fontId="11" fillId="2" borderId="22" xfId="0" applyNumberFormat="1" applyFont="1" applyFill="1" applyBorder="1" applyAlignment="1">
      <alignment horizontal="left" vertical="top"/>
    </xf>
    <xf numFmtId="49" fontId="11" fillId="9" borderId="25" xfId="0" applyNumberFormat="1" applyFont="1" applyFill="1" applyBorder="1" applyAlignment="1">
      <alignment horizontal="center" vertical="top"/>
    </xf>
    <xf numFmtId="49" fontId="11" fillId="9" borderId="33" xfId="0" applyNumberFormat="1" applyFont="1" applyFill="1" applyBorder="1" applyAlignment="1">
      <alignment horizontal="center" vertical="top"/>
    </xf>
    <xf numFmtId="49" fontId="11" fillId="9" borderId="30" xfId="0" applyNumberFormat="1" applyFont="1" applyFill="1" applyBorder="1" applyAlignment="1">
      <alignment horizontal="center" vertical="top"/>
    </xf>
    <xf numFmtId="49" fontId="11" fillId="2" borderId="26" xfId="0" applyNumberFormat="1" applyFont="1" applyFill="1" applyBorder="1" applyAlignment="1">
      <alignment horizontal="center" vertical="top"/>
    </xf>
    <xf numFmtId="49" fontId="11" fillId="2" borderId="34" xfId="0" applyNumberFormat="1" applyFont="1" applyFill="1" applyBorder="1" applyAlignment="1">
      <alignment horizontal="center" vertical="top"/>
    </xf>
    <xf numFmtId="49" fontId="11" fillId="2" borderId="29" xfId="0" applyNumberFormat="1" applyFont="1" applyFill="1" applyBorder="1" applyAlignment="1">
      <alignment horizontal="center" vertical="top"/>
    </xf>
    <xf numFmtId="49" fontId="11" fillId="4" borderId="26" xfId="0" applyNumberFormat="1" applyFont="1" applyFill="1" applyBorder="1" applyAlignment="1">
      <alignment horizontal="center" vertical="top"/>
    </xf>
    <xf numFmtId="49" fontId="11" fillId="4" borderId="34" xfId="0" applyNumberFormat="1" applyFont="1" applyFill="1" applyBorder="1" applyAlignment="1">
      <alignment horizontal="center" vertical="top"/>
    </xf>
    <xf numFmtId="49" fontId="11" fillId="4" borderId="29" xfId="0" applyNumberFormat="1" applyFont="1" applyFill="1" applyBorder="1" applyAlignment="1">
      <alignment horizontal="center" vertical="top"/>
    </xf>
    <xf numFmtId="0" fontId="11" fillId="4" borderId="34" xfId="0" applyFont="1" applyFill="1" applyBorder="1" applyAlignment="1">
      <alignment horizontal="left" vertical="top" wrapText="1"/>
    </xf>
    <xf numFmtId="49" fontId="7" fillId="0" borderId="40" xfId="0" applyNumberFormat="1" applyFont="1" applyFill="1" applyBorder="1" applyAlignment="1">
      <alignment horizontal="center" vertical="center" textRotation="90" wrapText="1"/>
    </xf>
    <xf numFmtId="49" fontId="7" fillId="0" borderId="44" xfId="0" applyNumberFormat="1" applyFont="1" applyFill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11" fillId="4" borderId="17" xfId="0" applyFont="1" applyFill="1" applyBorder="1" applyAlignment="1">
      <alignment horizontal="left" vertical="top" wrapText="1"/>
    </xf>
    <xf numFmtId="0" fontId="11" fillId="4" borderId="19" xfId="0" applyFont="1" applyFill="1" applyBorder="1" applyAlignment="1">
      <alignment horizontal="left" vertical="top" wrapText="1"/>
    </xf>
    <xf numFmtId="0" fontId="11" fillId="4" borderId="18" xfId="0" applyFont="1" applyFill="1" applyBorder="1" applyAlignment="1">
      <alignment horizontal="left" vertical="top" wrapText="1"/>
    </xf>
    <xf numFmtId="49" fontId="5" fillId="0" borderId="40" xfId="0" applyNumberFormat="1" applyFont="1" applyFill="1" applyBorder="1" applyAlignment="1">
      <alignment horizontal="center" vertical="center" textRotation="90"/>
    </xf>
    <xf numFmtId="49" fontId="5" fillId="0" borderId="44" xfId="0" applyNumberFormat="1" applyFont="1" applyFill="1" applyBorder="1" applyAlignment="1">
      <alignment horizontal="center" vertical="center" textRotation="90"/>
    </xf>
    <xf numFmtId="49" fontId="5" fillId="0" borderId="31" xfId="0" applyNumberFormat="1" applyFont="1" applyFill="1" applyBorder="1" applyAlignment="1">
      <alignment horizontal="center" vertical="center" textRotation="90"/>
    </xf>
    <xf numFmtId="49" fontId="4" fillId="0" borderId="40" xfId="0" applyNumberFormat="1" applyFont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/>
    </xf>
    <xf numFmtId="49" fontId="4" fillId="0" borderId="31" xfId="0" applyNumberFormat="1" applyFont="1" applyBorder="1" applyAlignment="1">
      <alignment horizontal="center" vertical="top"/>
    </xf>
    <xf numFmtId="0" fontId="0" fillId="4" borderId="28" xfId="0" applyFill="1" applyBorder="1" applyAlignment="1">
      <alignment horizontal="left" vertical="top" wrapText="1"/>
    </xf>
    <xf numFmtId="0" fontId="5" fillId="4" borderId="45" xfId="0" applyFont="1" applyFill="1" applyBorder="1" applyAlignment="1">
      <alignment horizontal="left" vertical="top" wrapText="1"/>
    </xf>
    <xf numFmtId="0" fontId="9" fillId="4" borderId="74" xfId="0" applyFont="1" applyFill="1" applyBorder="1" applyAlignment="1">
      <alignment horizontal="left" vertical="top" wrapText="1"/>
    </xf>
    <xf numFmtId="0" fontId="9" fillId="4" borderId="77" xfId="0" applyFont="1" applyFill="1" applyBorder="1" applyAlignment="1">
      <alignment horizontal="left" vertical="top" wrapText="1"/>
    </xf>
    <xf numFmtId="49" fontId="11" fillId="2" borderId="18" xfId="0" applyNumberFormat="1" applyFont="1" applyFill="1" applyBorder="1" applyAlignment="1">
      <alignment horizontal="right" vertical="top"/>
    </xf>
    <xf numFmtId="49" fontId="11" fillId="2" borderId="71" xfId="0" applyNumberFormat="1" applyFont="1" applyFill="1" applyBorder="1" applyAlignment="1">
      <alignment horizontal="right" vertical="top"/>
    </xf>
    <xf numFmtId="0" fontId="7" fillId="0" borderId="40" xfId="0" applyFont="1" applyFill="1" applyBorder="1" applyAlignment="1">
      <alignment horizontal="center" vertical="center" textRotation="90" wrapText="1"/>
    </xf>
    <xf numFmtId="0" fontId="7" fillId="0" borderId="44" xfId="0" applyFont="1" applyFill="1" applyBorder="1" applyAlignment="1">
      <alignment horizontal="center" vertical="center" textRotation="90" wrapText="1"/>
    </xf>
    <xf numFmtId="0" fontId="0" fillId="0" borderId="44" xfId="0" applyBorder="1" applyAlignment="1">
      <alignment horizontal="center" vertical="center" textRotation="90" wrapText="1"/>
    </xf>
    <xf numFmtId="0" fontId="11" fillId="4" borderId="40" xfId="0" applyFont="1" applyFill="1" applyBorder="1" applyAlignment="1">
      <alignment vertical="top" wrapText="1"/>
    </xf>
    <xf numFmtId="0" fontId="11" fillId="0" borderId="41" xfId="4" applyNumberFormat="1" applyFont="1" applyBorder="1" applyAlignment="1">
      <alignment horizontal="center" vertical="top"/>
    </xf>
    <xf numFmtId="0" fontId="11" fillId="0" borderId="32" xfId="4" applyNumberFormat="1" applyFont="1" applyBorder="1" applyAlignment="1">
      <alignment horizontal="center" vertical="top"/>
    </xf>
    <xf numFmtId="49" fontId="11" fillId="4" borderId="38" xfId="0" applyNumberFormat="1" applyFont="1" applyFill="1" applyBorder="1" applyAlignment="1">
      <alignment horizontal="center" vertical="top"/>
    </xf>
    <xf numFmtId="0" fontId="7" fillId="0" borderId="65" xfId="0" applyFont="1" applyFill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0" fontId="7" fillId="0" borderId="64" xfId="0" applyFont="1" applyFill="1" applyBorder="1" applyAlignment="1">
      <alignment horizontal="center" vertical="top" wrapText="1"/>
    </xf>
    <xf numFmtId="49" fontId="11" fillId="0" borderId="27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/>
    </xf>
    <xf numFmtId="49" fontId="11" fillId="0" borderId="62" xfId="0" applyNumberFormat="1" applyFont="1" applyBorder="1" applyAlignment="1">
      <alignment horizontal="center" vertical="top"/>
    </xf>
    <xf numFmtId="49" fontId="11" fillId="0" borderId="36" xfId="0" applyNumberFormat="1" applyFont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0" fontId="11" fillId="4" borderId="31" xfId="0" applyFont="1" applyFill="1" applyBorder="1" applyAlignment="1">
      <alignment vertical="top" wrapText="1"/>
    </xf>
    <xf numFmtId="0" fontId="7" fillId="0" borderId="78" xfId="0" applyFont="1" applyFill="1" applyBorder="1" applyAlignment="1">
      <alignment horizontal="center" vertical="top" wrapText="1"/>
    </xf>
    <xf numFmtId="0" fontId="7" fillId="0" borderId="77" xfId="0" applyFont="1" applyFill="1" applyBorder="1" applyAlignment="1">
      <alignment horizontal="center" vertical="top" wrapText="1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1" fillId="4" borderId="38" xfId="0" applyFont="1" applyFill="1" applyBorder="1" applyAlignment="1">
      <alignment vertical="top" wrapText="1"/>
    </xf>
    <xf numFmtId="0" fontId="9" fillId="4" borderId="34" xfId="0" applyFont="1" applyFill="1" applyBorder="1" applyAlignment="1">
      <alignment horizontal="left" vertical="top" wrapText="1"/>
    </xf>
    <xf numFmtId="0" fontId="7" fillId="4" borderId="46" xfId="0" applyFont="1" applyFill="1" applyBorder="1" applyAlignment="1">
      <alignment horizontal="center" vertical="top" wrapText="1"/>
    </xf>
    <xf numFmtId="0" fontId="7" fillId="4" borderId="66" xfId="0" applyFont="1" applyFill="1" applyBorder="1" applyAlignment="1">
      <alignment horizontal="center" vertical="top" wrapText="1"/>
    </xf>
    <xf numFmtId="0" fontId="0" fillId="0" borderId="74" xfId="0" applyBorder="1" applyAlignment="1">
      <alignment vertical="top"/>
    </xf>
    <xf numFmtId="49" fontId="11" fillId="4" borderId="44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left" vertical="top" wrapText="1"/>
    </xf>
    <xf numFmtId="49" fontId="11" fillId="4" borderId="31" xfId="0" applyNumberFormat="1" applyFont="1" applyFill="1" applyBorder="1" applyAlignment="1">
      <alignment horizontal="left" vertical="top" wrapText="1"/>
    </xf>
    <xf numFmtId="49" fontId="7" fillId="0" borderId="66" xfId="0" applyNumberFormat="1" applyFont="1" applyFill="1" applyBorder="1" applyAlignment="1">
      <alignment horizontal="right" vertical="top"/>
    </xf>
    <xf numFmtId="49" fontId="7" fillId="0" borderId="77" xfId="0" applyNumberFormat="1" applyFont="1" applyFill="1" applyBorder="1" applyAlignment="1">
      <alignment horizontal="right" vertical="top"/>
    </xf>
    <xf numFmtId="0" fontId="9" fillId="0" borderId="16" xfId="0" applyFont="1" applyBorder="1" applyAlignment="1">
      <alignment vertical="top" wrapText="1"/>
    </xf>
    <xf numFmtId="0" fontId="9" fillId="0" borderId="44" xfId="0" applyFont="1" applyBorder="1" applyAlignment="1">
      <alignment vertical="top" wrapText="1"/>
    </xf>
    <xf numFmtId="49" fontId="11" fillId="0" borderId="41" xfId="0" applyNumberFormat="1" applyFont="1" applyFill="1" applyBorder="1" applyAlignment="1">
      <alignment horizontal="center" vertical="top"/>
    </xf>
    <xf numFmtId="49" fontId="11" fillId="0" borderId="32" xfId="0" applyNumberFormat="1" applyFont="1" applyFill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54" xfId="0" applyNumberFormat="1" applyFont="1" applyBorder="1" applyAlignment="1">
      <alignment horizontal="center" vertical="top"/>
    </xf>
    <xf numFmtId="49" fontId="11" fillId="4" borderId="44" xfId="0" applyNumberFormat="1" applyFont="1" applyFill="1" applyBorder="1" applyAlignment="1">
      <alignment horizontal="left" vertical="top" wrapText="1"/>
    </xf>
    <xf numFmtId="49" fontId="11" fillId="0" borderId="54" xfId="0" applyNumberFormat="1" applyFont="1" applyFill="1" applyBorder="1" applyAlignment="1">
      <alignment horizontal="center" vertical="top"/>
    </xf>
    <xf numFmtId="0" fontId="7" fillId="0" borderId="66" xfId="0" applyFont="1" applyFill="1" applyBorder="1" applyAlignment="1">
      <alignment horizontal="center" vertical="top" wrapText="1"/>
    </xf>
    <xf numFmtId="0" fontId="5" fillId="4" borderId="110" xfId="0" applyFont="1" applyFill="1" applyBorder="1" applyAlignment="1">
      <alignment horizontal="left" vertical="top" wrapText="1"/>
    </xf>
    <xf numFmtId="0" fontId="12" fillId="0" borderId="66" xfId="0" applyFont="1" applyFill="1" applyBorder="1" applyAlignment="1">
      <alignment horizontal="center" vertical="top" wrapText="1"/>
    </xf>
    <xf numFmtId="0" fontId="0" fillId="0" borderId="77" xfId="0" applyBorder="1" applyAlignment="1">
      <alignment vertical="top"/>
    </xf>
    <xf numFmtId="49" fontId="11" fillId="0" borderId="56" xfId="0" applyNumberFormat="1" applyFont="1" applyBorder="1" applyAlignment="1">
      <alignment horizontal="center" vertical="top"/>
    </xf>
    <xf numFmtId="0" fontId="0" fillId="0" borderId="71" xfId="0" applyBorder="1" applyAlignment="1">
      <alignment vertical="top"/>
    </xf>
    <xf numFmtId="0" fontId="9" fillId="4" borderId="40" xfId="0" applyNumberFormat="1" applyFont="1" applyFill="1" applyBorder="1" applyAlignment="1">
      <alignment horizontal="center" vertical="top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4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0" fontId="9" fillId="4" borderId="40" xfId="0" applyFont="1" applyFill="1" applyBorder="1" applyAlignment="1">
      <alignment horizontal="left" vertical="top" wrapText="1"/>
    </xf>
    <xf numFmtId="0" fontId="9" fillId="4" borderId="31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49" fontId="11" fillId="2" borderId="19" xfId="0" applyNumberFormat="1" applyFont="1" applyFill="1" applyBorder="1" applyAlignment="1">
      <alignment horizontal="center" vertical="top"/>
    </xf>
    <xf numFmtId="49" fontId="11" fillId="2" borderId="18" xfId="0" applyNumberFormat="1" applyFont="1" applyFill="1" applyBorder="1" applyAlignment="1">
      <alignment horizontal="center" vertical="top"/>
    </xf>
    <xf numFmtId="0" fontId="9" fillId="4" borderId="44" xfId="0" applyFont="1" applyFill="1" applyBorder="1" applyAlignment="1">
      <alignment horizontal="left" vertical="top" wrapText="1"/>
    </xf>
    <xf numFmtId="49" fontId="11" fillId="0" borderId="32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1" fillId="7" borderId="8" xfId="0" applyFont="1" applyFill="1" applyBorder="1" applyAlignment="1">
      <alignment horizontal="left" vertical="top" wrapText="1"/>
    </xf>
    <xf numFmtId="0" fontId="11" fillId="7" borderId="59" xfId="0" applyFont="1" applyFill="1" applyBorder="1" applyAlignment="1">
      <alignment horizontal="left" vertical="top" wrapText="1"/>
    </xf>
    <xf numFmtId="0" fontId="11" fillId="7" borderId="75" xfId="0" applyFont="1" applyFill="1" applyBorder="1" applyAlignment="1">
      <alignment horizontal="left" vertical="top" wrapText="1"/>
    </xf>
    <xf numFmtId="0" fontId="11" fillId="9" borderId="59" xfId="0" applyFont="1" applyFill="1" applyBorder="1" applyAlignment="1">
      <alignment horizontal="left" vertical="top" wrapText="1"/>
    </xf>
    <xf numFmtId="0" fontId="11" fillId="9" borderId="75" xfId="0" applyFont="1" applyFill="1" applyBorder="1" applyAlignment="1">
      <alignment horizontal="left" vertical="top" wrapText="1"/>
    </xf>
    <xf numFmtId="0" fontId="11" fillId="2" borderId="51" xfId="0" applyFont="1" applyFill="1" applyBorder="1" applyAlignment="1">
      <alignment horizontal="left" vertical="top" wrapText="1"/>
    </xf>
    <xf numFmtId="0" fontId="11" fillId="2" borderId="59" xfId="0" applyFont="1" applyFill="1" applyBorder="1" applyAlignment="1">
      <alignment horizontal="left" vertical="top" wrapText="1"/>
    </xf>
    <xf numFmtId="0" fontId="11" fillId="2" borderId="75" xfId="0" applyFont="1" applyFill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 wrapText="1"/>
    </xf>
    <xf numFmtId="49" fontId="9" fillId="0" borderId="74" xfId="0" applyNumberFormat="1" applyFont="1" applyBorder="1" applyAlignment="1">
      <alignment horizontal="center" vertical="top" textRotation="90" wrapText="1"/>
    </xf>
    <xf numFmtId="0" fontId="0" fillId="0" borderId="66" xfId="0" applyBorder="1" applyAlignment="1">
      <alignment vertical="top" wrapText="1"/>
    </xf>
    <xf numFmtId="0" fontId="0" fillId="0" borderId="77" xfId="0" applyBorder="1" applyAlignment="1">
      <alignment vertical="top" wrapText="1"/>
    </xf>
    <xf numFmtId="49" fontId="11" fillId="0" borderId="56" xfId="0" applyNumberFormat="1" applyFont="1" applyBorder="1" applyAlignment="1">
      <alignment horizontal="center" vertical="top" wrapText="1"/>
    </xf>
    <xf numFmtId="0" fontId="0" fillId="0" borderId="56" xfId="0" applyBorder="1" applyAlignment="1">
      <alignment wrapText="1"/>
    </xf>
    <xf numFmtId="0" fontId="0" fillId="0" borderId="71" xfId="0" applyBorder="1" applyAlignment="1">
      <alignment wrapText="1"/>
    </xf>
    <xf numFmtId="0" fontId="9" fillId="4" borderId="113" xfId="0" applyFont="1" applyFill="1" applyBorder="1" applyAlignment="1">
      <alignment vertical="top" wrapText="1"/>
    </xf>
    <xf numFmtId="0" fontId="0" fillId="4" borderId="21" xfId="0" applyFill="1" applyBorder="1" applyAlignment="1">
      <alignment vertical="top" wrapText="1"/>
    </xf>
    <xf numFmtId="0" fontId="11" fillId="4" borderId="56" xfId="4" applyNumberFormat="1" applyFont="1" applyFill="1" applyBorder="1" applyAlignment="1">
      <alignment horizontal="center" vertical="top"/>
    </xf>
    <xf numFmtId="0" fontId="0" fillId="0" borderId="56" xfId="0" applyBorder="1" applyAlignment="1">
      <alignment vertical="top"/>
    </xf>
    <xf numFmtId="0" fontId="9" fillId="0" borderId="28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9" fillId="0" borderId="20" xfId="0" applyFont="1" applyBorder="1" applyAlignment="1">
      <alignment horizontal="center" vertical="center" textRotation="90" shrinkToFit="1"/>
    </xf>
    <xf numFmtId="0" fontId="9" fillId="0" borderId="28" xfId="0" applyFont="1" applyBorder="1" applyAlignment="1">
      <alignment horizontal="center" vertical="center" textRotation="90" shrinkToFit="1"/>
    </xf>
    <xf numFmtId="0" fontId="9" fillId="0" borderId="21" xfId="0" applyFont="1" applyBorder="1" applyAlignment="1">
      <alignment horizontal="center" vertical="center" textRotation="90" shrinkToFit="1"/>
    </xf>
    <xf numFmtId="0" fontId="9" fillId="0" borderId="40" xfId="0" applyFont="1" applyBorder="1" applyAlignment="1">
      <alignment horizontal="center" vertical="center" textRotation="90" shrinkToFit="1"/>
    </xf>
    <xf numFmtId="0" fontId="9" fillId="0" borderId="44" xfId="0" applyFont="1" applyBorder="1" applyAlignment="1">
      <alignment horizontal="center" vertical="center" textRotation="90" shrinkToFit="1"/>
    </xf>
    <xf numFmtId="0" fontId="9" fillId="0" borderId="31" xfId="0" applyFont="1" applyBorder="1" applyAlignment="1">
      <alignment horizontal="center" vertical="center" textRotation="90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textRotation="90" shrinkToFit="1"/>
    </xf>
    <xf numFmtId="0" fontId="9" fillId="0" borderId="7" xfId="0" applyFont="1" applyBorder="1" applyAlignment="1">
      <alignment horizontal="center" vertical="center" textRotation="90" shrinkToFit="1"/>
    </xf>
    <xf numFmtId="0" fontId="9" fillId="0" borderId="13" xfId="0" applyFont="1" applyBorder="1" applyAlignment="1">
      <alignment horizontal="center" vertical="center" textRotation="90" shrinkToFit="1"/>
    </xf>
    <xf numFmtId="0" fontId="9" fillId="4" borderId="15" xfId="0" applyFont="1" applyFill="1" applyBorder="1" applyAlignment="1">
      <alignment horizontal="center" vertical="center" textRotation="90" wrapText="1" shrinkToFit="1"/>
    </xf>
    <xf numFmtId="0" fontId="0" fillId="4" borderId="4" xfId="0" applyFill="1" applyBorder="1" applyAlignment="1">
      <alignment horizontal="center" vertical="center" wrapText="1" shrinkToFit="1"/>
    </xf>
    <xf numFmtId="0" fontId="0" fillId="4" borderId="10" xfId="0" applyFill="1" applyBorder="1" applyAlignment="1">
      <alignment horizontal="center" vertical="center" wrapText="1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49" fontId="11" fillId="6" borderId="37" xfId="0" applyNumberFormat="1" applyFont="1" applyFill="1" applyBorder="1" applyAlignment="1">
      <alignment horizontal="left" vertical="top" wrapText="1"/>
    </xf>
    <xf numFmtId="49" fontId="11" fillId="6" borderId="22" xfId="0" applyNumberFormat="1" applyFont="1" applyFill="1" applyBorder="1" applyAlignment="1">
      <alignment horizontal="left" vertical="top" wrapText="1"/>
    </xf>
    <xf numFmtId="49" fontId="11" fillId="6" borderId="70" xfId="0" applyNumberFormat="1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textRotation="90" shrinkToFit="1"/>
    </xf>
    <xf numFmtId="0" fontId="9" fillId="0" borderId="4" xfId="0" applyFont="1" applyBorder="1" applyAlignment="1">
      <alignment horizontal="center" textRotation="90" shrinkToFit="1"/>
    </xf>
    <xf numFmtId="0" fontId="9" fillId="0" borderId="10" xfId="0" applyFont="1" applyBorder="1" applyAlignment="1">
      <alignment horizontal="center" textRotation="90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center" textRotation="90" shrinkToFit="1"/>
    </xf>
    <xf numFmtId="0" fontId="9" fillId="0" borderId="54" xfId="0" applyNumberFormat="1" applyFont="1" applyBorder="1" applyAlignment="1">
      <alignment horizontal="center" vertical="center" textRotation="90" shrinkToFit="1"/>
    </xf>
    <xf numFmtId="0" fontId="9" fillId="0" borderId="32" xfId="0" applyNumberFormat="1" applyFont="1" applyBorder="1" applyAlignment="1">
      <alignment horizontal="center" vertical="center" textRotation="90" shrinkToFit="1"/>
    </xf>
    <xf numFmtId="0" fontId="9" fillId="0" borderId="15" xfId="0" applyFont="1" applyBorder="1" applyAlignment="1">
      <alignment horizontal="center" vertical="center" textRotation="90" shrinkToFit="1"/>
    </xf>
    <xf numFmtId="0" fontId="9" fillId="0" borderId="4" xfId="0" applyFont="1" applyBorder="1" applyAlignment="1">
      <alignment horizontal="center" vertical="center" textRotation="90" shrinkToFit="1"/>
    </xf>
    <xf numFmtId="0" fontId="9" fillId="0" borderId="10" xfId="0" applyFont="1" applyBorder="1" applyAlignment="1">
      <alignment horizontal="center" vertical="center" textRotation="90" shrinkToFit="1"/>
    </xf>
    <xf numFmtId="0" fontId="29" fillId="0" borderId="0" xfId="0" applyFont="1" applyAlignment="1">
      <alignment horizontal="right" vertical="top"/>
    </xf>
    <xf numFmtId="0" fontId="30" fillId="0" borderId="0" xfId="0" applyFont="1" applyAlignment="1">
      <alignment horizontal="right" vertical="top"/>
    </xf>
    <xf numFmtId="0" fontId="1" fillId="0" borderId="44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1" xfId="0" applyFont="1" applyBorder="1" applyAlignment="1">
      <alignment vertical="top"/>
    </xf>
    <xf numFmtId="49" fontId="11" fillId="2" borderId="69" xfId="0" applyNumberFormat="1" applyFont="1" applyFill="1" applyBorder="1" applyAlignment="1">
      <alignment horizontal="right" vertical="top"/>
    </xf>
    <xf numFmtId="49" fontId="11" fillId="5" borderId="58" xfId="0" applyNumberFormat="1" applyFont="1" applyFill="1" applyBorder="1" applyAlignment="1">
      <alignment horizontal="left" vertical="top"/>
    </xf>
    <xf numFmtId="49" fontId="11" fillId="5" borderId="68" xfId="0" applyNumberFormat="1" applyFont="1" applyFill="1" applyBorder="1" applyAlignment="1">
      <alignment horizontal="left" vertical="top"/>
    </xf>
    <xf numFmtId="49" fontId="11" fillId="5" borderId="69" xfId="0" applyNumberFormat="1" applyFont="1" applyFill="1" applyBorder="1" applyAlignment="1">
      <alignment horizontal="left" vertical="top"/>
    </xf>
    <xf numFmtId="0" fontId="1" fillId="0" borderId="44" xfId="0" applyFont="1" applyBorder="1" applyAlignment="1">
      <alignment horizontal="center" vertical="center" textRotation="90" wrapText="1"/>
    </xf>
    <xf numFmtId="0" fontId="7" fillId="4" borderId="60" xfId="0" applyFont="1" applyFill="1" applyBorder="1" applyAlignment="1">
      <alignment horizontal="center" vertical="top" wrapText="1"/>
    </xf>
    <xf numFmtId="0" fontId="7" fillId="4" borderId="74" xfId="0" applyFont="1" applyFill="1" applyBorder="1" applyAlignment="1">
      <alignment horizontal="center" vertical="top" wrapText="1"/>
    </xf>
    <xf numFmtId="0" fontId="1" fillId="0" borderId="74" xfId="0" applyFont="1" applyBorder="1" applyAlignment="1">
      <alignment vertical="top"/>
    </xf>
    <xf numFmtId="0" fontId="11" fillId="4" borderId="73" xfId="4" applyNumberFormat="1" applyFont="1" applyFill="1" applyBorder="1" applyAlignment="1">
      <alignment horizontal="center" vertical="top"/>
    </xf>
    <xf numFmtId="0" fontId="1" fillId="0" borderId="56" xfId="0" applyFont="1" applyBorder="1" applyAlignment="1">
      <alignment vertical="top"/>
    </xf>
    <xf numFmtId="0" fontId="5" fillId="4" borderId="44" xfId="0" applyFont="1" applyFill="1" applyBorder="1" applyAlignment="1">
      <alignment horizontal="left" vertical="top" wrapText="1"/>
    </xf>
    <xf numFmtId="0" fontId="1" fillId="0" borderId="77" xfId="0" applyFont="1" applyBorder="1" applyAlignment="1">
      <alignment vertical="top"/>
    </xf>
    <xf numFmtId="0" fontId="1" fillId="0" borderId="71" xfId="0" applyFont="1" applyBorder="1" applyAlignment="1">
      <alignment vertical="top"/>
    </xf>
    <xf numFmtId="0" fontId="1" fillId="0" borderId="31" xfId="0" applyFont="1" applyBorder="1" applyAlignment="1">
      <alignment horizontal="left" vertical="top" wrapText="1"/>
    </xf>
    <xf numFmtId="0" fontId="9" fillId="0" borderId="70" xfId="0" applyNumberFormat="1" applyFont="1" applyBorder="1" applyAlignment="1">
      <alignment horizontal="center" vertical="center" textRotation="90" shrinkToFit="1"/>
    </xf>
    <xf numFmtId="0" fontId="9" fillId="0" borderId="56" xfId="0" applyNumberFormat="1" applyFont="1" applyBorder="1" applyAlignment="1">
      <alignment horizontal="center" vertical="center" textRotation="90" shrinkToFit="1"/>
    </xf>
    <xf numFmtId="0" fontId="9" fillId="0" borderId="71" xfId="0" applyNumberFormat="1" applyFont="1" applyBorder="1" applyAlignment="1">
      <alignment horizontal="center" vertical="center" textRotation="90" shrinkToFit="1"/>
    </xf>
    <xf numFmtId="0" fontId="1" fillId="4" borderId="4" xfId="0" applyFont="1" applyFill="1" applyBorder="1" applyAlignment="1">
      <alignment horizontal="center" vertical="center" textRotation="90" wrapText="1" shrinkToFit="1"/>
    </xf>
    <xf numFmtId="0" fontId="1" fillId="4" borderId="10" xfId="0" applyFont="1" applyFill="1" applyBorder="1" applyAlignment="1">
      <alignment horizontal="center" vertical="center" textRotation="90" wrapText="1" shrinkToFit="1"/>
    </xf>
    <xf numFmtId="49" fontId="11" fillId="6" borderId="11" xfId="0" applyNumberFormat="1" applyFont="1" applyFill="1" applyBorder="1" applyAlignment="1">
      <alignment horizontal="left" vertical="top" wrapText="1"/>
    </xf>
    <xf numFmtId="49" fontId="11" fillId="6" borderId="48" xfId="0" applyNumberFormat="1" applyFont="1" applyFill="1" applyBorder="1" applyAlignment="1">
      <alignment horizontal="left" vertical="top" wrapText="1"/>
    </xf>
    <xf numFmtId="49" fontId="11" fillId="6" borderId="76" xfId="0" applyNumberFormat="1" applyFont="1" applyFill="1" applyBorder="1" applyAlignment="1">
      <alignment horizontal="left" vertical="top" wrapText="1"/>
    </xf>
    <xf numFmtId="0" fontId="11" fillId="7" borderId="6" xfId="0" applyFont="1" applyFill="1" applyBorder="1" applyAlignment="1">
      <alignment horizontal="left" vertical="top" wrapText="1"/>
    </xf>
    <xf numFmtId="0" fontId="11" fillId="7" borderId="67" xfId="0" applyFont="1" applyFill="1" applyBorder="1" applyAlignment="1">
      <alignment horizontal="left" vertical="top" wrapText="1"/>
    </xf>
    <xf numFmtId="0" fontId="11" fillId="7" borderId="61" xfId="0" applyFont="1" applyFill="1" applyBorder="1" applyAlignment="1">
      <alignment horizontal="left" vertical="top" wrapText="1"/>
    </xf>
    <xf numFmtId="0" fontId="11" fillId="5" borderId="51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75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vertical="top" wrapText="1"/>
    </xf>
    <xf numFmtId="49" fontId="9" fillId="0" borderId="66" xfId="0" applyNumberFormat="1" applyFont="1" applyBorder="1" applyAlignment="1">
      <alignment horizontal="center" vertical="top" textRotation="90" wrapText="1"/>
    </xf>
    <xf numFmtId="0" fontId="1" fillId="0" borderId="66" xfId="0" applyFont="1" applyBorder="1" applyAlignment="1">
      <alignment vertical="top" wrapText="1"/>
    </xf>
    <xf numFmtId="0" fontId="1" fillId="0" borderId="77" xfId="0" applyFont="1" applyBorder="1" applyAlignment="1">
      <alignment vertical="top" wrapText="1"/>
    </xf>
    <xf numFmtId="0" fontId="1" fillId="0" borderId="56" xfId="0" applyFont="1" applyBorder="1" applyAlignment="1">
      <alignment wrapText="1"/>
    </xf>
    <xf numFmtId="0" fontId="1" fillId="0" borderId="71" xfId="0" applyFont="1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top" wrapText="1"/>
    </xf>
    <xf numFmtId="164" fontId="11" fillId="8" borderId="23" xfId="0" applyNumberFormat="1" applyFont="1" applyFill="1" applyBorder="1" applyAlignment="1">
      <alignment horizontal="center" vertical="top" wrapText="1"/>
    </xf>
    <xf numFmtId="164" fontId="11" fillId="8" borderId="71" xfId="0" applyNumberFormat="1" applyFont="1" applyFill="1" applyBorder="1" applyAlignment="1">
      <alignment horizontal="center" vertical="top" wrapText="1"/>
    </xf>
    <xf numFmtId="3" fontId="10" fillId="4" borderId="0" xfId="0" applyNumberFormat="1" applyFont="1" applyFill="1" applyAlignment="1">
      <alignment vertical="top"/>
    </xf>
    <xf numFmtId="3" fontId="1" fillId="4" borderId="0" xfId="0" applyNumberFormat="1" applyFont="1" applyFill="1" applyAlignment="1">
      <alignment vertical="top"/>
    </xf>
    <xf numFmtId="0" fontId="0" fillId="0" borderId="59" xfId="0" applyBorder="1" applyAlignment="1">
      <alignment vertical="top" wrapText="1"/>
    </xf>
    <xf numFmtId="0" fontId="0" fillId="0" borderId="75" xfId="0" applyBorder="1" applyAlignment="1">
      <alignment vertical="top" wrapText="1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67" xfId="0" applyNumberFormat="1" applyFont="1" applyBorder="1" applyAlignment="1">
      <alignment horizontal="center" vertical="top" wrapText="1"/>
    </xf>
    <xf numFmtId="164" fontId="9" fillId="0" borderId="61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59" xfId="0" applyNumberFormat="1" applyFont="1" applyBorder="1" applyAlignment="1">
      <alignment horizontal="center" vertical="top" wrapText="1"/>
    </xf>
    <xf numFmtId="164" fontId="9" fillId="0" borderId="75" xfId="0" applyNumberFormat="1" applyFont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0" borderId="59" xfId="0" applyNumberFormat="1" applyFont="1" applyFill="1" applyBorder="1" applyAlignment="1">
      <alignment horizontal="center" vertical="top" wrapText="1"/>
    </xf>
    <xf numFmtId="164" fontId="9" fillId="0" borderId="75" xfId="0" applyNumberFormat="1" applyFont="1" applyFill="1" applyBorder="1" applyAlignment="1">
      <alignment horizontal="center" vertical="top" wrapText="1"/>
    </xf>
    <xf numFmtId="0" fontId="9" fillId="0" borderId="46" xfId="0" applyFont="1" applyBorder="1" applyAlignment="1">
      <alignment horizontal="left" vertical="top" wrapText="1"/>
    </xf>
    <xf numFmtId="0" fontId="9" fillId="8" borderId="46" xfId="0" applyFont="1" applyFill="1" applyBorder="1" applyAlignment="1">
      <alignment horizontal="left" vertical="top" wrapText="1"/>
    </xf>
    <xf numFmtId="164" fontId="9" fillId="8" borderId="8" xfId="0" applyNumberFormat="1" applyFont="1" applyFill="1" applyBorder="1" applyAlignment="1">
      <alignment horizontal="center" vertical="top" wrapText="1"/>
    </xf>
    <xf numFmtId="164" fontId="9" fillId="8" borderId="59" xfId="0" applyNumberFormat="1" applyFont="1" applyFill="1" applyBorder="1" applyAlignment="1">
      <alignment horizontal="center" vertical="top" wrapText="1"/>
    </xf>
    <xf numFmtId="164" fontId="9" fillId="8" borderId="75" xfId="0" applyNumberFormat="1" applyFont="1" applyFill="1" applyBorder="1" applyAlignment="1">
      <alignment horizontal="center" vertical="top" wrapText="1"/>
    </xf>
    <xf numFmtId="0" fontId="11" fillId="7" borderId="66" xfId="0" applyFont="1" applyFill="1" applyBorder="1" applyAlignment="1">
      <alignment horizontal="right" vertical="top" wrapText="1"/>
    </xf>
    <xf numFmtId="164" fontId="11" fillId="7" borderId="7" xfId="0" applyNumberFormat="1" applyFont="1" applyFill="1" applyBorder="1" applyAlignment="1">
      <alignment horizontal="center" vertical="top" wrapText="1"/>
    </xf>
    <xf numFmtId="164" fontId="11" fillId="7" borderId="0" xfId="0" applyNumberFormat="1" applyFont="1" applyFill="1" applyBorder="1" applyAlignment="1">
      <alignment horizontal="center" vertical="top" wrapText="1"/>
    </xf>
    <xf numFmtId="164" fontId="11" fillId="7" borderId="56" xfId="0" applyNumberFormat="1" applyFont="1" applyFill="1" applyBorder="1" applyAlignment="1">
      <alignment horizontal="center" vertical="top" wrapText="1"/>
    </xf>
    <xf numFmtId="0" fontId="9" fillId="8" borderId="8" xfId="0" applyFont="1" applyFill="1" applyBorder="1" applyAlignment="1">
      <alignment horizontal="left" vertical="top" wrapText="1"/>
    </xf>
    <xf numFmtId="0" fontId="9" fillId="8" borderId="59" xfId="0" applyFont="1" applyFill="1" applyBorder="1" applyAlignment="1">
      <alignment horizontal="left" vertical="top" wrapText="1"/>
    </xf>
    <xf numFmtId="0" fontId="9" fillId="8" borderId="75" xfId="0" applyFont="1" applyFill="1" applyBorder="1" applyAlignment="1">
      <alignment horizontal="left" vertical="top" wrapText="1"/>
    </xf>
    <xf numFmtId="0" fontId="9" fillId="0" borderId="60" xfId="0" applyFont="1" applyBorder="1" applyAlignment="1">
      <alignment horizontal="left" vertical="top" wrapText="1"/>
    </xf>
    <xf numFmtId="0" fontId="11" fillId="7" borderId="78" xfId="0" applyFont="1" applyFill="1" applyBorder="1" applyAlignment="1">
      <alignment horizontal="right" vertical="top" wrapText="1"/>
    </xf>
    <xf numFmtId="164" fontId="11" fillId="7" borderId="37" xfId="0" applyNumberFormat="1" applyFont="1" applyFill="1" applyBorder="1" applyAlignment="1">
      <alignment horizontal="center" vertical="top" wrapText="1"/>
    </xf>
    <xf numFmtId="164" fontId="11" fillId="7" borderId="22" xfId="0" applyNumberFormat="1" applyFont="1" applyFill="1" applyBorder="1" applyAlignment="1">
      <alignment horizontal="center" vertical="top" wrapText="1"/>
    </xf>
    <xf numFmtId="164" fontId="11" fillId="7" borderId="70" xfId="0" applyNumberFormat="1" applyFont="1" applyFill="1" applyBorder="1" applyAlignment="1">
      <alignment horizontal="center" vertical="top" wrapText="1"/>
    </xf>
    <xf numFmtId="164" fontId="11" fillId="8" borderId="8" xfId="0" applyNumberFormat="1" applyFont="1" applyFill="1" applyBorder="1" applyAlignment="1">
      <alignment horizontal="center" vertical="top" wrapText="1"/>
    </xf>
    <xf numFmtId="164" fontId="11" fillId="8" borderId="59" xfId="0" applyNumberFormat="1" applyFont="1" applyFill="1" applyBorder="1" applyAlignment="1">
      <alignment horizontal="center" vertical="top" wrapText="1"/>
    </xf>
    <xf numFmtId="164" fontId="11" fillId="8" borderId="75" xfId="0" applyNumberFormat="1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right" vertical="top"/>
    </xf>
    <xf numFmtId="0" fontId="1" fillId="10" borderId="23" xfId="0" applyFont="1" applyFill="1" applyBorder="1" applyAlignment="1">
      <alignment horizontal="right" vertical="top"/>
    </xf>
    <xf numFmtId="49" fontId="9" fillId="0" borderId="54" xfId="0" applyNumberFormat="1" applyFont="1" applyBorder="1" applyAlignment="1">
      <alignment horizontal="center" vertical="top" wrapText="1"/>
    </xf>
    <xf numFmtId="49" fontId="9" fillId="0" borderId="32" xfId="0" applyNumberFormat="1" applyFont="1" applyBorder="1" applyAlignment="1">
      <alignment horizontal="center" vertical="top" wrapText="1"/>
    </xf>
    <xf numFmtId="0" fontId="10" fillId="0" borderId="22" xfId="0" applyNumberFormat="1" applyFont="1" applyBorder="1" applyAlignment="1">
      <alignment vertical="top" wrapText="1"/>
    </xf>
    <xf numFmtId="0" fontId="6" fillId="0" borderId="78" xfId="0" applyFont="1" applyFill="1" applyBorder="1" applyAlignment="1">
      <alignment horizontal="center" vertical="top"/>
    </xf>
    <xf numFmtId="49" fontId="9" fillId="0" borderId="40" xfId="0" applyNumberFormat="1" applyFont="1" applyBorder="1" applyAlignment="1">
      <alignment horizontal="center" vertical="top"/>
    </xf>
    <xf numFmtId="49" fontId="9" fillId="0" borderId="44" xfId="0" applyNumberFormat="1" applyFont="1" applyBorder="1" applyAlignment="1">
      <alignment horizontal="center" vertical="top"/>
    </xf>
    <xf numFmtId="49" fontId="11" fillId="0" borderId="40" xfId="0" applyNumberFormat="1" applyFont="1" applyBorder="1" applyAlignment="1">
      <alignment horizontal="center" vertical="top"/>
    </xf>
    <xf numFmtId="49" fontId="9" fillId="0" borderId="41" xfId="0" applyNumberFormat="1" applyFont="1" applyBorder="1" applyAlignment="1">
      <alignment horizontal="center" vertical="top" wrapText="1"/>
    </xf>
    <xf numFmtId="0" fontId="5" fillId="3" borderId="28" xfId="0" applyFont="1" applyFill="1" applyBorder="1" applyAlignment="1">
      <alignment horizontal="left" vertical="top" wrapText="1"/>
    </xf>
    <xf numFmtId="0" fontId="5" fillId="3" borderId="21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center" vertical="top"/>
    </xf>
    <xf numFmtId="0" fontId="5" fillId="3" borderId="31" xfId="0" applyFont="1" applyFill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0" borderId="29" xfId="0" applyNumberFormat="1" applyFont="1" applyBorder="1" applyAlignment="1">
      <alignment horizontal="center" vertical="top"/>
    </xf>
    <xf numFmtId="49" fontId="9" fillId="0" borderId="56" xfId="0" applyNumberFormat="1" applyFont="1" applyBorder="1" applyAlignment="1">
      <alignment horizontal="center" vertical="top" wrapText="1"/>
    </xf>
    <xf numFmtId="49" fontId="9" fillId="0" borderId="71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8" xfId="0" applyNumberFormat="1" applyFont="1" applyBorder="1" applyAlignment="1">
      <alignment horizontal="center" vertical="top" wrapText="1"/>
    </xf>
    <xf numFmtId="49" fontId="9" fillId="0" borderId="29" xfId="0" applyNumberFormat="1" applyFont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left" vertical="top"/>
    </xf>
    <xf numFmtId="49" fontId="9" fillId="0" borderId="26" xfId="0" applyNumberFormat="1" applyFont="1" applyBorder="1" applyAlignment="1">
      <alignment horizontal="center" vertical="top"/>
    </xf>
    <xf numFmtId="49" fontId="9" fillId="0" borderId="70" xfId="0" applyNumberFormat="1" applyFont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49" fontId="5" fillId="0" borderId="40" xfId="0" quotePrefix="1" applyNumberFormat="1" applyFont="1" applyBorder="1" applyAlignment="1">
      <alignment horizontal="center" vertical="top"/>
    </xf>
    <xf numFmtId="49" fontId="5" fillId="0" borderId="44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5" fillId="0" borderId="70" xfId="0" applyNumberFormat="1" applyFont="1" applyBorder="1" applyAlignment="1">
      <alignment horizontal="center" vertical="top" wrapText="1"/>
    </xf>
    <xf numFmtId="49" fontId="5" fillId="0" borderId="56" xfId="0" applyNumberFormat="1" applyFont="1" applyBorder="1" applyAlignment="1">
      <alignment horizontal="center" vertical="top" wrapText="1"/>
    </xf>
    <xf numFmtId="49" fontId="5" fillId="0" borderId="71" xfId="0" applyNumberFormat="1" applyFont="1" applyBorder="1" applyAlignment="1">
      <alignment horizontal="center" vertical="top" wrapText="1"/>
    </xf>
    <xf numFmtId="49" fontId="5" fillId="0" borderId="44" xfId="0" quotePrefix="1" applyNumberFormat="1" applyFont="1" applyBorder="1" applyAlignment="1">
      <alignment horizontal="center" vertical="top"/>
    </xf>
    <xf numFmtId="49" fontId="11" fillId="10" borderId="17" xfId="0" applyNumberFormat="1" applyFont="1" applyFill="1" applyBorder="1" applyAlignment="1">
      <alignment horizontal="center" vertical="top"/>
    </xf>
    <xf numFmtId="49" fontId="11" fillId="10" borderId="19" xfId="0" applyNumberFormat="1" applyFont="1" applyFill="1" applyBorder="1" applyAlignment="1">
      <alignment horizontal="center" vertical="top"/>
    </xf>
    <xf numFmtId="0" fontId="9" fillId="10" borderId="18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49" fontId="9" fillId="0" borderId="54" xfId="0" applyNumberFormat="1" applyFont="1" applyFill="1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49" fontId="9" fillId="0" borderId="38" xfId="0" applyNumberFormat="1" applyFont="1" applyBorder="1" applyAlignment="1">
      <alignment horizontal="center" vertical="top"/>
    </xf>
    <xf numFmtId="0" fontId="7" fillId="0" borderId="26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vertical="top" wrapText="1"/>
    </xf>
    <xf numFmtId="49" fontId="10" fillId="0" borderId="26" xfId="0" applyNumberFormat="1" applyFont="1" applyBorder="1" applyAlignment="1">
      <alignment horizontal="center" vertical="top" wrapText="1"/>
    </xf>
    <xf numFmtId="49" fontId="10" fillId="0" borderId="38" xfId="0" applyNumberFormat="1" applyFont="1" applyBorder="1" applyAlignment="1">
      <alignment horizontal="center" vertical="top" wrapText="1"/>
    </xf>
    <xf numFmtId="49" fontId="10" fillId="0" borderId="29" xfId="0" applyNumberFormat="1" applyFont="1" applyBorder="1" applyAlignment="1">
      <alignment horizontal="center" vertical="top" wrapText="1"/>
    </xf>
    <xf numFmtId="49" fontId="9" fillId="0" borderId="17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top" wrapText="1"/>
    </xf>
    <xf numFmtId="49" fontId="11" fillId="4" borderId="16" xfId="0" applyNumberFormat="1" applyFont="1" applyFill="1" applyBorder="1" applyAlignment="1">
      <alignment vertical="top" wrapText="1"/>
    </xf>
    <xf numFmtId="49" fontId="9" fillId="4" borderId="17" xfId="0" applyNumberFormat="1" applyFont="1" applyFill="1" applyBorder="1" applyAlignment="1">
      <alignment horizontal="center" vertical="top"/>
    </xf>
    <xf numFmtId="49" fontId="9" fillId="4" borderId="18" xfId="0" applyNumberFormat="1" applyFont="1" applyFill="1" applyBorder="1" applyAlignment="1">
      <alignment horizontal="center" vertical="top"/>
    </xf>
    <xf numFmtId="0" fontId="11" fillId="4" borderId="17" xfId="0" applyFont="1" applyFill="1" applyBorder="1" applyAlignment="1">
      <alignment vertical="top" wrapText="1"/>
    </xf>
    <xf numFmtId="0" fontId="11" fillId="4" borderId="18" xfId="0" applyFont="1" applyFill="1" applyBorder="1" applyAlignment="1">
      <alignment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center" vertical="top" wrapText="1"/>
    </xf>
    <xf numFmtId="0" fontId="11" fillId="0" borderId="40" xfId="4" applyNumberFormat="1" applyFont="1" applyBorder="1" applyAlignment="1">
      <alignment horizontal="center" vertical="top"/>
    </xf>
    <xf numFmtId="0" fontId="11" fillId="0" borderId="31" xfId="4" applyNumberFormat="1" applyFont="1" applyBorder="1" applyAlignment="1">
      <alignment horizontal="center" vertical="top"/>
    </xf>
    <xf numFmtId="0" fontId="9" fillId="4" borderId="44" xfId="0" applyFont="1" applyFill="1" applyBorder="1" applyAlignment="1">
      <alignment vertical="top" wrapText="1"/>
    </xf>
    <xf numFmtId="0" fontId="0" fillId="4" borderId="34" xfId="0" applyFill="1" applyBorder="1" applyAlignment="1">
      <alignment vertical="top" wrapText="1"/>
    </xf>
    <xf numFmtId="0" fontId="9" fillId="0" borderId="70" xfId="4" applyNumberFormat="1" applyFont="1" applyBorder="1" applyAlignment="1">
      <alignment horizontal="center" vertical="top" wrapText="1"/>
    </xf>
    <xf numFmtId="0" fontId="9" fillId="0" borderId="56" xfId="4" applyNumberFormat="1" applyFont="1" applyBorder="1" applyAlignment="1">
      <alignment horizontal="center" vertical="top" wrapText="1"/>
    </xf>
    <xf numFmtId="49" fontId="11" fillId="4" borderId="16" xfId="0" applyNumberFormat="1" applyFont="1" applyFill="1" applyBorder="1" applyAlignment="1">
      <alignment horizontal="center" vertical="top"/>
    </xf>
    <xf numFmtId="49" fontId="11" fillId="4" borderId="0" xfId="0" applyNumberFormat="1" applyFont="1" applyFill="1" applyBorder="1" applyAlignment="1">
      <alignment horizontal="center" vertical="top"/>
    </xf>
    <xf numFmtId="49" fontId="11" fillId="4" borderId="67" xfId="0" applyNumberFormat="1" applyFont="1" applyFill="1" applyBorder="1" applyAlignment="1">
      <alignment horizontal="center" vertical="top"/>
    </xf>
    <xf numFmtId="0" fontId="9" fillId="4" borderId="51" xfId="0" applyFont="1" applyFill="1" applyBorder="1" applyAlignment="1">
      <alignment horizontal="left" vertical="top" wrapText="1"/>
    </xf>
    <xf numFmtId="49" fontId="7" fillId="0" borderId="44" xfId="0" applyNumberFormat="1" applyFont="1" applyFill="1" applyBorder="1" applyAlignment="1">
      <alignment horizontal="right" vertical="top"/>
    </xf>
    <xf numFmtId="49" fontId="7" fillId="0" borderId="31" xfId="0" applyNumberFormat="1" applyFont="1" applyFill="1" applyBorder="1" applyAlignment="1">
      <alignment horizontal="right" vertical="top"/>
    </xf>
    <xf numFmtId="49" fontId="9" fillId="0" borderId="40" xfId="0" applyNumberFormat="1" applyFont="1" applyFill="1" applyBorder="1" applyAlignment="1">
      <alignment horizontal="center" vertical="top"/>
    </xf>
    <xf numFmtId="49" fontId="9" fillId="0" borderId="31" xfId="0" applyNumberFormat="1" applyFont="1" applyFill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8" xfId="0" applyNumberFormat="1" applyFont="1" applyFill="1" applyBorder="1" applyAlignment="1">
      <alignment horizontal="center" vertical="top"/>
    </xf>
    <xf numFmtId="49" fontId="9" fillId="4" borderId="41" xfId="0" applyNumberFormat="1" applyFont="1" applyFill="1" applyBorder="1" applyAlignment="1">
      <alignment horizontal="center" vertical="top" wrapText="1"/>
    </xf>
    <xf numFmtId="49" fontId="9" fillId="4" borderId="32" xfId="0" applyNumberFormat="1" applyFont="1" applyFill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/>
    </xf>
    <xf numFmtId="49" fontId="11" fillId="0" borderId="52" xfId="0" applyNumberFormat="1" applyFont="1" applyBorder="1" applyAlignment="1">
      <alignment horizontal="center" vertical="top"/>
    </xf>
    <xf numFmtId="49" fontId="9" fillId="0" borderId="44" xfId="0" applyNumberFormat="1" applyFont="1" applyFill="1" applyBorder="1" applyAlignment="1">
      <alignment horizontal="center" vertical="top"/>
    </xf>
    <xf numFmtId="49" fontId="11" fillId="0" borderId="19" xfId="0" applyNumberFormat="1" applyFont="1" applyFill="1" applyBorder="1" applyAlignment="1">
      <alignment horizontal="center" vertical="top"/>
    </xf>
    <xf numFmtId="0" fontId="0" fillId="0" borderId="34" xfId="0" applyBorder="1" applyAlignment="1">
      <alignment horizontal="left" vertical="top" wrapText="1"/>
    </xf>
    <xf numFmtId="0" fontId="7" fillId="0" borderId="34" xfId="0" applyFont="1" applyFill="1" applyBorder="1" applyAlignment="1">
      <alignment horizontal="center" vertical="top" wrapText="1"/>
    </xf>
    <xf numFmtId="49" fontId="11" fillId="0" borderId="18" xfId="0" applyNumberFormat="1" applyFont="1" applyBorder="1" applyAlignment="1">
      <alignment horizontal="center" vertical="top"/>
    </xf>
    <xf numFmtId="0" fontId="7" fillId="0" borderId="44" xfId="0" applyFont="1" applyFill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top" wrapText="1"/>
    </xf>
    <xf numFmtId="49" fontId="9" fillId="0" borderId="16" xfId="0" applyNumberFormat="1" applyFont="1" applyBorder="1" applyAlignment="1">
      <alignment horizontal="center" vertical="top"/>
    </xf>
    <xf numFmtId="49" fontId="11" fillId="0" borderId="53" xfId="0" applyNumberFormat="1" applyFont="1" applyBorder="1" applyAlignment="1">
      <alignment horizontal="center" vertical="top"/>
    </xf>
    <xf numFmtId="0" fontId="1" fillId="10" borderId="71" xfId="0" applyFont="1" applyFill="1" applyBorder="1" applyAlignment="1">
      <alignment horizontal="right" vertical="top"/>
    </xf>
    <xf numFmtId="49" fontId="9" fillId="0" borderId="55" xfId="0" applyNumberFormat="1" applyFont="1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49" fontId="11" fillId="0" borderId="72" xfId="0" applyNumberFormat="1" applyFont="1" applyBorder="1" applyAlignment="1">
      <alignment horizontal="center" vertical="top"/>
    </xf>
    <xf numFmtId="0" fontId="0" fillId="0" borderId="28" xfId="0" applyBorder="1" applyAlignment="1">
      <alignment horizontal="left" vertical="top" wrapText="1"/>
    </xf>
    <xf numFmtId="164" fontId="9" fillId="4" borderId="16" xfId="0" applyNumberFormat="1" applyFont="1" applyFill="1" applyBorder="1" applyAlignment="1">
      <alignment horizontal="center" vertical="center" textRotation="90" wrapText="1"/>
    </xf>
    <xf numFmtId="0" fontId="0" fillId="0" borderId="44" xfId="0" applyBorder="1" applyAlignment="1">
      <alignment horizontal="center" wrapText="1"/>
    </xf>
    <xf numFmtId="49" fontId="9" fillId="4" borderId="110" xfId="0" applyNumberFormat="1" applyFont="1" applyFill="1" applyBorder="1" applyAlignment="1">
      <alignment horizontal="left" vertical="top" wrapText="1"/>
    </xf>
    <xf numFmtId="49" fontId="9" fillId="4" borderId="44" xfId="0" applyNumberFormat="1" applyFont="1" applyFill="1" applyBorder="1" applyAlignment="1">
      <alignment horizontal="left" vertical="top" wrapText="1"/>
    </xf>
    <xf numFmtId="0" fontId="0" fillId="4" borderId="97" xfId="0" applyFill="1" applyBorder="1" applyAlignment="1">
      <alignment horizontal="left" vertical="top" wrapText="1"/>
    </xf>
    <xf numFmtId="164" fontId="9" fillId="4" borderId="55" xfId="0" applyNumberFormat="1" applyFont="1" applyFill="1" applyBorder="1" applyAlignment="1">
      <alignment horizontal="center" vertical="center" textRotation="90" wrapText="1"/>
    </xf>
    <xf numFmtId="0" fontId="0" fillId="0" borderId="54" xfId="0" applyBorder="1" applyAlignment="1">
      <alignment horizontal="center" wrapText="1"/>
    </xf>
    <xf numFmtId="0" fontId="9" fillId="0" borderId="7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49" fontId="9" fillId="0" borderId="16" xfId="0" applyNumberFormat="1" applyFont="1" applyBorder="1" applyAlignment="1">
      <alignment horizontal="center" vertical="center" textRotation="90"/>
    </xf>
    <xf numFmtId="49" fontId="9" fillId="0" borderId="44" xfId="0" applyNumberFormat="1" applyFont="1" applyBorder="1" applyAlignment="1">
      <alignment horizontal="center" vertical="center" textRotation="90"/>
    </xf>
    <xf numFmtId="0" fontId="0" fillId="0" borderId="35" xfId="0" applyBorder="1" applyAlignment="1">
      <alignment horizontal="center" vertical="top" wrapText="1"/>
    </xf>
    <xf numFmtId="0" fontId="9" fillId="0" borderId="45" xfId="0" applyFont="1" applyBorder="1" applyAlignment="1">
      <alignment horizontal="center" vertical="center" textRotation="90" shrinkToFit="1"/>
    </xf>
    <xf numFmtId="0" fontId="9" fillId="0" borderId="60" xfId="0" applyFont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 textRotation="90" wrapText="1"/>
    </xf>
    <xf numFmtId="0" fontId="7" fillId="0" borderId="32" xfId="0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3" xfId="0" applyFont="1" applyBorder="1" applyAlignment="1">
      <alignment horizontal="right" vertical="top"/>
    </xf>
    <xf numFmtId="0" fontId="9" fillId="0" borderId="15" xfId="0" applyNumberFormat="1" applyFont="1" applyFill="1" applyBorder="1" applyAlignment="1">
      <alignment horizontal="center" vertical="center" textRotation="90" shrinkToFit="1"/>
    </xf>
    <xf numFmtId="0" fontId="9" fillId="0" borderId="4" xfId="0" applyNumberFormat="1" applyFont="1" applyFill="1" applyBorder="1" applyAlignment="1">
      <alignment horizontal="center" vertical="center" textRotation="90" shrinkToFit="1"/>
    </xf>
    <xf numFmtId="0" fontId="9" fillId="0" borderId="10" xfId="0" applyNumberFormat="1" applyFont="1" applyFill="1" applyBorder="1" applyAlignment="1">
      <alignment horizontal="center" vertical="center" textRotation="90" shrinkToFit="1"/>
    </xf>
    <xf numFmtId="0" fontId="11" fillId="0" borderId="11" xfId="0" applyFont="1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wrapText="1" shrinkToFit="1"/>
    </xf>
    <xf numFmtId="0" fontId="0" fillId="0" borderId="76" xfId="0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>
      <alignment horizontal="left" vertical="top" wrapText="1"/>
    </xf>
    <xf numFmtId="49" fontId="31" fillId="4" borderId="16" xfId="0" applyNumberFormat="1" applyFont="1" applyFill="1" applyBorder="1" applyAlignment="1">
      <alignment horizontal="center" vertical="center" textRotation="90" wrapText="1"/>
    </xf>
    <xf numFmtId="0" fontId="35" fillId="0" borderId="44" xfId="0" applyFont="1" applyBorder="1" applyAlignment="1">
      <alignment horizontal="center" vertical="center" textRotation="90" wrapText="1"/>
    </xf>
    <xf numFmtId="0" fontId="35" fillId="0" borderId="34" xfId="0" applyFont="1" applyBorder="1" applyAlignment="1">
      <alignment horizontal="center" vertical="center" textRotation="90" wrapText="1"/>
    </xf>
    <xf numFmtId="49" fontId="10" fillId="0" borderId="40" xfId="0" applyNumberFormat="1" applyFont="1" applyBorder="1" applyAlignment="1">
      <alignment horizontal="center" vertical="top" textRotation="90"/>
    </xf>
    <xf numFmtId="49" fontId="10" fillId="0" borderId="44" xfId="0" applyNumberFormat="1" applyFont="1" applyBorder="1" applyAlignment="1">
      <alignment horizontal="center" vertical="top" textRotation="90"/>
    </xf>
    <xf numFmtId="49" fontId="10" fillId="0" borderId="31" xfId="0" applyNumberFormat="1" applyFont="1" applyBorder="1" applyAlignment="1">
      <alignment horizontal="center" vertical="top" textRotation="90"/>
    </xf>
    <xf numFmtId="49" fontId="10" fillId="0" borderId="40" xfId="0" applyNumberFormat="1" applyFont="1" applyBorder="1" applyAlignment="1">
      <alignment horizontal="center" vertical="center" textRotation="90"/>
    </xf>
    <xf numFmtId="49" fontId="10" fillId="0" borderId="31" xfId="0" applyNumberFormat="1" applyFont="1" applyBorder="1" applyAlignment="1">
      <alignment horizontal="center" vertical="center" textRotation="90"/>
    </xf>
    <xf numFmtId="0" fontId="7" fillId="0" borderId="31" xfId="0" applyFont="1" applyFill="1" applyBorder="1" applyAlignment="1">
      <alignment horizontal="center" vertical="center" textRotation="90" wrapText="1"/>
    </xf>
    <xf numFmtId="49" fontId="10" fillId="0" borderId="40" xfId="0" applyNumberFormat="1" applyFont="1" applyBorder="1" applyAlignment="1">
      <alignment horizontal="center" vertical="center" textRotation="90" wrapText="1"/>
    </xf>
    <xf numFmtId="49" fontId="10" fillId="0" borderId="44" xfId="0" applyNumberFormat="1" applyFont="1" applyBorder="1" applyAlignment="1">
      <alignment horizontal="center" vertical="center" textRotation="90" wrapText="1"/>
    </xf>
    <xf numFmtId="49" fontId="10" fillId="0" borderId="31" xfId="0" applyNumberFormat="1" applyFont="1" applyBorder="1" applyAlignment="1">
      <alignment horizontal="center" vertical="center" textRotation="90" wrapText="1"/>
    </xf>
    <xf numFmtId="49" fontId="12" fillId="0" borderId="40" xfId="0" quotePrefix="1" applyNumberFormat="1" applyFont="1" applyBorder="1" applyAlignment="1">
      <alignment horizontal="center" vertical="center" textRotation="90" wrapText="1"/>
    </xf>
    <xf numFmtId="49" fontId="12" fillId="0" borderId="44" xfId="0" quotePrefix="1" applyNumberFormat="1" applyFont="1" applyBorder="1" applyAlignment="1">
      <alignment horizontal="center" vertical="center" textRotation="90"/>
    </xf>
    <xf numFmtId="49" fontId="12" fillId="0" borderId="31" xfId="0" applyNumberFormat="1" applyFont="1" applyBorder="1" applyAlignment="1">
      <alignment horizontal="center" vertical="center" textRotation="90"/>
    </xf>
    <xf numFmtId="49" fontId="12" fillId="0" borderId="40" xfId="0" quotePrefix="1" applyNumberFormat="1" applyFont="1" applyBorder="1" applyAlignment="1">
      <alignment horizontal="center" vertical="center" textRotation="90"/>
    </xf>
    <xf numFmtId="49" fontId="9" fillId="0" borderId="44" xfId="0" applyNumberFormat="1" applyFont="1" applyFill="1" applyBorder="1" applyAlignment="1">
      <alignment vertical="center" textRotation="90"/>
    </xf>
    <xf numFmtId="0" fontId="0" fillId="0" borderId="44" xfId="0" applyBorder="1" applyAlignment="1">
      <alignment vertical="center" textRotation="90"/>
    </xf>
    <xf numFmtId="0" fontId="9" fillId="4" borderId="113" xfId="0" applyFont="1" applyFill="1" applyBorder="1" applyAlignment="1">
      <alignment horizontal="left" vertical="top" wrapText="1"/>
    </xf>
    <xf numFmtId="49" fontId="3" fillId="0" borderId="40" xfId="0" quotePrefix="1" applyNumberFormat="1" applyFont="1" applyBorder="1" applyAlignment="1">
      <alignment horizontal="center" vertical="center" textRotation="90"/>
    </xf>
    <xf numFmtId="49" fontId="3" fillId="0" borderId="44" xfId="0" quotePrefix="1" applyNumberFormat="1" applyFont="1" applyBorder="1" applyAlignment="1">
      <alignment horizontal="center" vertical="center" textRotation="90"/>
    </xf>
    <xf numFmtId="49" fontId="3" fillId="0" borderId="31" xfId="0" applyNumberFormat="1" applyFont="1" applyBorder="1" applyAlignment="1">
      <alignment horizontal="center" vertical="center" textRotation="90"/>
    </xf>
    <xf numFmtId="49" fontId="7" fillId="0" borderId="44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9" fillId="4" borderId="17" xfId="0" applyFont="1" applyFill="1" applyBorder="1" applyAlignment="1">
      <alignment vertical="top" wrapText="1"/>
    </xf>
    <xf numFmtId="0" fontId="9" fillId="4" borderId="18" xfId="0" applyFont="1" applyFill="1" applyBorder="1" applyAlignment="1">
      <alignment vertical="top" wrapText="1"/>
    </xf>
    <xf numFmtId="49" fontId="10" fillId="0" borderId="40" xfId="0" applyNumberFormat="1" applyFont="1" applyFill="1" applyBorder="1" applyAlignment="1">
      <alignment horizontal="center" vertical="center" textRotation="90"/>
    </xf>
    <xf numFmtId="49" fontId="10" fillId="0" borderId="31" xfId="0" applyNumberFormat="1" applyFont="1" applyFill="1" applyBorder="1" applyAlignment="1">
      <alignment horizontal="center" vertical="center" textRotation="90"/>
    </xf>
    <xf numFmtId="0" fontId="9" fillId="4" borderId="54" xfId="4" applyNumberFormat="1" applyFont="1" applyFill="1" applyBorder="1" applyAlignment="1">
      <alignment horizontal="center" vertical="top" wrapText="1"/>
    </xf>
    <xf numFmtId="0" fontId="0" fillId="4" borderId="54" xfId="0" applyFill="1" applyBorder="1" applyAlignment="1">
      <alignment horizontal="center" vertical="top" wrapText="1"/>
    </xf>
    <xf numFmtId="49" fontId="10" fillId="0" borderId="40" xfId="0" applyNumberFormat="1" applyFont="1" applyFill="1" applyBorder="1" applyAlignment="1">
      <alignment horizontal="center" vertical="top" textRotation="90" wrapText="1"/>
    </xf>
    <xf numFmtId="49" fontId="10" fillId="0" borderId="44" xfId="0" applyNumberFormat="1" applyFont="1" applyFill="1" applyBorder="1" applyAlignment="1">
      <alignment horizontal="center" vertical="top" textRotation="90" wrapText="1"/>
    </xf>
    <xf numFmtId="49" fontId="10" fillId="0" borderId="31" xfId="0" applyNumberFormat="1" applyFont="1" applyFill="1" applyBorder="1" applyAlignment="1">
      <alignment horizontal="center" vertical="top" textRotation="90" wrapText="1"/>
    </xf>
    <xf numFmtId="0" fontId="9" fillId="0" borderId="78" xfId="0" applyFont="1" applyBorder="1" applyAlignment="1">
      <alignment vertical="top" wrapText="1"/>
    </xf>
    <xf numFmtId="0" fontId="9" fillId="0" borderId="66" xfId="0" applyFont="1" applyBorder="1" applyAlignment="1">
      <alignment vertical="top" wrapText="1"/>
    </xf>
    <xf numFmtId="0" fontId="9" fillId="0" borderId="78" xfId="0" applyFont="1" applyBorder="1" applyAlignment="1">
      <alignment horizontal="left" vertical="top" wrapText="1"/>
    </xf>
    <xf numFmtId="0" fontId="9" fillId="0" borderId="77" xfId="0" applyFont="1" applyBorder="1" applyAlignment="1">
      <alignment horizontal="left" vertical="top" wrapText="1"/>
    </xf>
    <xf numFmtId="49" fontId="10" fillId="0" borderId="40" xfId="0" applyNumberFormat="1" applyFont="1" applyBorder="1" applyAlignment="1">
      <alignment horizontal="center" vertical="top" textRotation="90" wrapText="1"/>
    </xf>
    <xf numFmtId="49" fontId="11" fillId="2" borderId="52" xfId="0" applyNumberFormat="1" applyFont="1" applyFill="1" applyBorder="1" applyAlignment="1">
      <alignment horizontal="center" vertical="top"/>
    </xf>
    <xf numFmtId="49" fontId="11" fillId="10" borderId="44" xfId="0" applyNumberFormat="1" applyFont="1" applyFill="1" applyBorder="1" applyAlignment="1">
      <alignment horizontal="center" vertical="top"/>
    </xf>
    <xf numFmtId="49" fontId="11" fillId="10" borderId="34" xfId="0" applyNumberFormat="1" applyFont="1" applyFill="1" applyBorder="1" applyAlignment="1">
      <alignment horizontal="center" vertical="top"/>
    </xf>
    <xf numFmtId="49" fontId="10" fillId="4" borderId="44" xfId="0" applyNumberFormat="1" applyFont="1" applyFill="1" applyBorder="1" applyAlignment="1">
      <alignment horizontal="center" vertical="center" textRotation="90" wrapText="1"/>
    </xf>
    <xf numFmtId="49" fontId="10" fillId="4" borderId="34" xfId="0" applyNumberFormat="1" applyFont="1" applyFill="1" applyBorder="1" applyAlignment="1">
      <alignment horizontal="center" vertical="center" textRotation="90"/>
    </xf>
    <xf numFmtId="49" fontId="10" fillId="0" borderId="44" xfId="0" applyNumberFormat="1" applyFont="1" applyBorder="1" applyAlignment="1">
      <alignment horizontal="center" vertical="center" textRotation="90"/>
    </xf>
    <xf numFmtId="0" fontId="32" fillId="0" borderId="34" xfId="0" applyFont="1" applyBorder="1" applyAlignment="1">
      <alignment horizontal="center"/>
    </xf>
    <xf numFmtId="0" fontId="7" fillId="0" borderId="67" xfId="0" applyFont="1" applyFill="1" applyBorder="1" applyAlignment="1">
      <alignment horizontal="center" vertical="top" wrapText="1"/>
    </xf>
    <xf numFmtId="49" fontId="11" fillId="0" borderId="67" xfId="0" applyNumberFormat="1" applyFont="1" applyBorder="1" applyAlignment="1">
      <alignment horizontal="center" vertical="top"/>
    </xf>
    <xf numFmtId="49" fontId="10" fillId="4" borderId="16" xfId="0" applyNumberFormat="1" applyFont="1" applyFill="1" applyBorder="1" applyAlignment="1">
      <alignment horizontal="center" vertical="center" textRotation="90" wrapText="1"/>
    </xf>
    <xf numFmtId="0" fontId="32" fillId="4" borderId="44" xfId="0" applyFont="1" applyFill="1" applyBorder="1" applyAlignment="1">
      <alignment horizontal="center" vertical="center" textRotation="90"/>
    </xf>
    <xf numFmtId="0" fontId="32" fillId="4" borderId="34" xfId="0" applyFont="1" applyFill="1" applyBorder="1" applyAlignment="1">
      <alignment horizontal="center" vertical="center" textRotation="90"/>
    </xf>
    <xf numFmtId="49" fontId="10" fillId="0" borderId="16" xfId="0" applyNumberFormat="1" applyFont="1" applyBorder="1" applyAlignment="1">
      <alignment horizontal="center" vertical="center" textRotation="90"/>
    </xf>
    <xf numFmtId="49" fontId="10" fillId="0" borderId="34" xfId="0" applyNumberFormat="1" applyFont="1" applyBorder="1" applyAlignment="1">
      <alignment horizontal="center" vertical="center" textRotation="90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49" fontId="11" fillId="0" borderId="74" xfId="0" applyNumberFormat="1" applyFont="1" applyBorder="1" applyAlignment="1">
      <alignment horizontal="center" vertical="top"/>
    </xf>
    <xf numFmtId="49" fontId="11" fillId="0" borderId="66" xfId="0" applyNumberFormat="1" applyFont="1" applyBorder="1" applyAlignment="1">
      <alignment horizontal="center" vertical="top"/>
    </xf>
    <xf numFmtId="49" fontId="9" fillId="0" borderId="53" xfId="0" applyNumberFormat="1" applyFont="1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0" fillId="0" borderId="66" xfId="0" applyBorder="1" applyAlignment="1">
      <alignment horizontal="left" vertical="top" wrapText="1"/>
    </xf>
    <xf numFmtId="164" fontId="9" fillId="4" borderId="5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/>
    </xf>
    <xf numFmtId="49" fontId="9" fillId="0" borderId="16" xfId="0" applyNumberFormat="1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9" fillId="4" borderId="46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1" fillId="0" borderId="23" xfId="0" applyFont="1" applyBorder="1" applyAlignment="1">
      <alignment horizontal="right" vertical="top"/>
    </xf>
    <xf numFmtId="49" fontId="7" fillId="0" borderId="16" xfId="0" applyNumberFormat="1" applyFont="1" applyBorder="1" applyAlignment="1">
      <alignment horizontal="center" vertical="center" textRotation="90" wrapText="1"/>
    </xf>
    <xf numFmtId="49" fontId="26" fillId="0" borderId="34" xfId="0" applyNumberFormat="1" applyFont="1" applyBorder="1" applyAlignment="1">
      <alignment horizontal="center" vertical="center" textRotation="90" wrapText="1"/>
    </xf>
    <xf numFmtId="1" fontId="7" fillId="0" borderId="16" xfId="0" applyNumberFormat="1" applyFont="1" applyFill="1" applyBorder="1" applyAlignment="1">
      <alignment horizontal="center" vertical="center" textRotation="90" wrapText="1"/>
    </xf>
    <xf numFmtId="1" fontId="0" fillId="0" borderId="44" xfId="0" applyNumberFormat="1" applyBorder="1" applyAlignment="1">
      <alignment horizontal="center" vertical="center" textRotation="90" wrapText="1"/>
    </xf>
    <xf numFmtId="1" fontId="0" fillId="0" borderId="34" xfId="0" applyNumberFormat="1" applyBorder="1" applyAlignment="1">
      <alignment horizontal="center" vertical="center" textRotation="90" wrapText="1"/>
    </xf>
    <xf numFmtId="49" fontId="10" fillId="0" borderId="16" xfId="0" applyNumberFormat="1" applyFont="1" applyFill="1" applyBorder="1" applyAlignment="1">
      <alignment horizontal="center" vertical="center" textRotation="90" wrapText="1"/>
    </xf>
    <xf numFmtId="49" fontId="32" fillId="0" borderId="44" xfId="0" applyNumberFormat="1" applyFont="1" applyBorder="1" applyAlignment="1">
      <alignment horizontal="center" vertical="center" textRotation="90" wrapText="1"/>
    </xf>
    <xf numFmtId="49" fontId="32" fillId="0" borderId="34" xfId="0" applyNumberFormat="1" applyFont="1" applyBorder="1" applyAlignment="1">
      <alignment horizontal="center" vertical="center" textRotation="90" wrapText="1"/>
    </xf>
    <xf numFmtId="49" fontId="9" fillId="4" borderId="55" xfId="0" applyNumberFormat="1" applyFont="1" applyFill="1" applyBorder="1" applyAlignment="1">
      <alignment horizontal="center" vertical="top" wrapText="1"/>
    </xf>
    <xf numFmtId="0" fontId="0" fillId="0" borderId="44" xfId="0" applyBorder="1" applyAlignment="1">
      <alignment horizontal="center" vertical="center" textRotation="90" shrinkToFit="1"/>
    </xf>
    <xf numFmtId="0" fontId="0" fillId="0" borderId="31" xfId="0" applyBorder="1" applyAlignment="1">
      <alignment horizontal="center" vertical="center" textRotation="90" shrinkToFit="1"/>
    </xf>
    <xf numFmtId="49" fontId="9" fillId="0" borderId="55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49" fontId="7" fillId="4" borderId="44" xfId="0" applyNumberFormat="1" applyFont="1" applyFill="1" applyBorder="1" applyAlignment="1">
      <alignment vertical="center" textRotation="90"/>
    </xf>
    <xf numFmtId="0" fontId="0" fillId="4" borderId="44" xfId="0" applyFill="1" applyBorder="1" applyAlignment="1">
      <alignment vertical="center"/>
    </xf>
  </cellXfs>
  <cellStyles count="7">
    <cellStyle name="Įprastas" xfId="0" builtinId="0"/>
    <cellStyle name="Įprastas 2" xfId="1"/>
    <cellStyle name="Įprastas 3" xfId="2"/>
    <cellStyle name="Įprastas 4" xfId="3"/>
    <cellStyle name="Kablelis" xfId="4" builtinId="3"/>
    <cellStyle name="Normal 2" xfId="5"/>
    <cellStyle name="Normal_biudz uz 2001 atskaitomybe3" xfId="6"/>
  </cellStyles>
  <dxfs count="0"/>
  <tableStyles count="0" defaultTableStyle="TableStyleMedium9" defaultPivotStyle="PivotStyleLight16"/>
  <colors>
    <mruColors>
      <color rgb="FFCCFFCC"/>
      <color rgb="FF99CCFF"/>
      <color rgb="FFFFFF99"/>
      <color rgb="FFFFCC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Pasirinktinis 1">
      <a:dk1>
        <a:srgbClr val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/>
  <cols>
    <col min="1" max="1" width="22.7109375" style="105" customWidth="1"/>
    <col min="2" max="2" width="60.7109375" style="105" customWidth="1"/>
    <col min="3" max="16384" width="9.140625" style="105"/>
  </cols>
  <sheetData>
    <row r="1" spans="1:2">
      <c r="A1" s="1662" t="s">
        <v>83</v>
      </c>
      <c r="B1" s="1662"/>
    </row>
    <row r="2" spans="1:2" ht="31.5">
      <c r="A2" s="106" t="s">
        <v>4</v>
      </c>
      <c r="B2" s="107" t="s">
        <v>84</v>
      </c>
    </row>
    <row r="3" spans="1:2">
      <c r="A3" s="106" t="s">
        <v>85</v>
      </c>
      <c r="B3" s="107" t="s">
        <v>86</v>
      </c>
    </row>
    <row r="4" spans="1:2">
      <c r="A4" s="106" t="s">
        <v>87</v>
      </c>
      <c r="B4" s="107" t="s">
        <v>88</v>
      </c>
    </row>
    <row r="5" spans="1:2">
      <c r="A5" s="106" t="s">
        <v>89</v>
      </c>
      <c r="B5" s="107" t="s">
        <v>90</v>
      </c>
    </row>
    <row r="6" spans="1:2">
      <c r="A6" s="106" t="s">
        <v>91</v>
      </c>
      <c r="B6" s="107" t="s">
        <v>92</v>
      </c>
    </row>
    <row r="7" spans="1:2">
      <c r="A7" s="106" t="s">
        <v>93</v>
      </c>
      <c r="B7" s="107" t="s">
        <v>94</v>
      </c>
    </row>
    <row r="8" spans="1:2">
      <c r="A8" s="106" t="s">
        <v>95</v>
      </c>
      <c r="B8" s="107" t="s">
        <v>96</v>
      </c>
    </row>
    <row r="9" spans="1:2" ht="15.75" customHeight="1"/>
    <row r="10" spans="1:2" ht="15.75" customHeight="1">
      <c r="A10" s="1663" t="s">
        <v>97</v>
      </c>
      <c r="B10" s="1663"/>
    </row>
  </sheetData>
  <mergeCells count="2">
    <mergeCell ref="A1:B1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0"/>
  <sheetViews>
    <sheetView tabSelected="1" zoomScaleNormal="100" zoomScaleSheetLayoutView="100" workbookViewId="0">
      <selection activeCell="T15" sqref="T15"/>
    </sheetView>
  </sheetViews>
  <sheetFormatPr defaultRowHeight="12.75"/>
  <cols>
    <col min="1" max="3" width="2.85546875" style="1" customWidth="1"/>
    <col min="4" max="4" width="33.140625" style="2" customWidth="1"/>
    <col min="5" max="5" width="3.28515625" style="30" customWidth="1"/>
    <col min="6" max="6" width="2.85546875" style="8" customWidth="1"/>
    <col min="7" max="7" width="7.28515625" style="1" customWidth="1"/>
    <col min="8" max="8" width="9.85546875" style="1" customWidth="1"/>
    <col min="9" max="9" width="10.5703125" style="1" customWidth="1"/>
    <col min="10" max="10" width="9.5703125" style="1" customWidth="1"/>
    <col min="11" max="11" width="35" style="1" customWidth="1"/>
    <col min="12" max="12" width="5.5703125" style="72" customWidth="1"/>
    <col min="13" max="13" width="4.7109375" style="72" customWidth="1"/>
    <col min="14" max="14" width="5" style="72" customWidth="1"/>
    <col min="15" max="15" width="5.28515625" style="1" customWidth="1"/>
    <col min="16" max="16384" width="9.140625" style="1"/>
  </cols>
  <sheetData>
    <row r="1" spans="1:14" s="2" customFormat="1" ht="15.75">
      <c r="A1" s="1878" t="s">
        <v>327</v>
      </c>
      <c r="B1" s="1878"/>
      <c r="C1" s="1878"/>
      <c r="D1" s="1878"/>
      <c r="E1" s="1878"/>
      <c r="F1" s="1878"/>
      <c r="G1" s="1878"/>
      <c r="H1" s="1878"/>
      <c r="I1" s="1878"/>
      <c r="J1" s="1878"/>
      <c r="K1" s="1878"/>
      <c r="L1" s="1878"/>
      <c r="M1" s="1878"/>
      <c r="N1" s="1878"/>
    </row>
    <row r="2" spans="1:14" s="2" customFormat="1" ht="15" customHeight="1">
      <c r="A2" s="1664" t="s">
        <v>133</v>
      </c>
      <c r="B2" s="1665"/>
      <c r="C2" s="1665"/>
      <c r="D2" s="1665"/>
      <c r="E2" s="1665"/>
      <c r="F2" s="1665"/>
      <c r="G2" s="1665"/>
      <c r="H2" s="1665"/>
      <c r="I2" s="1665"/>
      <c r="J2" s="1665"/>
      <c r="K2" s="1665"/>
      <c r="L2" s="1665"/>
      <c r="M2" s="1665"/>
      <c r="N2" s="1665"/>
    </row>
    <row r="3" spans="1:14" s="2" customFormat="1" ht="15.75">
      <c r="A3" s="1878" t="s">
        <v>59</v>
      </c>
      <c r="B3" s="1878"/>
      <c r="C3" s="1878"/>
      <c r="D3" s="1878"/>
      <c r="E3" s="1878"/>
      <c r="F3" s="1878"/>
      <c r="G3" s="1878"/>
      <c r="H3" s="1878"/>
      <c r="I3" s="1878"/>
      <c r="J3" s="1878"/>
      <c r="K3" s="1878"/>
      <c r="L3" s="1878"/>
      <c r="M3" s="1878"/>
      <c r="N3" s="1878"/>
    </row>
    <row r="4" spans="1:14" s="2" customFormat="1" ht="13.5" thickBot="1">
      <c r="E4" s="30"/>
      <c r="F4" s="89"/>
      <c r="J4" s="962"/>
      <c r="K4" s="962"/>
      <c r="L4" s="1666" t="s">
        <v>287</v>
      </c>
      <c r="M4" s="1667"/>
      <c r="N4" s="1667"/>
    </row>
    <row r="5" spans="1:14" s="11" customFormat="1" ht="22.5" customHeight="1">
      <c r="A5" s="1879" t="s">
        <v>166</v>
      </c>
      <c r="B5" s="1882" t="s">
        <v>1</v>
      </c>
      <c r="C5" s="1882" t="s">
        <v>2</v>
      </c>
      <c r="D5" s="1885" t="s">
        <v>21</v>
      </c>
      <c r="E5" s="1888" t="s">
        <v>3</v>
      </c>
      <c r="F5" s="1912" t="s">
        <v>4</v>
      </c>
      <c r="G5" s="1915" t="s">
        <v>5</v>
      </c>
      <c r="H5" s="1891" t="s">
        <v>172</v>
      </c>
      <c r="I5" s="1902" t="s">
        <v>82</v>
      </c>
      <c r="J5" s="1902" t="s">
        <v>173</v>
      </c>
      <c r="K5" s="1905" t="s">
        <v>67</v>
      </c>
      <c r="L5" s="1906"/>
      <c r="M5" s="1906"/>
      <c r="N5" s="1907"/>
    </row>
    <row r="6" spans="1:14" s="11" customFormat="1" ht="12.75" customHeight="1">
      <c r="A6" s="1880"/>
      <c r="B6" s="1883"/>
      <c r="C6" s="1883"/>
      <c r="D6" s="1886"/>
      <c r="E6" s="1889"/>
      <c r="F6" s="1913"/>
      <c r="G6" s="1916"/>
      <c r="H6" s="1892"/>
      <c r="I6" s="1903"/>
      <c r="J6" s="1903"/>
      <c r="K6" s="1894" t="s">
        <v>21</v>
      </c>
      <c r="L6" s="1896" t="s">
        <v>259</v>
      </c>
      <c r="M6" s="1897"/>
      <c r="N6" s="1898"/>
    </row>
    <row r="7" spans="1:14" s="11" customFormat="1" ht="83.25" customHeight="1" thickBot="1">
      <c r="A7" s="1881"/>
      <c r="B7" s="1884"/>
      <c r="C7" s="1884"/>
      <c r="D7" s="1887"/>
      <c r="E7" s="1890"/>
      <c r="F7" s="1914"/>
      <c r="G7" s="1917"/>
      <c r="H7" s="1893"/>
      <c r="I7" s="1904"/>
      <c r="J7" s="1904"/>
      <c r="K7" s="1895"/>
      <c r="L7" s="596" t="s">
        <v>68</v>
      </c>
      <c r="M7" s="596" t="s">
        <v>105</v>
      </c>
      <c r="N7" s="597" t="s">
        <v>180</v>
      </c>
    </row>
    <row r="8" spans="1:14" s="2" customFormat="1" ht="16.5" customHeight="1">
      <c r="A8" s="1899" t="s">
        <v>30</v>
      </c>
      <c r="B8" s="1900"/>
      <c r="C8" s="1900"/>
      <c r="D8" s="1900"/>
      <c r="E8" s="1900"/>
      <c r="F8" s="1900"/>
      <c r="G8" s="1900"/>
      <c r="H8" s="1900"/>
      <c r="I8" s="1900"/>
      <c r="J8" s="1900"/>
      <c r="K8" s="1900"/>
      <c r="L8" s="1900"/>
      <c r="M8" s="1900"/>
      <c r="N8" s="1901"/>
    </row>
    <row r="9" spans="1:14" s="2" customFormat="1" ht="13.5" customHeight="1">
      <c r="A9" s="1856" t="s">
        <v>62</v>
      </c>
      <c r="B9" s="1857"/>
      <c r="C9" s="1857"/>
      <c r="D9" s="1857"/>
      <c r="E9" s="1857"/>
      <c r="F9" s="1857"/>
      <c r="G9" s="1857"/>
      <c r="H9" s="1857"/>
      <c r="I9" s="1857"/>
      <c r="J9" s="1857"/>
      <c r="K9" s="1857"/>
      <c r="L9" s="1857"/>
      <c r="M9" s="1857"/>
      <c r="N9" s="1858"/>
    </row>
    <row r="10" spans="1:14" s="2" customFormat="1" ht="12.75" customHeight="1">
      <c r="A10" s="315" t="s">
        <v>8</v>
      </c>
      <c r="B10" s="1859" t="s">
        <v>50</v>
      </c>
      <c r="C10" s="1859"/>
      <c r="D10" s="1859"/>
      <c r="E10" s="1859"/>
      <c r="F10" s="1859"/>
      <c r="G10" s="1859"/>
      <c r="H10" s="1859"/>
      <c r="I10" s="1859"/>
      <c r="J10" s="1859"/>
      <c r="K10" s="1859"/>
      <c r="L10" s="1859"/>
      <c r="M10" s="1859"/>
      <c r="N10" s="1860"/>
    </row>
    <row r="11" spans="1:14" s="2" customFormat="1">
      <c r="A11" s="316" t="s">
        <v>8</v>
      </c>
      <c r="B11" s="208" t="s">
        <v>8</v>
      </c>
      <c r="C11" s="1861" t="s">
        <v>52</v>
      </c>
      <c r="D11" s="1862"/>
      <c r="E11" s="1862"/>
      <c r="F11" s="1862"/>
      <c r="G11" s="1862"/>
      <c r="H11" s="1862"/>
      <c r="I11" s="1862"/>
      <c r="J11" s="1862"/>
      <c r="K11" s="1862"/>
      <c r="L11" s="1862"/>
      <c r="M11" s="1862"/>
      <c r="N11" s="1863"/>
    </row>
    <row r="12" spans="1:14" s="11" customFormat="1" ht="12" customHeight="1">
      <c r="A12" s="317" t="s">
        <v>8</v>
      </c>
      <c r="B12" s="86" t="s">
        <v>8</v>
      </c>
      <c r="C12" s="698" t="s">
        <v>8</v>
      </c>
      <c r="D12" s="1864" t="s">
        <v>329</v>
      </c>
      <c r="E12" s="1866" t="s">
        <v>222</v>
      </c>
      <c r="F12" s="1869" t="s">
        <v>53</v>
      </c>
      <c r="G12" s="93" t="s">
        <v>12</v>
      </c>
      <c r="H12" s="1000">
        <f>(20179+983.3)/3.4528*1000</f>
        <v>6129026</v>
      </c>
      <c r="I12" s="958">
        <f>(19816.1-857.2)*1000/3.4528</f>
        <v>5490877</v>
      </c>
      <c r="J12" s="958">
        <f>18814.6*1000/3.4528</f>
        <v>5449085</v>
      </c>
      <c r="K12" s="383"/>
      <c r="L12" s="699"/>
      <c r="M12" s="699"/>
      <c r="N12" s="700"/>
    </row>
    <row r="13" spans="1:14" s="2" customFormat="1" ht="13.5" customHeight="1">
      <c r="A13" s="1407"/>
      <c r="B13" s="1409"/>
      <c r="C13" s="1411"/>
      <c r="D13" s="1692"/>
      <c r="E13" s="1867"/>
      <c r="F13" s="1870"/>
      <c r="G13" s="400" t="s">
        <v>61</v>
      </c>
      <c r="H13" s="993">
        <f>11.6*1000/3.4528</f>
        <v>3360</v>
      </c>
      <c r="I13" s="994">
        <f>11.6*1000/3.4528</f>
        <v>3360</v>
      </c>
      <c r="J13" s="995">
        <f>11.6*1000/3.4528</f>
        <v>3360</v>
      </c>
      <c r="K13" s="1428"/>
      <c r="L13" s="188"/>
      <c r="M13" s="188"/>
      <c r="N13" s="189"/>
    </row>
    <row r="14" spans="1:14" s="2" customFormat="1" ht="14.25" customHeight="1">
      <c r="A14" s="1694"/>
      <c r="B14" s="1848"/>
      <c r="C14" s="1698"/>
      <c r="D14" s="1692"/>
      <c r="E14" s="1867"/>
      <c r="F14" s="1870"/>
      <c r="G14" s="21" t="s">
        <v>130</v>
      </c>
      <c r="H14" s="996">
        <f>81.9/3.4528*1000</f>
        <v>23720</v>
      </c>
      <c r="I14" s="997">
        <f>81*1000/3.4528</f>
        <v>23459</v>
      </c>
      <c r="J14" s="997">
        <f>81/3.4528*1000</f>
        <v>23459</v>
      </c>
      <c r="K14" s="963"/>
      <c r="L14" s="964"/>
      <c r="M14" s="964"/>
      <c r="N14" s="965"/>
    </row>
    <row r="15" spans="1:14" s="2" customFormat="1" ht="14.25" customHeight="1">
      <c r="A15" s="1694"/>
      <c r="B15" s="1848"/>
      <c r="C15" s="1698"/>
      <c r="D15" s="1692"/>
      <c r="E15" s="1867"/>
      <c r="F15" s="1870"/>
      <c r="G15" s="21" t="s">
        <v>47</v>
      </c>
      <c r="H15" s="996">
        <v>713867</v>
      </c>
      <c r="I15" s="997">
        <f>2524*1000/3.4528</f>
        <v>731001</v>
      </c>
      <c r="J15" s="997">
        <f>2524/3.4528*1000</f>
        <v>731001</v>
      </c>
      <c r="K15" s="1515"/>
      <c r="L15" s="964"/>
      <c r="M15" s="964"/>
      <c r="N15" s="965"/>
    </row>
    <row r="16" spans="1:14" s="2" customFormat="1" ht="15.75" customHeight="1">
      <c r="A16" s="1694"/>
      <c r="B16" s="1848"/>
      <c r="C16" s="1698"/>
      <c r="D16" s="1692"/>
      <c r="E16" s="1867"/>
      <c r="F16" s="1870"/>
      <c r="G16" s="21" t="s">
        <v>178</v>
      </c>
      <c r="H16" s="996">
        <f>3181</f>
        <v>3181</v>
      </c>
      <c r="I16" s="997"/>
      <c r="J16" s="997"/>
      <c r="K16" s="1512"/>
      <c r="L16" s="1513"/>
      <c r="M16" s="1513"/>
      <c r="N16" s="1514"/>
    </row>
    <row r="17" spans="1:15" s="2" customFormat="1" ht="27" customHeight="1">
      <c r="A17" s="1694"/>
      <c r="B17" s="1848"/>
      <c r="C17" s="1698"/>
      <c r="D17" s="1692"/>
      <c r="E17" s="1867"/>
      <c r="F17" s="1870"/>
      <c r="G17" s="394" t="s">
        <v>369</v>
      </c>
      <c r="H17" s="998">
        <v>18</v>
      </c>
      <c r="I17" s="999"/>
      <c r="J17" s="999"/>
      <c r="K17" s="383" t="s">
        <v>256</v>
      </c>
      <c r="L17" s="1435">
        <v>439.5</v>
      </c>
      <c r="M17" s="1435">
        <v>439.5</v>
      </c>
      <c r="N17" s="1436">
        <v>439.5</v>
      </c>
    </row>
    <row r="18" spans="1:15" s="2" customFormat="1" ht="30.75" customHeight="1">
      <c r="A18" s="1694"/>
      <c r="B18" s="1848"/>
      <c r="C18" s="1698"/>
      <c r="D18" s="1692"/>
      <c r="E18" s="1867"/>
      <c r="F18" s="1870"/>
      <c r="G18" s="394"/>
      <c r="H18" s="998"/>
      <c r="I18" s="999"/>
      <c r="J18" s="999"/>
      <c r="K18" s="778" t="s">
        <v>263</v>
      </c>
      <c r="L18" s="466" t="s">
        <v>186</v>
      </c>
      <c r="M18" s="466" t="s">
        <v>186</v>
      </c>
      <c r="N18" s="467" t="s">
        <v>187</v>
      </c>
    </row>
    <row r="19" spans="1:15" s="2" customFormat="1" ht="15" customHeight="1">
      <c r="A19" s="1694"/>
      <c r="B19" s="1848"/>
      <c r="C19" s="1698"/>
      <c r="D19" s="1692"/>
      <c r="E19" s="1867"/>
      <c r="F19" s="1870"/>
      <c r="G19" s="394"/>
      <c r="H19" s="998"/>
      <c r="I19" s="999"/>
      <c r="J19" s="999"/>
      <c r="K19" s="407" t="s">
        <v>183</v>
      </c>
      <c r="L19" s="408">
        <v>1</v>
      </c>
      <c r="M19" s="408">
        <v>2</v>
      </c>
      <c r="N19" s="409">
        <v>1</v>
      </c>
    </row>
    <row r="20" spans="1:15" s="2" customFormat="1" ht="15.75" customHeight="1">
      <c r="A20" s="1694"/>
      <c r="B20" s="1848"/>
      <c r="C20" s="1698"/>
      <c r="D20" s="1692"/>
      <c r="E20" s="1867"/>
      <c r="F20" s="1870"/>
      <c r="G20" s="394"/>
      <c r="H20" s="998"/>
      <c r="I20" s="999"/>
      <c r="J20" s="1025"/>
      <c r="K20" s="656" t="s">
        <v>326</v>
      </c>
      <c r="L20" s="427">
        <v>70</v>
      </c>
      <c r="M20" s="427">
        <v>70</v>
      </c>
      <c r="N20" s="428">
        <v>70</v>
      </c>
    </row>
    <row r="21" spans="1:15" s="2" customFormat="1" ht="27" customHeight="1">
      <c r="A21" s="1694"/>
      <c r="B21" s="1848"/>
      <c r="C21" s="1698"/>
      <c r="D21" s="1692"/>
      <c r="E21" s="1867"/>
      <c r="F21" s="1870"/>
      <c r="G21" s="394"/>
      <c r="H21" s="998"/>
      <c r="I21" s="1106"/>
      <c r="J21" s="1025"/>
      <c r="K21" s="434" t="s">
        <v>325</v>
      </c>
      <c r="L21" s="427">
        <v>10</v>
      </c>
      <c r="M21" s="427">
        <v>10</v>
      </c>
      <c r="N21" s="428">
        <v>10</v>
      </c>
    </row>
    <row r="22" spans="1:15" s="2" customFormat="1" ht="25.5">
      <c r="A22" s="1407"/>
      <c r="B22" s="1417"/>
      <c r="C22" s="1411"/>
      <c r="D22" s="1692"/>
      <c r="E22" s="1867"/>
      <c r="F22" s="1870"/>
      <c r="G22" s="394"/>
      <c r="H22" s="998"/>
      <c r="I22" s="1106"/>
      <c r="J22" s="1025"/>
      <c r="K22" s="722" t="s">
        <v>257</v>
      </c>
      <c r="L22" s="1039">
        <v>130</v>
      </c>
      <c r="M22" s="1039">
        <v>130</v>
      </c>
      <c r="N22" s="1040">
        <v>130</v>
      </c>
    </row>
    <row r="23" spans="1:15" s="2" customFormat="1" ht="24.75" customHeight="1">
      <c r="A23" s="319"/>
      <c r="B23" s="1409"/>
      <c r="C23" s="1411"/>
      <c r="D23" s="1692"/>
      <c r="E23" s="1867"/>
      <c r="F23" s="1870"/>
      <c r="G23" s="839"/>
      <c r="H23" s="998"/>
      <c r="I23" s="1107"/>
      <c r="J23" s="955"/>
      <c r="K23" s="779" t="s">
        <v>260</v>
      </c>
      <c r="L23" s="780" t="s">
        <v>194</v>
      </c>
      <c r="M23" s="780" t="s">
        <v>194</v>
      </c>
      <c r="N23" s="781" t="s">
        <v>194</v>
      </c>
    </row>
    <row r="24" spans="1:15" s="2" customFormat="1" ht="22.5" customHeight="1">
      <c r="A24" s="319"/>
      <c r="B24" s="1409"/>
      <c r="C24" s="1411"/>
      <c r="D24" s="1692"/>
      <c r="E24" s="1867"/>
      <c r="F24" s="1870"/>
      <c r="G24" s="93"/>
      <c r="H24" s="1000"/>
      <c r="I24" s="1001"/>
      <c r="J24" s="957"/>
      <c r="K24" s="1872" t="s">
        <v>274</v>
      </c>
      <c r="L24" s="831">
        <v>2</v>
      </c>
      <c r="M24" s="948" t="s">
        <v>225</v>
      </c>
      <c r="N24" s="949" t="s">
        <v>225</v>
      </c>
    </row>
    <row r="25" spans="1:15" s="2" customFormat="1" ht="20.25" customHeight="1" thickBot="1">
      <c r="A25" s="320"/>
      <c r="B25" s="1410"/>
      <c r="C25" s="697"/>
      <c r="D25" s="1865"/>
      <c r="E25" s="1868"/>
      <c r="F25" s="1871"/>
      <c r="G25" s="1413" t="s">
        <v>15</v>
      </c>
      <c r="H25" s="1002">
        <f>SUM(H12:H23)</f>
        <v>6873172</v>
      </c>
      <c r="I25" s="1003">
        <f>SUM(I12:I23)</f>
        <v>6248697</v>
      </c>
      <c r="J25" s="1002">
        <f>SUM(J12:J23)</f>
        <v>6206905</v>
      </c>
      <c r="K25" s="1873"/>
      <c r="L25" s="125"/>
      <c r="M25" s="188"/>
      <c r="N25" s="189"/>
      <c r="O25" s="17"/>
    </row>
    <row r="26" spans="1:15" s="2" customFormat="1" ht="21" customHeight="1">
      <c r="A26" s="1694" t="s">
        <v>8</v>
      </c>
      <c r="B26" s="1848" t="s">
        <v>8</v>
      </c>
      <c r="C26" s="1822" t="s">
        <v>9</v>
      </c>
      <c r="D26" s="1850" t="s">
        <v>118</v>
      </c>
      <c r="E26" s="1835"/>
      <c r="F26" s="1832" t="s">
        <v>53</v>
      </c>
      <c r="G26" s="10" t="s">
        <v>12</v>
      </c>
      <c r="H26" s="1004">
        <f>449.7/3.4528*1000</f>
        <v>130242</v>
      </c>
      <c r="I26" s="1005">
        <f>450*1000/3.4528</f>
        <v>130329</v>
      </c>
      <c r="J26" s="1006">
        <f>450*1000/3.4528</f>
        <v>130329</v>
      </c>
      <c r="K26" s="1854" t="s">
        <v>143</v>
      </c>
      <c r="L26" s="1910">
        <v>7</v>
      </c>
      <c r="M26" s="1910">
        <v>8</v>
      </c>
      <c r="N26" s="1908">
        <v>9</v>
      </c>
    </row>
    <row r="27" spans="1:15" s="2" customFormat="1" ht="17.25" customHeight="1" thickBot="1">
      <c r="A27" s="1695"/>
      <c r="B27" s="1849"/>
      <c r="C27" s="1811"/>
      <c r="D27" s="1846"/>
      <c r="E27" s="1814"/>
      <c r="F27" s="1851"/>
      <c r="G27" s="222" t="s">
        <v>15</v>
      </c>
      <c r="H27" s="1007">
        <f t="shared" ref="H27:J27" si="0">H26</f>
        <v>130242</v>
      </c>
      <c r="I27" s="1008">
        <f t="shared" si="0"/>
        <v>130329</v>
      </c>
      <c r="J27" s="1002">
        <f t="shared" si="0"/>
        <v>130329</v>
      </c>
      <c r="K27" s="1855"/>
      <c r="L27" s="1911"/>
      <c r="M27" s="1911"/>
      <c r="N27" s="1909"/>
    </row>
    <row r="28" spans="1:15" s="2" customFormat="1" ht="12.75" customHeight="1">
      <c r="A28" s="1694" t="s">
        <v>8</v>
      </c>
      <c r="B28" s="1848" t="s">
        <v>8</v>
      </c>
      <c r="C28" s="1822" t="s">
        <v>10</v>
      </c>
      <c r="D28" s="1850" t="s">
        <v>48</v>
      </c>
      <c r="E28" s="1835"/>
      <c r="F28" s="1832" t="s">
        <v>53</v>
      </c>
      <c r="G28" s="12" t="s">
        <v>12</v>
      </c>
      <c r="H28" s="1004">
        <f>844.9*1000/3.4528</f>
        <v>244700</v>
      </c>
      <c r="I28" s="1005">
        <f>844/3.4528*1000</f>
        <v>244439</v>
      </c>
      <c r="J28" s="1006">
        <f>844/3.4528*1000</f>
        <v>244439</v>
      </c>
      <c r="K28" s="1852" t="s">
        <v>142</v>
      </c>
      <c r="L28" s="1420">
        <v>31</v>
      </c>
      <c r="M28" s="1420">
        <v>31</v>
      </c>
      <c r="N28" s="1418">
        <v>31</v>
      </c>
    </row>
    <row r="29" spans="1:15" s="2" customFormat="1" ht="14.25" customHeight="1" thickBot="1">
      <c r="A29" s="1695"/>
      <c r="B29" s="1849"/>
      <c r="C29" s="1811"/>
      <c r="D29" s="1846"/>
      <c r="E29" s="1814"/>
      <c r="F29" s="1851"/>
      <c r="G29" s="222" t="s">
        <v>15</v>
      </c>
      <c r="H29" s="1007">
        <f>H28</f>
        <v>244700</v>
      </c>
      <c r="I29" s="1002">
        <f t="shared" ref="I29:J29" si="1">I28</f>
        <v>244439</v>
      </c>
      <c r="J29" s="1002">
        <f t="shared" si="1"/>
        <v>244439</v>
      </c>
      <c r="K29" s="1853"/>
      <c r="L29" s="1421"/>
      <c r="M29" s="1421"/>
      <c r="N29" s="1419"/>
    </row>
    <row r="30" spans="1:15" s="2" customFormat="1" ht="18" customHeight="1">
      <c r="A30" s="1754" t="s">
        <v>8</v>
      </c>
      <c r="B30" s="1755" t="s">
        <v>8</v>
      </c>
      <c r="C30" s="1810" t="s">
        <v>11</v>
      </c>
      <c r="D30" s="1845" t="s">
        <v>137</v>
      </c>
      <c r="E30" s="1813"/>
      <c r="F30" s="1831" t="s">
        <v>53</v>
      </c>
      <c r="G30" s="19" t="s">
        <v>12</v>
      </c>
      <c r="H30" s="1237">
        <f>(316.8+5.5)/3.4528*1000</f>
        <v>93345</v>
      </c>
      <c r="I30" s="1009">
        <f>320/3.4528*1000</f>
        <v>92678</v>
      </c>
      <c r="J30" s="1009">
        <f>320/3.4528*1000</f>
        <v>92678</v>
      </c>
      <c r="K30" s="1854" t="s">
        <v>78</v>
      </c>
      <c r="L30" s="1841">
        <v>7</v>
      </c>
      <c r="M30" s="1841">
        <v>7</v>
      </c>
      <c r="N30" s="1843">
        <v>7</v>
      </c>
    </row>
    <row r="31" spans="1:15" s="2" customFormat="1" ht="21.75" customHeight="1" thickBot="1">
      <c r="A31" s="1695"/>
      <c r="B31" s="1697"/>
      <c r="C31" s="1811"/>
      <c r="D31" s="1846"/>
      <c r="E31" s="1814"/>
      <c r="F31" s="1851"/>
      <c r="G31" s="220" t="s">
        <v>15</v>
      </c>
      <c r="H31" s="1010">
        <f t="shared" ref="H31:J31" si="2">H30</f>
        <v>93345</v>
      </c>
      <c r="I31" s="1011">
        <f t="shared" si="2"/>
        <v>92678</v>
      </c>
      <c r="J31" s="1011">
        <f t="shared" si="2"/>
        <v>92678</v>
      </c>
      <c r="K31" s="1855"/>
      <c r="L31" s="1842"/>
      <c r="M31" s="1842"/>
      <c r="N31" s="1844"/>
    </row>
    <row r="32" spans="1:15" s="2" customFormat="1" ht="19.5" customHeight="1">
      <c r="A32" s="1754" t="s">
        <v>8</v>
      </c>
      <c r="B32" s="1755" t="s">
        <v>8</v>
      </c>
      <c r="C32" s="1810" t="s">
        <v>32</v>
      </c>
      <c r="D32" s="1845" t="s">
        <v>157</v>
      </c>
      <c r="E32" s="1813"/>
      <c r="F32" s="1831" t="s">
        <v>53</v>
      </c>
      <c r="G32" s="12" t="s">
        <v>12</v>
      </c>
      <c r="H32" s="1012">
        <f>42.4/3.4528*1000</f>
        <v>12280</v>
      </c>
      <c r="I32" s="1013">
        <f>42/3.4528*1000</f>
        <v>12164</v>
      </c>
      <c r="J32" s="1013">
        <f>42/3.4528*1000</f>
        <v>12164</v>
      </c>
      <c r="K32" s="64"/>
      <c r="L32" s="74"/>
      <c r="M32" s="74"/>
      <c r="N32" s="75"/>
    </row>
    <row r="33" spans="1:14" s="2" customFormat="1" ht="13.5" thickBot="1">
      <c r="A33" s="1694"/>
      <c r="B33" s="1696"/>
      <c r="C33" s="1822"/>
      <c r="D33" s="1847"/>
      <c r="E33" s="1835"/>
      <c r="F33" s="1832"/>
      <c r="G33" s="225" t="s">
        <v>15</v>
      </c>
      <c r="H33" s="1014">
        <f>SUM(H32:H32)</f>
        <v>12280</v>
      </c>
      <c r="I33" s="1014">
        <f>SUM(I32:I32)</f>
        <v>12164</v>
      </c>
      <c r="J33" s="1014">
        <f>SUM(J32:J32)</f>
        <v>12164</v>
      </c>
      <c r="K33" s="65"/>
      <c r="L33" s="188"/>
      <c r="M33" s="188"/>
      <c r="N33" s="189"/>
    </row>
    <row r="34" spans="1:14" s="2" customFormat="1" ht="25.5">
      <c r="A34" s="1414" t="s">
        <v>8</v>
      </c>
      <c r="B34" s="197" t="s">
        <v>8</v>
      </c>
      <c r="C34" s="701" t="s">
        <v>34</v>
      </c>
      <c r="D34" s="1412" t="s">
        <v>139</v>
      </c>
      <c r="E34" s="785"/>
      <c r="F34" s="1416"/>
      <c r="G34" s="10"/>
      <c r="H34" s="1015"/>
      <c r="I34" s="1006"/>
      <c r="J34" s="1006"/>
      <c r="K34" s="64"/>
      <c r="L34" s="114"/>
      <c r="M34" s="74"/>
      <c r="N34" s="75"/>
    </row>
    <row r="35" spans="1:14" s="2" customFormat="1" ht="27" customHeight="1">
      <c r="A35" s="1407"/>
      <c r="B35" s="196"/>
      <c r="C35" s="702"/>
      <c r="D35" s="1415" t="s">
        <v>120</v>
      </c>
      <c r="E35" s="247"/>
      <c r="F35" s="713" t="s">
        <v>53</v>
      </c>
      <c r="G35" s="12" t="s">
        <v>12</v>
      </c>
      <c r="H35" s="996">
        <f>(117.8+10.6)/3.4528*1000</f>
        <v>37187</v>
      </c>
      <c r="I35" s="952">
        <f>117.8/3.4528*1000</f>
        <v>34117</v>
      </c>
      <c r="J35" s="952">
        <f>118/3.4528*1000</f>
        <v>34175</v>
      </c>
      <c r="K35" s="65"/>
      <c r="L35" s="118"/>
      <c r="M35" s="109"/>
      <c r="N35" s="108"/>
    </row>
    <row r="36" spans="1:14" s="2" customFormat="1" ht="90.75" customHeight="1">
      <c r="A36" s="1407"/>
      <c r="B36" s="196"/>
      <c r="C36" s="702"/>
      <c r="D36" s="593" t="s">
        <v>283</v>
      </c>
      <c r="E36" s="786"/>
      <c r="F36" s="714" t="s">
        <v>54</v>
      </c>
      <c r="G36" s="585" t="s">
        <v>12</v>
      </c>
      <c r="H36" s="1016">
        <f>107.8/3.4528*1000</f>
        <v>31221</v>
      </c>
      <c r="I36" s="953">
        <f>132/3.4528*1000</f>
        <v>38230</v>
      </c>
      <c r="J36" s="953">
        <f>132/3.4528*1000</f>
        <v>38230</v>
      </c>
      <c r="K36" s="590" t="s">
        <v>262</v>
      </c>
      <c r="L36" s="423">
        <v>7</v>
      </c>
      <c r="M36" s="528">
        <v>7</v>
      </c>
      <c r="N36" s="424">
        <v>7</v>
      </c>
    </row>
    <row r="37" spans="1:14" s="2" customFormat="1">
      <c r="A37" s="1407"/>
      <c r="B37" s="196"/>
      <c r="C37" s="1422"/>
      <c r="D37" s="1836" t="s">
        <v>206</v>
      </c>
      <c r="E37" s="1837"/>
      <c r="F37" s="1839"/>
      <c r="G37" s="704"/>
      <c r="H37" s="1036"/>
      <c r="I37" s="1037"/>
      <c r="J37" s="1037"/>
      <c r="K37" s="705" t="s">
        <v>261</v>
      </c>
      <c r="L37" s="706">
        <v>2</v>
      </c>
      <c r="M37" s="706">
        <v>5</v>
      </c>
      <c r="N37" s="707">
        <v>5</v>
      </c>
    </row>
    <row r="38" spans="1:14" s="2" customFormat="1" ht="27.75" customHeight="1" thickBot="1">
      <c r="A38" s="1408"/>
      <c r="B38" s="1410"/>
      <c r="C38" s="697"/>
      <c r="D38" s="1712"/>
      <c r="E38" s="1838"/>
      <c r="F38" s="1840"/>
      <c r="G38" s="222" t="s">
        <v>15</v>
      </c>
      <c r="H38" s="1038">
        <f>SUM(H35:H37)</f>
        <v>68408</v>
      </c>
      <c r="I38" s="1038">
        <f t="shared" ref="I38:J38" si="3">SUM(I35:I37)</f>
        <v>72347</v>
      </c>
      <c r="J38" s="1038">
        <f t="shared" si="3"/>
        <v>72405</v>
      </c>
      <c r="K38" s="708"/>
      <c r="L38" s="709"/>
      <c r="M38" s="709"/>
      <c r="N38" s="710"/>
    </row>
    <row r="39" spans="1:14" s="11" customFormat="1" ht="12.75" customHeight="1">
      <c r="A39" s="1694" t="s">
        <v>8</v>
      </c>
      <c r="B39" s="1696" t="s">
        <v>8</v>
      </c>
      <c r="C39" s="1822" t="s">
        <v>35</v>
      </c>
      <c r="D39" s="1833" t="s">
        <v>28</v>
      </c>
      <c r="E39" s="1825"/>
      <c r="F39" s="1834" t="s">
        <v>53</v>
      </c>
      <c r="G39" s="1429" t="s">
        <v>12</v>
      </c>
      <c r="H39" s="1087">
        <f>4439883-393070</f>
        <v>4046813</v>
      </c>
      <c r="I39" s="1222">
        <f>16139.8/3.4528*1000</f>
        <v>4674409</v>
      </c>
      <c r="J39" s="1222">
        <f>13793.1/3.4528*1000</f>
        <v>3994758</v>
      </c>
      <c r="K39" s="1852" t="s">
        <v>106</v>
      </c>
      <c r="L39" s="968">
        <v>6</v>
      </c>
      <c r="M39" s="968">
        <v>7</v>
      </c>
      <c r="N39" s="966">
        <v>8</v>
      </c>
    </row>
    <row r="40" spans="1:14" s="11" customFormat="1" ht="12.75" customHeight="1">
      <c r="A40" s="1694"/>
      <c r="B40" s="1696"/>
      <c r="C40" s="1822"/>
      <c r="D40" s="1833"/>
      <c r="E40" s="1825"/>
      <c r="F40" s="1834"/>
      <c r="G40" s="1426" t="s">
        <v>179</v>
      </c>
      <c r="H40" s="998">
        <v>4792058</v>
      </c>
      <c r="I40" s="955"/>
      <c r="J40" s="1392"/>
      <c r="K40" s="1876"/>
      <c r="L40" s="188"/>
      <c r="M40" s="188"/>
      <c r="N40" s="189"/>
    </row>
    <row r="41" spans="1:14" s="11" customFormat="1" ht="13.5" thickBot="1">
      <c r="A41" s="1695"/>
      <c r="B41" s="1697"/>
      <c r="C41" s="1811"/>
      <c r="D41" s="1824"/>
      <c r="E41" s="1826"/>
      <c r="F41" s="1830"/>
      <c r="G41" s="227" t="s">
        <v>15</v>
      </c>
      <c r="H41" s="1011">
        <f>H39+H40</f>
        <v>8838871</v>
      </c>
      <c r="I41" s="1011">
        <f t="shared" ref="I41:J41" si="4">SUM(I39:I39)</f>
        <v>4674409</v>
      </c>
      <c r="J41" s="1017">
        <f t="shared" si="4"/>
        <v>3994758</v>
      </c>
      <c r="K41" s="1877"/>
      <c r="L41" s="969"/>
      <c r="M41" s="969"/>
      <c r="N41" s="967"/>
    </row>
    <row r="42" spans="1:14" s="11" customFormat="1" ht="12.75" customHeight="1">
      <c r="A42" s="1754" t="s">
        <v>8</v>
      </c>
      <c r="B42" s="1755" t="s">
        <v>8</v>
      </c>
      <c r="C42" s="1822" t="s">
        <v>36</v>
      </c>
      <c r="D42" s="1823" t="s">
        <v>81</v>
      </c>
      <c r="E42" s="1825"/>
      <c r="F42" s="1829" t="s">
        <v>53</v>
      </c>
      <c r="G42" s="156" t="s">
        <v>12</v>
      </c>
      <c r="H42" s="1018">
        <f>100/3.4528*1000</f>
        <v>28962</v>
      </c>
      <c r="I42" s="1019">
        <f>100/3.4528*1000</f>
        <v>28962</v>
      </c>
      <c r="J42" s="1020">
        <f>100/3.4528*1000</f>
        <v>28962</v>
      </c>
      <c r="K42" s="62"/>
      <c r="L42" s="74"/>
      <c r="M42" s="74"/>
      <c r="N42" s="75"/>
    </row>
    <row r="43" spans="1:14" s="11" customFormat="1" ht="13.5" thickBot="1">
      <c r="A43" s="1695"/>
      <c r="B43" s="1697"/>
      <c r="C43" s="1811"/>
      <c r="D43" s="1824"/>
      <c r="E43" s="1826"/>
      <c r="F43" s="1830"/>
      <c r="G43" s="227" t="s">
        <v>15</v>
      </c>
      <c r="H43" s="1021">
        <f>H42</f>
        <v>28962</v>
      </c>
      <c r="I43" s="1011">
        <f t="shared" ref="I43:J43" si="5">SUM(I42:I42)</f>
        <v>28962</v>
      </c>
      <c r="J43" s="1017">
        <f t="shared" si="5"/>
        <v>28962</v>
      </c>
      <c r="K43" s="63"/>
      <c r="L43" s="78"/>
      <c r="M43" s="78"/>
      <c r="N43" s="79"/>
    </row>
    <row r="44" spans="1:14" s="2" customFormat="1" ht="17.100000000000001" customHeight="1">
      <c r="A44" s="321" t="s">
        <v>8</v>
      </c>
      <c r="B44" s="85" t="s">
        <v>8</v>
      </c>
      <c r="C44" s="711" t="s">
        <v>37</v>
      </c>
      <c r="D44" s="1798" t="s">
        <v>138</v>
      </c>
      <c r="E44" s="787"/>
      <c r="F44" s="1090">
        <v>1</v>
      </c>
      <c r="G44" s="10" t="s">
        <v>12</v>
      </c>
      <c r="H44" s="1087">
        <f>(809.5/3.4528*1000)+15000</f>
        <v>249447</v>
      </c>
      <c r="I44" s="1032">
        <f>(1316.6+25)/3.4528*1000</f>
        <v>388554</v>
      </c>
      <c r="J44" s="1022">
        <f>(896.5+25)/3.4528*1000</f>
        <v>266885</v>
      </c>
      <c r="K44" s="271"/>
      <c r="L44" s="186"/>
      <c r="M44" s="272"/>
      <c r="N44" s="1091"/>
    </row>
    <row r="45" spans="1:14" s="2" customFormat="1" ht="17.100000000000001" customHeight="1">
      <c r="A45" s="317"/>
      <c r="B45" s="86"/>
      <c r="C45" s="696"/>
      <c r="D45" s="1692"/>
      <c r="E45" s="788"/>
      <c r="F45" s="279"/>
      <c r="G45" s="14" t="s">
        <v>379</v>
      </c>
      <c r="H45" s="1023">
        <f>40/3.4528*1000</f>
        <v>11585</v>
      </c>
      <c r="I45" s="1394">
        <f>30/3.4528*1000</f>
        <v>8689</v>
      </c>
      <c r="J45" s="952">
        <f>30/3.4528*1000</f>
        <v>8689</v>
      </c>
      <c r="K45" s="1396"/>
      <c r="L45" s="187"/>
      <c r="M45" s="556"/>
      <c r="N45" s="189"/>
    </row>
    <row r="46" spans="1:14" s="2" customFormat="1" ht="17.100000000000001" customHeight="1">
      <c r="A46" s="317"/>
      <c r="B46" s="86"/>
      <c r="C46" s="696"/>
      <c r="D46" s="1693"/>
      <c r="E46" s="788"/>
      <c r="F46" s="279"/>
      <c r="G46" s="14" t="s">
        <v>13</v>
      </c>
      <c r="H46" s="1023">
        <f>14/3.4528*1000</f>
        <v>4055</v>
      </c>
      <c r="I46" s="1394">
        <f>14/3.4528*1000</f>
        <v>4055</v>
      </c>
      <c r="J46" s="952">
        <f>5/3.4528*1000</f>
        <v>1448</v>
      </c>
      <c r="K46" s="112"/>
      <c r="L46" s="118"/>
      <c r="M46" s="130"/>
      <c r="N46" s="108"/>
    </row>
    <row r="47" spans="1:14" s="2" customFormat="1" ht="16.5" customHeight="1">
      <c r="A47" s="317"/>
      <c r="B47" s="86"/>
      <c r="C47" s="696"/>
      <c r="D47" s="1815" t="s">
        <v>158</v>
      </c>
      <c r="E47" s="1338"/>
      <c r="F47" s="1285"/>
      <c r="G47" s="1108"/>
      <c r="H47" s="1018"/>
      <c r="I47" s="1392"/>
      <c r="J47" s="955"/>
      <c r="K47" s="558" t="s">
        <v>264</v>
      </c>
      <c r="L47" s="187">
        <v>100</v>
      </c>
      <c r="M47" s="556">
        <v>100</v>
      </c>
      <c r="N47" s="189">
        <v>100</v>
      </c>
    </row>
    <row r="48" spans="1:14" s="2" customFormat="1" ht="15.75" customHeight="1">
      <c r="A48" s="317"/>
      <c r="B48" s="86"/>
      <c r="C48" s="696"/>
      <c r="D48" s="1815"/>
      <c r="E48" s="1338"/>
      <c r="F48" s="1285"/>
      <c r="G48" s="1108"/>
      <c r="H48" s="1018"/>
      <c r="I48" s="1392"/>
      <c r="J48" s="955"/>
      <c r="K48" s="566" t="s">
        <v>102</v>
      </c>
      <c r="L48" s="567">
        <v>38</v>
      </c>
      <c r="M48" s="759">
        <v>95</v>
      </c>
      <c r="N48" s="568">
        <v>95</v>
      </c>
    </row>
    <row r="49" spans="1:17" s="2" customFormat="1" ht="13.5" customHeight="1">
      <c r="A49" s="317"/>
      <c r="B49" s="86"/>
      <c r="C49" s="696"/>
      <c r="D49" s="1815"/>
      <c r="E49" s="1338"/>
      <c r="F49" s="1285"/>
      <c r="G49" s="1108"/>
      <c r="H49" s="1018"/>
      <c r="I49" s="1392"/>
      <c r="J49" s="955"/>
      <c r="K49" s="262" t="s">
        <v>265</v>
      </c>
      <c r="L49" s="118">
        <v>65</v>
      </c>
      <c r="M49" s="130">
        <v>40</v>
      </c>
      <c r="N49" s="108">
        <v>40</v>
      </c>
    </row>
    <row r="50" spans="1:17" s="2" customFormat="1" ht="16.5" customHeight="1">
      <c r="A50" s="317"/>
      <c r="B50" s="86"/>
      <c r="C50" s="696"/>
      <c r="D50" s="1816" t="s">
        <v>51</v>
      </c>
      <c r="E50" s="1289"/>
      <c r="F50" s="1285"/>
      <c r="G50" s="1108"/>
      <c r="H50" s="1018"/>
      <c r="I50" s="1392"/>
      <c r="J50" s="955"/>
      <c r="K50" s="422" t="s">
        <v>266</v>
      </c>
      <c r="L50" s="423">
        <v>19</v>
      </c>
      <c r="M50" s="760">
        <v>12</v>
      </c>
      <c r="N50" s="424">
        <v>12</v>
      </c>
    </row>
    <row r="51" spans="1:17" s="2" customFormat="1" ht="15.75" customHeight="1">
      <c r="A51" s="317"/>
      <c r="B51" s="86"/>
      <c r="C51" s="696"/>
      <c r="D51" s="1817"/>
      <c r="E51" s="1289"/>
      <c r="F51" s="1285"/>
      <c r="G51" s="1108"/>
      <c r="H51" s="1018"/>
      <c r="I51" s="1395"/>
      <c r="J51" s="1025"/>
      <c r="K51" s="525"/>
      <c r="L51" s="761"/>
      <c r="M51" s="761"/>
      <c r="N51" s="762"/>
    </row>
    <row r="52" spans="1:17" s="2" customFormat="1" ht="51">
      <c r="A52" s="668"/>
      <c r="B52" s="669"/>
      <c r="C52" s="1437"/>
      <c r="D52" s="1511" t="s">
        <v>79</v>
      </c>
      <c r="E52" s="360"/>
      <c r="F52" s="280"/>
      <c r="G52" s="111"/>
      <c r="H52" s="1012"/>
      <c r="I52" s="1519"/>
      <c r="J52" s="1225"/>
      <c r="K52" s="782" t="s">
        <v>198</v>
      </c>
      <c r="L52" s="783">
        <v>5</v>
      </c>
      <c r="M52" s="783">
        <v>7</v>
      </c>
      <c r="N52" s="784">
        <v>5</v>
      </c>
    </row>
    <row r="53" spans="1:17" s="2" customFormat="1" ht="41.25" customHeight="1">
      <c r="A53" s="1439"/>
      <c r="B53" s="1517"/>
      <c r="C53" s="1518"/>
      <c r="D53" s="1511" t="s">
        <v>199</v>
      </c>
      <c r="E53" s="1520"/>
      <c r="F53" s="1442"/>
      <c r="G53" s="1443"/>
      <c r="H53" s="1444"/>
      <c r="I53" s="1445"/>
      <c r="J53" s="1446"/>
      <c r="K53" s="117" t="s">
        <v>103</v>
      </c>
      <c r="L53" s="113">
        <v>48</v>
      </c>
      <c r="M53" s="503">
        <v>10</v>
      </c>
      <c r="N53" s="507">
        <v>10</v>
      </c>
      <c r="O53" s="526"/>
    </row>
    <row r="54" spans="1:17" s="2" customFormat="1" ht="54" customHeight="1">
      <c r="A54" s="317"/>
      <c r="B54" s="201"/>
      <c r="C54" s="712"/>
      <c r="D54" s="1406" t="s">
        <v>159</v>
      </c>
      <c r="E54" s="1291"/>
      <c r="F54" s="1285"/>
      <c r="G54" s="1108"/>
      <c r="H54" s="1018"/>
      <c r="I54" s="1395"/>
      <c r="J54" s="1025"/>
      <c r="K54" s="117" t="s">
        <v>267</v>
      </c>
      <c r="L54" s="113">
        <v>116</v>
      </c>
      <c r="M54" s="503">
        <v>116</v>
      </c>
      <c r="N54" s="507">
        <v>116</v>
      </c>
      <c r="O54" s="526"/>
    </row>
    <row r="55" spans="1:17" s="2" customFormat="1" ht="14.25" customHeight="1">
      <c r="A55" s="317"/>
      <c r="B55" s="201"/>
      <c r="C55" s="712"/>
      <c r="D55" s="1818" t="s">
        <v>66</v>
      </c>
      <c r="E55" s="1291"/>
      <c r="F55" s="1285"/>
      <c r="G55" s="1108"/>
      <c r="H55" s="1111"/>
      <c r="I55" s="1109"/>
      <c r="J55" s="1110"/>
      <c r="K55" s="1335" t="s">
        <v>200</v>
      </c>
      <c r="L55" s="950">
        <v>31</v>
      </c>
      <c r="M55" s="950">
        <v>28</v>
      </c>
      <c r="N55" s="951">
        <v>20</v>
      </c>
      <c r="O55" s="526"/>
    </row>
    <row r="56" spans="1:17" s="2" customFormat="1" ht="23.25" customHeight="1">
      <c r="A56" s="317"/>
      <c r="B56" s="201"/>
      <c r="C56" s="712"/>
      <c r="D56" s="1815"/>
      <c r="E56" s="1291"/>
      <c r="F56" s="1285"/>
      <c r="G56" s="1108"/>
      <c r="H56" s="1111"/>
      <c r="I56" s="1109"/>
      <c r="J56" s="1110"/>
      <c r="K56" s="1264" t="s">
        <v>201</v>
      </c>
      <c r="L56" s="769" t="s">
        <v>44</v>
      </c>
      <c r="M56" s="769" t="s">
        <v>44</v>
      </c>
      <c r="N56" s="770" t="s">
        <v>33</v>
      </c>
    </row>
    <row r="57" spans="1:17" s="2" customFormat="1" ht="39.75" customHeight="1">
      <c r="A57" s="317"/>
      <c r="B57" s="201"/>
      <c r="C57" s="712"/>
      <c r="D57" s="777" t="s">
        <v>284</v>
      </c>
      <c r="E57" s="1291"/>
      <c r="F57" s="1285"/>
      <c r="G57" s="1108"/>
      <c r="H57" s="1018"/>
      <c r="I57" s="1395"/>
      <c r="J57" s="1025"/>
      <c r="K57" s="329" t="s">
        <v>209</v>
      </c>
      <c r="L57" s="113">
        <v>30</v>
      </c>
      <c r="M57" s="503">
        <v>30</v>
      </c>
      <c r="N57" s="507">
        <v>30</v>
      </c>
      <c r="O57" s="17"/>
      <c r="P57" s="17"/>
    </row>
    <row r="58" spans="1:17" s="2" customFormat="1" ht="28.5" customHeight="1">
      <c r="A58" s="317"/>
      <c r="B58" s="201"/>
      <c r="C58" s="712"/>
      <c r="D58" s="1691" t="s">
        <v>203</v>
      </c>
      <c r="E58" s="1291"/>
      <c r="F58" s="1285"/>
      <c r="G58" s="1108"/>
      <c r="H58" s="1018"/>
      <c r="I58" s="1392"/>
      <c r="J58" s="955"/>
      <c r="K58" s="527" t="s">
        <v>268</v>
      </c>
      <c r="L58" s="423">
        <v>1</v>
      </c>
      <c r="M58" s="528"/>
      <c r="N58" s="424"/>
      <c r="O58" s="17"/>
    </row>
    <row r="59" spans="1:17" s="2" customFormat="1" ht="27" customHeight="1">
      <c r="A59" s="317"/>
      <c r="B59" s="201"/>
      <c r="C59" s="712"/>
      <c r="D59" s="1693"/>
      <c r="E59" s="1291"/>
      <c r="F59" s="1285"/>
      <c r="G59" s="1108"/>
      <c r="H59" s="1018"/>
      <c r="I59" s="1392"/>
      <c r="J59" s="955"/>
      <c r="K59" s="112" t="s">
        <v>258</v>
      </c>
      <c r="L59" s="118">
        <v>1</v>
      </c>
      <c r="M59" s="109"/>
      <c r="N59" s="108"/>
      <c r="O59" s="17"/>
    </row>
    <row r="60" spans="1:17" s="2" customFormat="1" ht="27" customHeight="1">
      <c r="A60" s="317"/>
      <c r="B60" s="201"/>
      <c r="C60" s="712"/>
      <c r="D60" s="1827" t="s">
        <v>202</v>
      </c>
      <c r="E60" s="1291"/>
      <c r="F60" s="1285"/>
      <c r="G60" s="1108"/>
      <c r="H60" s="1018"/>
      <c r="I60" s="1392"/>
      <c r="J60" s="955"/>
      <c r="K60" s="527" t="s">
        <v>269</v>
      </c>
      <c r="L60" s="423">
        <v>2</v>
      </c>
      <c r="M60" s="528"/>
      <c r="N60" s="424"/>
      <c r="O60" s="17"/>
    </row>
    <row r="61" spans="1:17" s="2" customFormat="1" ht="16.5" customHeight="1">
      <c r="A61" s="317"/>
      <c r="B61" s="201"/>
      <c r="C61" s="712"/>
      <c r="D61" s="1828"/>
      <c r="E61" s="1291"/>
      <c r="F61" s="1285"/>
      <c r="G61" s="1108"/>
      <c r="H61" s="1018"/>
      <c r="I61" s="1392"/>
      <c r="J61" s="955"/>
      <c r="K61" s="778" t="s">
        <v>328</v>
      </c>
      <c r="L61" s="1387">
        <v>1</v>
      </c>
      <c r="M61" s="466"/>
      <c r="N61" s="467"/>
      <c r="O61" s="17"/>
    </row>
    <row r="62" spans="1:17" s="2" customFormat="1" ht="27" customHeight="1">
      <c r="A62" s="317"/>
      <c r="B62" s="201"/>
      <c r="C62" s="712"/>
      <c r="D62" s="1693"/>
      <c r="E62" s="1291"/>
      <c r="F62" s="1285"/>
      <c r="G62" s="1108"/>
      <c r="H62" s="1018"/>
      <c r="I62" s="1392"/>
      <c r="J62" s="955"/>
      <c r="K62" s="335" t="s">
        <v>333</v>
      </c>
      <c r="L62" s="330">
        <v>60</v>
      </c>
      <c r="M62" s="109"/>
      <c r="N62" s="108"/>
      <c r="O62" s="17"/>
    </row>
    <row r="63" spans="1:17" s="2" customFormat="1" ht="28.5" customHeight="1">
      <c r="A63" s="317"/>
      <c r="B63" s="201"/>
      <c r="C63" s="712"/>
      <c r="D63" s="776" t="s">
        <v>205</v>
      </c>
      <c r="E63" s="277"/>
      <c r="F63" s="279"/>
      <c r="G63" s="1108"/>
      <c r="H63" s="1018"/>
      <c r="I63" s="1395"/>
      <c r="J63" s="1025"/>
      <c r="K63" s="112" t="s">
        <v>204</v>
      </c>
      <c r="L63" s="118"/>
      <c r="M63" s="109">
        <v>2</v>
      </c>
      <c r="N63" s="108"/>
      <c r="O63" s="17"/>
    </row>
    <row r="64" spans="1:17" s="2" customFormat="1" ht="53.25" customHeight="1">
      <c r="A64" s="317"/>
      <c r="B64" s="201"/>
      <c r="C64" s="203"/>
      <c r="D64" s="1380" t="s">
        <v>285</v>
      </c>
      <c r="E64" s="1819"/>
      <c r="F64" s="1874"/>
      <c r="G64" s="1108"/>
      <c r="H64" s="1069"/>
      <c r="I64" s="1392"/>
      <c r="J64" s="955"/>
      <c r="K64" s="335" t="s">
        <v>270</v>
      </c>
      <c r="L64" s="549" t="s">
        <v>217</v>
      </c>
      <c r="M64" s="740" t="s">
        <v>218</v>
      </c>
      <c r="N64" s="771" t="s">
        <v>218</v>
      </c>
      <c r="O64" s="17"/>
      <c r="P64" s="17"/>
      <c r="Q64" s="17"/>
    </row>
    <row r="65" spans="1:17" s="2" customFormat="1" ht="36" customHeight="1">
      <c r="A65" s="317"/>
      <c r="B65" s="201"/>
      <c r="C65" s="203"/>
      <c r="D65" s="1711" t="s">
        <v>330</v>
      </c>
      <c r="E65" s="1820"/>
      <c r="F65" s="1874"/>
      <c r="G65" s="1108"/>
      <c r="H65" s="1069"/>
      <c r="I65" s="1392"/>
      <c r="J65" s="955"/>
      <c r="K65" s="1404" t="s">
        <v>380</v>
      </c>
      <c r="L65" s="1403" t="s">
        <v>332</v>
      </c>
      <c r="M65" s="463" t="s">
        <v>332</v>
      </c>
      <c r="N65" s="1393" t="s">
        <v>332</v>
      </c>
      <c r="O65" s="17"/>
      <c r="P65" s="17"/>
      <c r="Q65" s="17"/>
    </row>
    <row r="66" spans="1:17" s="2" customFormat="1" ht="13.5" thickBot="1">
      <c r="A66" s="317"/>
      <c r="B66" s="201"/>
      <c r="C66" s="203"/>
      <c r="D66" s="1712"/>
      <c r="E66" s="1821"/>
      <c r="F66" s="1875"/>
      <c r="G66" s="715" t="s">
        <v>15</v>
      </c>
      <c r="H66" s="1029">
        <f>H44+H45+H46</f>
        <v>265087</v>
      </c>
      <c r="I66" s="1231">
        <f>I44+I45+I46</f>
        <v>401298</v>
      </c>
      <c r="J66" s="1011">
        <f>J44+J45+J46</f>
        <v>277022</v>
      </c>
      <c r="K66" s="1397"/>
      <c r="L66" s="709"/>
      <c r="M66" s="709"/>
      <c r="N66" s="710"/>
    </row>
    <row r="67" spans="1:17" s="2" customFormat="1" ht="24" customHeight="1">
      <c r="A67" s="1754" t="s">
        <v>8</v>
      </c>
      <c r="B67" s="1755" t="s">
        <v>8</v>
      </c>
      <c r="C67" s="1810" t="s">
        <v>33</v>
      </c>
      <c r="D67" s="1798" t="s">
        <v>55</v>
      </c>
      <c r="E67" s="1813"/>
      <c r="F67" s="1799">
        <v>1</v>
      </c>
      <c r="G67" s="91" t="s">
        <v>12</v>
      </c>
      <c r="H67" s="1030">
        <f>30/3.4528*1000</f>
        <v>8689</v>
      </c>
      <c r="I67" s="1019">
        <f>30/3.4528*1000</f>
        <v>8689</v>
      </c>
      <c r="J67" s="1031">
        <f>30/3.4528*1000</f>
        <v>8689</v>
      </c>
      <c r="K67" s="236" t="s">
        <v>271</v>
      </c>
      <c r="L67" s="186">
        <v>5</v>
      </c>
      <c r="M67" s="968">
        <v>5</v>
      </c>
      <c r="N67" s="966">
        <v>5</v>
      </c>
    </row>
    <row r="68" spans="1:17" s="2" customFormat="1" ht="15" customHeight="1" thickBot="1">
      <c r="A68" s="1695"/>
      <c r="B68" s="1697"/>
      <c r="C68" s="1811"/>
      <c r="D68" s="1812"/>
      <c r="E68" s="1814"/>
      <c r="F68" s="1800"/>
      <c r="G68" s="258" t="s">
        <v>15</v>
      </c>
      <c r="H68" s="1017">
        <f t="shared" ref="H68" si="6">SUM(H67)</f>
        <v>8689</v>
      </c>
      <c r="I68" s="1011">
        <f>I67</f>
        <v>8689</v>
      </c>
      <c r="J68" s="1011">
        <f>J67</f>
        <v>8689</v>
      </c>
      <c r="K68" s="368"/>
      <c r="L68" s="137"/>
      <c r="M68" s="739"/>
      <c r="N68" s="738"/>
    </row>
    <row r="69" spans="1:17" s="23" customFormat="1" ht="15" customHeight="1">
      <c r="A69" s="1754" t="s">
        <v>8</v>
      </c>
      <c r="B69" s="1755" t="s">
        <v>8</v>
      </c>
      <c r="C69" s="1773" t="s">
        <v>38</v>
      </c>
      <c r="D69" s="1357" t="s">
        <v>152</v>
      </c>
      <c r="E69" s="1802"/>
      <c r="F69" s="1806" t="s">
        <v>54</v>
      </c>
      <c r="G69" s="303"/>
      <c r="H69" s="1087"/>
      <c r="I69" s="1032"/>
      <c r="J69" s="1022"/>
      <c r="K69" s="296"/>
      <c r="L69" s="114"/>
      <c r="M69" s="74"/>
      <c r="N69" s="75"/>
    </row>
    <row r="70" spans="1:17" s="23" customFormat="1" ht="25.5" customHeight="1">
      <c r="A70" s="1694"/>
      <c r="B70" s="1696"/>
      <c r="C70" s="1774"/>
      <c r="D70" s="1358" t="s">
        <v>154</v>
      </c>
      <c r="E70" s="1803"/>
      <c r="F70" s="1807"/>
      <c r="G70" s="1355" t="s">
        <v>47</v>
      </c>
      <c r="H70" s="1000">
        <f>988.793/3.4528*1000</f>
        <v>286374</v>
      </c>
      <c r="I70" s="1356">
        <f>947/3.4528*1000</f>
        <v>274270</v>
      </c>
      <c r="J70" s="1026">
        <f>947/3.4528*1000</f>
        <v>274270</v>
      </c>
      <c r="K70" s="335" t="s">
        <v>156</v>
      </c>
      <c r="L70" s="118">
        <v>780</v>
      </c>
      <c r="M70" s="109">
        <v>780</v>
      </c>
      <c r="N70" s="108">
        <v>780</v>
      </c>
    </row>
    <row r="71" spans="1:17" s="23" customFormat="1" ht="18.75" customHeight="1">
      <c r="A71" s="1694"/>
      <c r="B71" s="1696"/>
      <c r="C71" s="1801"/>
      <c r="D71" s="292" t="s">
        <v>153</v>
      </c>
      <c r="E71" s="1804"/>
      <c r="F71" s="1808"/>
      <c r="G71" s="310" t="s">
        <v>47</v>
      </c>
      <c r="H71" s="998">
        <v>7820</v>
      </c>
      <c r="I71" s="1033">
        <f>33/3.4528*1000</f>
        <v>9557</v>
      </c>
      <c r="J71" s="1028">
        <f>33/3.4528*1000</f>
        <v>9557</v>
      </c>
      <c r="K71" s="1791" t="s">
        <v>155</v>
      </c>
      <c r="L71" s="187">
        <v>1</v>
      </c>
      <c r="M71" s="188">
        <v>1</v>
      </c>
      <c r="N71" s="189">
        <v>1</v>
      </c>
    </row>
    <row r="72" spans="1:17" s="23" customFormat="1" ht="13.5" customHeight="1" thickBot="1">
      <c r="A72" s="1695"/>
      <c r="B72" s="1697"/>
      <c r="C72" s="1775"/>
      <c r="D72" s="302"/>
      <c r="E72" s="1805"/>
      <c r="F72" s="1809"/>
      <c r="G72" s="258" t="s">
        <v>15</v>
      </c>
      <c r="H72" s="1034">
        <f>H71+H70</f>
        <v>294194</v>
      </c>
      <c r="I72" s="1034">
        <f t="shared" ref="I72:J72" si="7">I71+I70</f>
        <v>283827</v>
      </c>
      <c r="J72" s="1034">
        <f t="shared" si="7"/>
        <v>283827</v>
      </c>
      <c r="K72" s="1792"/>
      <c r="L72" s="137"/>
      <c r="M72" s="237"/>
      <c r="N72" s="238"/>
    </row>
    <row r="73" spans="1:17" s="2" customFormat="1" ht="13.5" thickBot="1">
      <c r="A73" s="677" t="s">
        <v>8</v>
      </c>
      <c r="B73" s="679" t="s">
        <v>8</v>
      </c>
      <c r="C73" s="1793" t="s">
        <v>16</v>
      </c>
      <c r="D73" s="1765"/>
      <c r="E73" s="1765"/>
      <c r="F73" s="1765"/>
      <c r="G73" s="1794"/>
      <c r="H73" s="1035">
        <f>H72+H68+H66+H43+H41+H38+H33+H31+H29+H27+H25</f>
        <v>16857950</v>
      </c>
      <c r="I73" s="1035">
        <f>I72+I68+I66+I43+I41+I38+I33+I31+I29+I27+I25</f>
        <v>12197839</v>
      </c>
      <c r="J73" s="1035">
        <f>J72+J68+J66+J43+J41+J38+J33+J31+J29+J27+J25</f>
        <v>11352178</v>
      </c>
      <c r="K73" s="239"/>
      <c r="L73" s="297"/>
      <c r="M73" s="297"/>
      <c r="N73" s="240"/>
    </row>
    <row r="74" spans="1:17" s="2" customFormat="1" ht="13.5" thickBot="1">
      <c r="A74" s="323" t="s">
        <v>8</v>
      </c>
      <c r="B74" s="24" t="s">
        <v>9</v>
      </c>
      <c r="C74" s="1688" t="s">
        <v>65</v>
      </c>
      <c r="D74" s="1689"/>
      <c r="E74" s="1689"/>
      <c r="F74" s="1689"/>
      <c r="G74" s="1689"/>
      <c r="H74" s="1689"/>
      <c r="I74" s="1689"/>
      <c r="J74" s="1689"/>
      <c r="K74" s="1689"/>
      <c r="L74" s="1689"/>
      <c r="M74" s="1689"/>
      <c r="N74" s="1690"/>
    </row>
    <row r="75" spans="1:17" s="2" customFormat="1" ht="14.25" customHeight="1">
      <c r="A75" s="749" t="s">
        <v>8</v>
      </c>
      <c r="B75" s="751" t="s">
        <v>9</v>
      </c>
      <c r="C75" s="753" t="s">
        <v>8</v>
      </c>
      <c r="D75" s="1798" t="s">
        <v>246</v>
      </c>
      <c r="E75" s="1795" t="s">
        <v>117</v>
      </c>
      <c r="F75" s="371" t="s">
        <v>53</v>
      </c>
      <c r="G75" s="1605" t="s">
        <v>12</v>
      </c>
      <c r="H75" s="1606">
        <f>1268.3/3.4528*1000</f>
        <v>367325</v>
      </c>
      <c r="I75" s="1607">
        <f>973.5/3.4528*1000</f>
        <v>281945</v>
      </c>
      <c r="J75" s="1608">
        <f>1173.5/3.4528*1000</f>
        <v>339869</v>
      </c>
      <c r="K75" s="889" t="s">
        <v>272</v>
      </c>
      <c r="L75" s="890" t="s">
        <v>249</v>
      </c>
      <c r="M75" s="891" t="s">
        <v>250</v>
      </c>
      <c r="N75" s="892" t="s">
        <v>251</v>
      </c>
    </row>
    <row r="76" spans="1:17" s="2" customFormat="1" ht="14.25" customHeight="1">
      <c r="A76" s="1600"/>
      <c r="B76" s="1601"/>
      <c r="C76" s="1602"/>
      <c r="D76" s="1693"/>
      <c r="E76" s="1796"/>
      <c r="F76" s="131"/>
      <c r="G76" s="1609" t="s">
        <v>47</v>
      </c>
      <c r="H76" s="1610">
        <v>29860</v>
      </c>
      <c r="I76" s="1611"/>
      <c r="J76" s="1612"/>
      <c r="K76" s="1603"/>
      <c r="L76" s="1604"/>
      <c r="M76" s="648"/>
      <c r="N76" s="1495"/>
    </row>
    <row r="77" spans="1:17" s="2" customFormat="1" ht="14.25" customHeight="1">
      <c r="A77" s="755"/>
      <c r="B77" s="756"/>
      <c r="C77" s="754"/>
      <c r="D77" s="1691" t="s">
        <v>247</v>
      </c>
      <c r="E77" s="1797"/>
      <c r="F77" s="131"/>
      <c r="G77" s="845"/>
      <c r="H77" s="1041"/>
      <c r="I77" s="955"/>
      <c r="J77" s="956"/>
      <c r="K77" s="434" t="s">
        <v>144</v>
      </c>
      <c r="L77" s="865">
        <v>439</v>
      </c>
      <c r="M77" s="864">
        <v>439</v>
      </c>
      <c r="N77" s="866">
        <v>439</v>
      </c>
    </row>
    <row r="78" spans="1:17" s="2" customFormat="1" ht="15.75" customHeight="1">
      <c r="A78" s="887"/>
      <c r="B78" s="886"/>
      <c r="C78" s="885"/>
      <c r="D78" s="1693"/>
      <c r="E78" s="1797"/>
      <c r="F78" s="131"/>
      <c r="G78" s="845"/>
      <c r="H78" s="1041"/>
      <c r="I78" s="955"/>
      <c r="J78" s="956"/>
      <c r="K78" s="893" t="s">
        <v>233</v>
      </c>
      <c r="L78" s="894">
        <v>1</v>
      </c>
      <c r="M78" s="895"/>
      <c r="N78" s="896"/>
    </row>
    <row r="79" spans="1:17" s="2" customFormat="1" ht="25.5">
      <c r="A79" s="755"/>
      <c r="B79" s="756"/>
      <c r="C79" s="754"/>
      <c r="D79" s="757" t="s">
        <v>248</v>
      </c>
      <c r="E79" s="1797"/>
      <c r="F79" s="131"/>
      <c r="G79" s="845"/>
      <c r="H79" s="1018"/>
      <c r="I79" s="955"/>
      <c r="J79" s="956"/>
      <c r="K79" s="128" t="s">
        <v>235</v>
      </c>
      <c r="L79" s="897">
        <v>439</v>
      </c>
      <c r="M79" s="898"/>
      <c r="N79" s="899"/>
    </row>
    <row r="80" spans="1:17" s="2" customFormat="1" ht="54" customHeight="1">
      <c r="A80" s="755"/>
      <c r="B80" s="756"/>
      <c r="C80" s="754"/>
      <c r="D80" s="1711" t="s">
        <v>252</v>
      </c>
      <c r="E80" s="1797"/>
      <c r="F80" s="131"/>
      <c r="G80" s="872"/>
      <c r="H80" s="1012"/>
      <c r="I80" s="957"/>
      <c r="J80" s="958"/>
      <c r="K80" s="888"/>
      <c r="L80" s="457"/>
      <c r="M80" s="857"/>
      <c r="N80" s="859"/>
    </row>
    <row r="81" spans="1:14" s="2" customFormat="1" ht="13.5" thickBot="1">
      <c r="A81" s="750"/>
      <c r="B81" s="752"/>
      <c r="C81" s="758"/>
      <c r="D81" s="1712"/>
      <c r="E81" s="716"/>
      <c r="F81" s="718"/>
      <c r="G81" s="907" t="s">
        <v>15</v>
      </c>
      <c r="H81" s="1007">
        <f>SUM(H75:H80)</f>
        <v>397185</v>
      </c>
      <c r="I81" s="1002">
        <f>SUM(I75:I80)</f>
        <v>281945</v>
      </c>
      <c r="J81" s="1003">
        <f>SUM(J75:J80)</f>
        <v>339869</v>
      </c>
      <c r="K81" s="708"/>
      <c r="L81" s="709"/>
      <c r="M81" s="709"/>
      <c r="N81" s="710"/>
    </row>
    <row r="82" spans="1:14" s="11" customFormat="1" ht="18.75" customHeight="1">
      <c r="A82" s="680" t="s">
        <v>8</v>
      </c>
      <c r="B82" s="681" t="s">
        <v>9</v>
      </c>
      <c r="C82" s="161" t="s">
        <v>9</v>
      </c>
      <c r="D82" s="1781" t="s">
        <v>160</v>
      </c>
      <c r="E82" s="1784"/>
      <c r="F82" s="1787" t="s">
        <v>54</v>
      </c>
      <c r="G82" s="150" t="s">
        <v>12</v>
      </c>
      <c r="H82" s="1042">
        <f>84.3/3.4528*1000</f>
        <v>24415</v>
      </c>
      <c r="I82" s="1043"/>
      <c r="J82" s="1044"/>
      <c r="K82" s="599" t="s">
        <v>165</v>
      </c>
      <c r="L82" s="446">
        <v>3</v>
      </c>
      <c r="M82" s="447"/>
      <c r="N82" s="448"/>
    </row>
    <row r="83" spans="1:14" s="11" customFormat="1">
      <c r="A83" s="680"/>
      <c r="B83" s="681"/>
      <c r="C83" s="161"/>
      <c r="D83" s="1781"/>
      <c r="E83" s="1784"/>
      <c r="F83" s="1787"/>
      <c r="G83" s="150" t="s">
        <v>113</v>
      </c>
      <c r="H83" s="1042">
        <f>595/3.4528*1000</f>
        <v>172324</v>
      </c>
      <c r="I83" s="1045"/>
      <c r="J83" s="1044"/>
      <c r="K83" s="1790" t="s">
        <v>255</v>
      </c>
      <c r="L83" s="602" t="s">
        <v>53</v>
      </c>
      <c r="M83" s="600"/>
      <c r="N83" s="601"/>
    </row>
    <row r="84" spans="1:14" s="11" customFormat="1" ht="13.5" thickBot="1">
      <c r="A84" s="677"/>
      <c r="B84" s="679"/>
      <c r="C84" s="162"/>
      <c r="D84" s="1782"/>
      <c r="E84" s="1785"/>
      <c r="F84" s="1788"/>
      <c r="G84" s="373" t="s">
        <v>15</v>
      </c>
      <c r="H84" s="1046">
        <f>H83+H82</f>
        <v>196739</v>
      </c>
      <c r="I84" s="1047">
        <f t="shared" ref="I84:J84" si="8">I83+I82</f>
        <v>0</v>
      </c>
      <c r="J84" s="1048">
        <f t="shared" si="8"/>
        <v>0</v>
      </c>
      <c r="K84" s="1710"/>
      <c r="L84" s="449"/>
      <c r="M84" s="450"/>
      <c r="N84" s="451"/>
    </row>
    <row r="85" spans="1:14" s="11" customFormat="1" ht="17.25" customHeight="1">
      <c r="A85" s="676" t="s">
        <v>8</v>
      </c>
      <c r="B85" s="678" t="s">
        <v>9</v>
      </c>
      <c r="C85" s="160" t="s">
        <v>10</v>
      </c>
      <c r="D85" s="1780" t="s">
        <v>161</v>
      </c>
      <c r="E85" s="1783" t="s">
        <v>109</v>
      </c>
      <c r="F85" s="1786" t="s">
        <v>53</v>
      </c>
      <c r="G85" s="124" t="s">
        <v>112</v>
      </c>
      <c r="H85" s="1049">
        <f>2.1/3.4528*1000</f>
        <v>608</v>
      </c>
      <c r="I85" s="1043"/>
      <c r="J85" s="1050"/>
      <c r="K85" s="1763" t="s">
        <v>254</v>
      </c>
      <c r="L85" s="286">
        <v>30</v>
      </c>
      <c r="M85" s="287"/>
      <c r="N85" s="288"/>
    </row>
    <row r="86" spans="1:14" s="11" customFormat="1">
      <c r="A86" s="680"/>
      <c r="B86" s="681"/>
      <c r="C86" s="161"/>
      <c r="D86" s="1781"/>
      <c r="E86" s="1784"/>
      <c r="F86" s="1787"/>
      <c r="G86" s="150" t="s">
        <v>14</v>
      </c>
      <c r="H86" s="1051">
        <f>12/3.4528*1000</f>
        <v>3475</v>
      </c>
      <c r="I86" s="1052"/>
      <c r="J86" s="1044"/>
      <c r="K86" s="1789"/>
      <c r="L86" s="639"/>
      <c r="M86" s="640"/>
      <c r="N86" s="641"/>
    </row>
    <row r="87" spans="1:14" s="11" customFormat="1" ht="13.5" thickBot="1">
      <c r="A87" s="677"/>
      <c r="B87" s="679"/>
      <c r="C87" s="162"/>
      <c r="D87" s="1782"/>
      <c r="E87" s="1785"/>
      <c r="F87" s="1788"/>
      <c r="G87" s="228" t="s">
        <v>15</v>
      </c>
      <c r="H87" s="1053">
        <f>H86+H85</f>
        <v>4083</v>
      </c>
      <c r="I87" s="1054">
        <f t="shared" ref="I87:J87" si="9">SUM(I85)</f>
        <v>0</v>
      </c>
      <c r="J87" s="1055">
        <f t="shared" si="9"/>
        <v>0</v>
      </c>
      <c r="K87" s="643"/>
      <c r="L87" s="449"/>
      <c r="M87" s="450"/>
      <c r="N87" s="644"/>
    </row>
    <row r="88" spans="1:14" s="2" customFormat="1" ht="24" customHeight="1">
      <c r="A88" s="1767" t="s">
        <v>8</v>
      </c>
      <c r="B88" s="1770" t="s">
        <v>9</v>
      </c>
      <c r="C88" s="1773" t="s">
        <v>11</v>
      </c>
      <c r="D88" s="1757" t="s">
        <v>29</v>
      </c>
      <c r="E88" s="1777" t="s">
        <v>134</v>
      </c>
      <c r="F88" s="1713" t="s">
        <v>53</v>
      </c>
      <c r="G88" s="10" t="s">
        <v>12</v>
      </c>
      <c r="H88" s="1015">
        <f>117.3/3.4528*1000</f>
        <v>33972</v>
      </c>
      <c r="I88" s="1006"/>
      <c r="J88" s="1056"/>
      <c r="K88" s="1763" t="s">
        <v>196</v>
      </c>
      <c r="L88" s="286">
        <v>1</v>
      </c>
      <c r="M88" s="683"/>
      <c r="N88" s="685"/>
    </row>
    <row r="89" spans="1:14" s="2" customFormat="1" ht="19.5" customHeight="1">
      <c r="A89" s="1768"/>
      <c r="B89" s="1771"/>
      <c r="C89" s="1774"/>
      <c r="D89" s="1776"/>
      <c r="E89" s="1778"/>
      <c r="F89" s="1753"/>
      <c r="G89" s="14" t="s">
        <v>14</v>
      </c>
      <c r="H89" s="1023">
        <f>665.1/3.4528*1000</f>
        <v>192626</v>
      </c>
      <c r="I89" s="952"/>
      <c r="J89" s="1057"/>
      <c r="K89" s="1764"/>
      <c r="L89" s="642"/>
      <c r="M89" s="188"/>
      <c r="N89" s="189"/>
    </row>
    <row r="90" spans="1:14" s="2" customFormat="1" ht="20.25" customHeight="1" thickBot="1">
      <c r="A90" s="1769"/>
      <c r="B90" s="1772"/>
      <c r="C90" s="1775"/>
      <c r="D90" s="1759"/>
      <c r="E90" s="1779"/>
      <c r="F90" s="1715"/>
      <c r="G90" s="374" t="s">
        <v>15</v>
      </c>
      <c r="H90" s="1010">
        <f>SUM(H88:H89)</f>
        <v>226598</v>
      </c>
      <c r="I90" s="1011"/>
      <c r="J90" s="1034"/>
      <c r="K90" s="645"/>
      <c r="L90" s="693"/>
      <c r="M90" s="693"/>
      <c r="N90" s="646"/>
    </row>
    <row r="91" spans="1:14" s="2" customFormat="1" ht="13.5" thickBot="1">
      <c r="A91" s="323" t="s">
        <v>8</v>
      </c>
      <c r="B91" s="9" t="s">
        <v>9</v>
      </c>
      <c r="C91" s="1683" t="s">
        <v>16</v>
      </c>
      <c r="D91" s="1684"/>
      <c r="E91" s="1684"/>
      <c r="F91" s="1684"/>
      <c r="G91" s="1765"/>
      <c r="H91" s="959">
        <f>H90+H81+H84+H87</f>
        <v>824605</v>
      </c>
      <c r="I91" s="960">
        <f t="shared" ref="I91" si="10">I90+I81+I84+I87</f>
        <v>281945</v>
      </c>
      <c r="J91" s="961">
        <f>J90+J81+J84+J87</f>
        <v>339869</v>
      </c>
      <c r="K91" s="233"/>
      <c r="L91" s="234"/>
      <c r="M91" s="234"/>
      <c r="N91" s="235"/>
    </row>
    <row r="92" spans="1:14" s="2" customFormat="1" ht="13.5" thickBot="1">
      <c r="A92" s="676" t="s">
        <v>8</v>
      </c>
      <c r="B92" s="155" t="s">
        <v>10</v>
      </c>
      <c r="C92" s="1688" t="s">
        <v>41</v>
      </c>
      <c r="D92" s="1689"/>
      <c r="E92" s="1689"/>
      <c r="F92" s="1689"/>
      <c r="G92" s="1689"/>
      <c r="H92" s="1766"/>
      <c r="I92" s="1689"/>
      <c r="J92" s="1689"/>
      <c r="K92" s="1689"/>
      <c r="L92" s="1689"/>
      <c r="M92" s="1689"/>
      <c r="N92" s="1690"/>
    </row>
    <row r="93" spans="1:14" s="11" customFormat="1" ht="21" customHeight="1">
      <c r="A93" s="1754" t="s">
        <v>8</v>
      </c>
      <c r="B93" s="1755" t="s">
        <v>10</v>
      </c>
      <c r="C93" s="1756" t="s">
        <v>8</v>
      </c>
      <c r="D93" s="1757" t="s">
        <v>63</v>
      </c>
      <c r="E93" s="1760" t="s">
        <v>107</v>
      </c>
      <c r="F93" s="1713" t="s">
        <v>53</v>
      </c>
      <c r="G93" s="10" t="s">
        <v>12</v>
      </c>
      <c r="H93" s="1058">
        <f>16.5/3.4528*1000</f>
        <v>4779</v>
      </c>
      <c r="I93" s="1059"/>
      <c r="J93" s="1060"/>
      <c r="K93" s="687" t="s">
        <v>69</v>
      </c>
      <c r="L93" s="683">
        <v>220</v>
      </c>
      <c r="M93" s="683"/>
      <c r="N93" s="685"/>
    </row>
    <row r="94" spans="1:14" s="11" customFormat="1" ht="18" customHeight="1">
      <c r="A94" s="1694"/>
      <c r="B94" s="1696"/>
      <c r="C94" s="1698"/>
      <c r="D94" s="1758"/>
      <c r="E94" s="1761"/>
      <c r="F94" s="1714"/>
      <c r="G94" s="22" t="s">
        <v>14</v>
      </c>
      <c r="H94" s="1061">
        <f>93.1/3.4528*1000</f>
        <v>26964</v>
      </c>
      <c r="I94" s="1062"/>
      <c r="J94" s="1063"/>
      <c r="K94" s="595"/>
      <c r="L94" s="648"/>
      <c r="M94" s="126"/>
      <c r="N94" s="241"/>
    </row>
    <row r="95" spans="1:14" s="11" customFormat="1" ht="15" customHeight="1" thickBot="1">
      <c r="A95" s="1695"/>
      <c r="B95" s="1697"/>
      <c r="C95" s="1699"/>
      <c r="D95" s="1759"/>
      <c r="E95" s="1762"/>
      <c r="F95" s="1715"/>
      <c r="G95" s="258" t="s">
        <v>15</v>
      </c>
      <c r="H95" s="1011">
        <f>H94+H93</f>
        <v>31743</v>
      </c>
      <c r="I95" s="1034">
        <f t="shared" ref="I95:J95" si="11">I94+I93</f>
        <v>0</v>
      </c>
      <c r="J95" s="1017">
        <f t="shared" si="11"/>
        <v>0</v>
      </c>
      <c r="K95" s="647"/>
      <c r="L95" s="684"/>
      <c r="M95" s="684"/>
      <c r="N95" s="686"/>
    </row>
    <row r="96" spans="1:14" s="2" customFormat="1" ht="24" customHeight="1">
      <c r="A96" s="1694" t="s">
        <v>8</v>
      </c>
      <c r="B96" s="1696" t="s">
        <v>10</v>
      </c>
      <c r="C96" s="1698" t="s">
        <v>9</v>
      </c>
      <c r="D96" s="1749" t="s">
        <v>162</v>
      </c>
      <c r="E96" s="1751"/>
      <c r="F96" s="1753" t="s">
        <v>53</v>
      </c>
      <c r="G96" s="22" t="s">
        <v>14</v>
      </c>
      <c r="H96" s="996">
        <f>3/3.4528*1000</f>
        <v>869</v>
      </c>
      <c r="I96" s="1056"/>
      <c r="J96" s="1064"/>
      <c r="K96" s="687" t="s">
        <v>273</v>
      </c>
      <c r="L96" s="692">
        <v>1</v>
      </c>
      <c r="M96" s="692"/>
      <c r="N96" s="691"/>
    </row>
    <row r="97" spans="1:16" s="2" customFormat="1" ht="15" customHeight="1" thickBot="1">
      <c r="A97" s="1695"/>
      <c r="B97" s="1697"/>
      <c r="C97" s="1699"/>
      <c r="D97" s="1750"/>
      <c r="E97" s="1752"/>
      <c r="F97" s="1715"/>
      <c r="G97" s="220" t="s">
        <v>15</v>
      </c>
      <c r="H97" s="1011">
        <f>H96</f>
        <v>869</v>
      </c>
      <c r="I97" s="1065"/>
      <c r="J97" s="1017"/>
      <c r="K97" s="688"/>
      <c r="L97" s="684"/>
      <c r="M97" s="684"/>
      <c r="N97" s="686"/>
    </row>
    <row r="98" spans="1:16" s="2" customFormat="1" ht="13.5" thickBot="1">
      <c r="A98" s="323" t="s">
        <v>8</v>
      </c>
      <c r="B98" s="9" t="s">
        <v>10</v>
      </c>
      <c r="C98" s="1683" t="s">
        <v>16</v>
      </c>
      <c r="D98" s="1684"/>
      <c r="E98" s="1684"/>
      <c r="F98" s="1684"/>
      <c r="G98" s="1684"/>
      <c r="H98" s="1066">
        <f t="shared" ref="H98:J98" si="12">H97+H95</f>
        <v>32612</v>
      </c>
      <c r="I98" s="1067">
        <f t="shared" si="12"/>
        <v>0</v>
      </c>
      <c r="J98" s="1068">
        <f t="shared" si="12"/>
        <v>0</v>
      </c>
      <c r="K98" s="1685"/>
      <c r="L98" s="1686"/>
      <c r="M98" s="1686"/>
      <c r="N98" s="1687"/>
    </row>
    <row r="99" spans="1:16" s="2" customFormat="1" ht="15" customHeight="1" thickBot="1">
      <c r="A99" s="323" t="s">
        <v>8</v>
      </c>
      <c r="B99" s="24" t="s">
        <v>11</v>
      </c>
      <c r="C99" s="1688" t="s">
        <v>64</v>
      </c>
      <c r="D99" s="1689"/>
      <c r="E99" s="1689"/>
      <c r="F99" s="1689"/>
      <c r="G99" s="1689"/>
      <c r="H99" s="1689"/>
      <c r="I99" s="1689"/>
      <c r="J99" s="1689"/>
      <c r="K99" s="1689"/>
      <c r="L99" s="1689"/>
      <c r="M99" s="1689"/>
      <c r="N99" s="1690"/>
    </row>
    <row r="100" spans="1:16" s="2" customFormat="1" ht="38.25">
      <c r="A100" s="676" t="s">
        <v>8</v>
      </c>
      <c r="B100" s="678" t="s">
        <v>11</v>
      </c>
      <c r="C100" s="695" t="s">
        <v>8</v>
      </c>
      <c r="D100" s="370" t="s">
        <v>136</v>
      </c>
      <c r="E100" s="536"/>
      <c r="F100" s="542" t="s">
        <v>53</v>
      </c>
      <c r="G100" s="91" t="s">
        <v>12</v>
      </c>
      <c r="H100" s="1385">
        <f>1454.2/3.4528*1000</f>
        <v>421165</v>
      </c>
      <c r="I100" s="1019"/>
      <c r="J100" s="1112"/>
      <c r="K100" s="441"/>
      <c r="L100" s="442"/>
      <c r="M100" s="136"/>
      <c r="N100" s="158"/>
    </row>
    <row r="101" spans="1:16" s="2" customFormat="1" ht="25.5">
      <c r="A101" s="680"/>
      <c r="B101" s="681"/>
      <c r="C101" s="694"/>
      <c r="D101" s="690" t="s">
        <v>190</v>
      </c>
      <c r="E101" s="537"/>
      <c r="F101" s="543"/>
      <c r="G101" s="456"/>
      <c r="H101" s="1113"/>
      <c r="I101" s="1024"/>
      <c r="J101" s="1025"/>
      <c r="K101" s="495" t="s">
        <v>276</v>
      </c>
      <c r="L101" s="281">
        <v>542.25</v>
      </c>
      <c r="M101" s="496"/>
      <c r="N101" s="282"/>
    </row>
    <row r="102" spans="1:16" s="2" customFormat="1">
      <c r="A102" s="680"/>
      <c r="B102" s="681"/>
      <c r="C102" s="694"/>
      <c r="D102" s="690" t="s">
        <v>214</v>
      </c>
      <c r="E102" s="537"/>
      <c r="F102" s="543"/>
      <c r="G102" s="456"/>
      <c r="H102" s="1113"/>
      <c r="I102" s="1024"/>
      <c r="J102" s="1025"/>
      <c r="K102" s="128" t="s">
        <v>275</v>
      </c>
      <c r="L102" s="205">
        <v>268</v>
      </c>
      <c r="M102" s="129"/>
      <c r="N102" s="177"/>
    </row>
    <row r="103" spans="1:16" s="2" customFormat="1">
      <c r="A103" s="680"/>
      <c r="B103" s="681"/>
      <c r="C103" s="694"/>
      <c r="D103" s="689" t="s">
        <v>192</v>
      </c>
      <c r="E103" s="537"/>
      <c r="F103" s="543"/>
      <c r="G103" s="456"/>
      <c r="H103" s="1113"/>
      <c r="I103" s="1024"/>
      <c r="J103" s="1025"/>
      <c r="K103" s="128" t="s">
        <v>277</v>
      </c>
      <c r="L103" s="205">
        <v>691</v>
      </c>
      <c r="M103" s="102"/>
      <c r="N103" s="103"/>
    </row>
    <row r="104" spans="1:16" s="2" customFormat="1">
      <c r="A104" s="680"/>
      <c r="B104" s="681"/>
      <c r="C104" s="694"/>
      <c r="D104" s="1691" t="s">
        <v>191</v>
      </c>
      <c r="E104" s="537"/>
      <c r="F104" s="543"/>
      <c r="G104" s="456"/>
      <c r="H104" s="1069"/>
      <c r="I104" s="1024"/>
      <c r="J104" s="1025"/>
      <c r="K104" s="383" t="s">
        <v>278</v>
      </c>
      <c r="L104" s="457">
        <v>245</v>
      </c>
      <c r="M104" s="102"/>
      <c r="N104" s="103"/>
    </row>
    <row r="105" spans="1:16" s="2" customFormat="1" ht="25.5">
      <c r="A105" s="680"/>
      <c r="B105" s="681"/>
      <c r="C105" s="694"/>
      <c r="D105" s="1692"/>
      <c r="E105" s="537"/>
      <c r="F105" s="543"/>
      <c r="G105" s="456"/>
      <c r="H105" s="1069"/>
      <c r="I105" s="1024"/>
      <c r="J105" s="1025"/>
      <c r="K105" s="434" t="s">
        <v>279</v>
      </c>
      <c r="L105" s="427">
        <v>300</v>
      </c>
      <c r="M105" s="459"/>
      <c r="N105" s="460"/>
    </row>
    <row r="106" spans="1:16" s="2" customFormat="1">
      <c r="A106" s="680"/>
      <c r="B106" s="681"/>
      <c r="C106" s="694"/>
      <c r="D106" s="1693"/>
      <c r="E106" s="537"/>
      <c r="F106" s="543"/>
      <c r="G106" s="456"/>
      <c r="H106" s="1069"/>
      <c r="I106" s="1024"/>
      <c r="J106" s="1025"/>
      <c r="K106" s="495" t="s">
        <v>280</v>
      </c>
      <c r="L106" s="281">
        <v>700</v>
      </c>
      <c r="M106" s="496"/>
      <c r="N106" s="282"/>
    </row>
    <row r="107" spans="1:16" s="2" customFormat="1" ht="38.25">
      <c r="A107" s="680"/>
      <c r="B107" s="681"/>
      <c r="C107" s="694"/>
      <c r="D107" s="492" t="s">
        <v>286</v>
      </c>
      <c r="E107" s="537"/>
      <c r="F107" s="543"/>
      <c r="G107" s="456"/>
      <c r="H107" s="1113"/>
      <c r="I107" s="1024"/>
      <c r="J107" s="1025"/>
      <c r="K107" s="495" t="s">
        <v>281</v>
      </c>
      <c r="L107" s="281">
        <v>431</v>
      </c>
      <c r="M107" s="496"/>
      <c r="N107" s="282"/>
    </row>
    <row r="108" spans="1:16" s="2" customFormat="1" ht="19.5" customHeight="1">
      <c r="A108" s="680"/>
      <c r="B108" s="681"/>
      <c r="C108" s="694"/>
      <c r="D108" s="1711" t="s">
        <v>163</v>
      </c>
      <c r="E108" s="537"/>
      <c r="F108" s="543"/>
      <c r="G108" s="12"/>
      <c r="H108" s="1070"/>
      <c r="I108" s="1026"/>
      <c r="J108" s="1064"/>
      <c r="K108" s="1709" t="s">
        <v>282</v>
      </c>
      <c r="L108" s="610">
        <v>309</v>
      </c>
      <c r="M108" s="102"/>
      <c r="N108" s="103"/>
    </row>
    <row r="109" spans="1:16" s="2" customFormat="1" ht="15.75" customHeight="1" thickBot="1">
      <c r="A109" s="322"/>
      <c r="B109" s="202"/>
      <c r="C109" s="703"/>
      <c r="D109" s="1712"/>
      <c r="E109" s="717"/>
      <c r="F109" s="718"/>
      <c r="G109" s="220" t="s">
        <v>15</v>
      </c>
      <c r="H109" s="1008">
        <f>H100</f>
        <v>421165</v>
      </c>
      <c r="I109" s="1002">
        <f>I100</f>
        <v>0</v>
      </c>
      <c r="J109" s="1007">
        <f>J100</f>
        <v>0</v>
      </c>
      <c r="K109" s="1710"/>
      <c r="L109" s="709"/>
      <c r="M109" s="709"/>
      <c r="N109" s="710"/>
    </row>
    <row r="110" spans="1:16" s="2" customFormat="1" ht="12.75" customHeight="1">
      <c r="A110" s="1694" t="s">
        <v>8</v>
      </c>
      <c r="B110" s="1696" t="s">
        <v>11</v>
      </c>
      <c r="C110" s="1698" t="s">
        <v>9</v>
      </c>
      <c r="D110" s="1700" t="s">
        <v>111</v>
      </c>
      <c r="E110" s="1703" t="s">
        <v>74</v>
      </c>
      <c r="F110" s="1705" t="s">
        <v>54</v>
      </c>
      <c r="G110" s="111" t="s">
        <v>12</v>
      </c>
      <c r="H110" s="1087">
        <v>41693</v>
      </c>
      <c r="I110" s="1022"/>
      <c r="J110" s="1056"/>
      <c r="K110" s="290" t="s">
        <v>151</v>
      </c>
      <c r="L110" s="772">
        <v>1</v>
      </c>
      <c r="M110" s="970"/>
      <c r="N110" s="289"/>
    </row>
    <row r="111" spans="1:16" s="2" customFormat="1">
      <c r="A111" s="1694"/>
      <c r="B111" s="1696"/>
      <c r="C111" s="1698"/>
      <c r="D111" s="1701"/>
      <c r="E111" s="1703"/>
      <c r="F111" s="1705"/>
      <c r="G111" s="111" t="s">
        <v>112</v>
      </c>
      <c r="H111" s="1027">
        <v>0</v>
      </c>
      <c r="I111" s="1071"/>
      <c r="J111" s="1056"/>
      <c r="K111" s="1707" t="s">
        <v>211</v>
      </c>
      <c r="L111" s="773">
        <v>40</v>
      </c>
      <c r="M111" s="638">
        <v>100</v>
      </c>
      <c r="N111" s="598"/>
      <c r="P111" s="1377"/>
    </row>
    <row r="112" spans="1:16" s="2" customFormat="1" ht="15" customHeight="1" thickBot="1">
      <c r="A112" s="1695"/>
      <c r="B112" s="1697"/>
      <c r="C112" s="1699"/>
      <c r="D112" s="1702"/>
      <c r="E112" s="1704"/>
      <c r="F112" s="1706"/>
      <c r="G112" s="220" t="s">
        <v>15</v>
      </c>
      <c r="H112" s="1017">
        <f>H111+H110</f>
        <v>41693</v>
      </c>
      <c r="I112" s="1011">
        <f>I111+I110</f>
        <v>0</v>
      </c>
      <c r="J112" s="1034">
        <f t="shared" ref="J112" si="13">J111+J110</f>
        <v>0</v>
      </c>
      <c r="K112" s="1708"/>
      <c r="L112" s="274"/>
      <c r="M112" s="274"/>
      <c r="N112" s="971"/>
    </row>
    <row r="113" spans="1:14" s="2" customFormat="1" ht="13.5" thickBot="1">
      <c r="A113" s="323" t="s">
        <v>8</v>
      </c>
      <c r="B113" s="9" t="s">
        <v>11</v>
      </c>
      <c r="C113" s="1683" t="s">
        <v>16</v>
      </c>
      <c r="D113" s="1684"/>
      <c r="E113" s="1684"/>
      <c r="F113" s="1684"/>
      <c r="G113" s="1684"/>
      <c r="H113" s="1072">
        <f>H112+H109</f>
        <v>462858</v>
      </c>
      <c r="I113" s="1066">
        <f>I112+I109</f>
        <v>0</v>
      </c>
      <c r="J113" s="1068">
        <f t="shared" ref="J113" si="14">J112+J109</f>
        <v>0</v>
      </c>
      <c r="K113" s="1685"/>
      <c r="L113" s="1686"/>
      <c r="M113" s="1686"/>
      <c r="N113" s="1687"/>
    </row>
    <row r="114" spans="1:14" s="11" customFormat="1" ht="13.5" thickBot="1">
      <c r="A114" s="323" t="s">
        <v>8</v>
      </c>
      <c r="B114" s="1727" t="s">
        <v>18</v>
      </c>
      <c r="C114" s="1728"/>
      <c r="D114" s="1728"/>
      <c r="E114" s="1728"/>
      <c r="F114" s="1728"/>
      <c r="G114" s="1729"/>
      <c r="H114" s="1073">
        <f>H113+H98+H73+H91</f>
        <v>18178025</v>
      </c>
      <c r="I114" s="1074">
        <f>I113+I98+I73+I91</f>
        <v>12479784</v>
      </c>
      <c r="J114" s="1075">
        <f>J113+J98+J73+J91</f>
        <v>11692047</v>
      </c>
      <c r="K114" s="1730"/>
      <c r="L114" s="1731"/>
      <c r="M114" s="1731"/>
      <c r="N114" s="1732"/>
    </row>
    <row r="115" spans="1:14" s="11" customFormat="1" ht="13.5" thickBot="1">
      <c r="A115" s="104" t="s">
        <v>10</v>
      </c>
      <c r="B115" s="1733" t="s">
        <v>17</v>
      </c>
      <c r="C115" s="1733"/>
      <c r="D115" s="1733"/>
      <c r="E115" s="1733"/>
      <c r="F115" s="1733"/>
      <c r="G115" s="1734"/>
      <c r="H115" s="1076">
        <f>H114</f>
        <v>18178025</v>
      </c>
      <c r="I115" s="1076">
        <f>I114</f>
        <v>12479784</v>
      </c>
      <c r="J115" s="1077">
        <f t="shared" ref="J115" si="15">J114</f>
        <v>11692047</v>
      </c>
      <c r="K115" s="1735"/>
      <c r="L115" s="1736"/>
      <c r="M115" s="1736"/>
      <c r="N115" s="1737"/>
    </row>
    <row r="116" spans="1:14" s="110" customFormat="1">
      <c r="A116" s="1744"/>
      <c r="B116" s="1744"/>
      <c r="C116" s="1744"/>
      <c r="D116" s="1744"/>
      <c r="E116" s="1744"/>
      <c r="F116" s="1744"/>
      <c r="G116" s="1744"/>
      <c r="H116" s="1744"/>
      <c r="I116" s="1744"/>
      <c r="J116" s="1744"/>
      <c r="K116" s="1744"/>
      <c r="L116" s="1744"/>
      <c r="M116" s="1744"/>
      <c r="N116" s="1744"/>
    </row>
    <row r="117" spans="1:14" s="11" customFormat="1">
      <c r="A117" s="26"/>
      <c r="B117" s="7"/>
      <c r="C117" s="1745" t="s">
        <v>23</v>
      </c>
      <c r="D117" s="1745"/>
      <c r="E117" s="1745"/>
      <c r="F117" s="1745"/>
      <c r="G117" s="1745"/>
      <c r="H117" s="1745"/>
      <c r="I117" s="1745"/>
      <c r="J117" s="1745"/>
      <c r="K117" s="18"/>
      <c r="L117" s="80"/>
      <c r="M117" s="80"/>
      <c r="N117" s="80"/>
    </row>
    <row r="118" spans="1:14" s="11" customFormat="1" ht="13.5" thickBot="1">
      <c r="A118" s="26"/>
      <c r="B118" s="25"/>
      <c r="C118" s="25"/>
      <c r="D118" s="25"/>
      <c r="E118" s="31"/>
      <c r="F118" s="90"/>
      <c r="I118" s="16"/>
      <c r="J118" s="16"/>
      <c r="K118" s="18"/>
      <c r="L118" s="80"/>
      <c r="M118" s="80"/>
      <c r="N118" s="80"/>
    </row>
    <row r="119" spans="1:14" s="11" customFormat="1" ht="57" customHeight="1" thickBot="1">
      <c r="A119" s="2"/>
      <c r="B119" s="2"/>
      <c r="C119" s="1746" t="s">
        <v>19</v>
      </c>
      <c r="D119" s="1747"/>
      <c r="E119" s="1747"/>
      <c r="F119" s="1747"/>
      <c r="G119" s="1748"/>
      <c r="H119" s="736" t="s">
        <v>221</v>
      </c>
      <c r="I119" s="737" t="s">
        <v>175</v>
      </c>
      <c r="J119" s="737" t="s">
        <v>176</v>
      </c>
      <c r="K119" s="1430"/>
      <c r="L119" s="1431"/>
      <c r="M119" s="1431"/>
      <c r="N119" s="1431"/>
    </row>
    <row r="120" spans="1:14" s="11" customFormat="1">
      <c r="A120" s="2"/>
      <c r="B120" s="2"/>
      <c r="C120" s="1738" t="s">
        <v>24</v>
      </c>
      <c r="D120" s="1739"/>
      <c r="E120" s="1739"/>
      <c r="F120" s="1739"/>
      <c r="G120" s="1740"/>
      <c r="H120" s="1078">
        <f ca="1">H121+H131+H130+H129</f>
        <v>17953483</v>
      </c>
      <c r="I120" s="1078">
        <f t="shared" ref="I120:J120" si="16">I121+I131+I130+I129</f>
        <v>12479784</v>
      </c>
      <c r="J120" s="1516">
        <f t="shared" si="16"/>
        <v>11692047</v>
      </c>
      <c r="K120" s="16"/>
      <c r="L120" s="1432"/>
      <c r="M120" s="1432"/>
      <c r="N120" s="1432"/>
    </row>
    <row r="121" spans="1:14" s="11" customFormat="1">
      <c r="A121" s="2"/>
      <c r="B121" s="2"/>
      <c r="C121" s="1741" t="s">
        <v>31</v>
      </c>
      <c r="D121" s="1742"/>
      <c r="E121" s="1742"/>
      <c r="F121" s="1742"/>
      <c r="G121" s="1743"/>
      <c r="H121" s="1079">
        <f ca="1">H122+H123+H124+H125+H126+H127+H128</f>
        <v>17946229</v>
      </c>
      <c r="I121" s="1079">
        <f t="shared" ref="I121:J121" si="17">I122+I123+I124+I125+I126+I127+I128</f>
        <v>12475729</v>
      </c>
      <c r="J121" s="1080">
        <f t="shared" si="17"/>
        <v>11690599</v>
      </c>
      <c r="K121" s="16"/>
      <c r="L121" s="1432"/>
      <c r="M121" s="1432"/>
      <c r="N121" s="1432"/>
    </row>
    <row r="122" spans="1:14" s="11" customFormat="1">
      <c r="A122" s="2"/>
      <c r="B122" s="2"/>
      <c r="C122" s="1677" t="s">
        <v>56</v>
      </c>
      <c r="D122" s="1678"/>
      <c r="E122" s="1678"/>
      <c r="F122" s="1678"/>
      <c r="G122" s="1679"/>
      <c r="H122" s="1081">
        <f>SUMIF(G12:G115,"sb",H12:H115)</f>
        <v>11905261</v>
      </c>
      <c r="I122" s="1081">
        <f>SUMIF(G12:G115,"sb",I12:I115)</f>
        <v>11425393</v>
      </c>
      <c r="J122" s="1082">
        <f>SUMIF(G12:G115,"sb",J12:J115)</f>
        <v>10640263</v>
      </c>
      <c r="K122" s="1433"/>
      <c r="L122" s="1431"/>
      <c r="M122" s="1431"/>
      <c r="N122" s="1431"/>
    </row>
    <row r="123" spans="1:14" s="11" customFormat="1">
      <c r="A123" s="2"/>
      <c r="B123" s="2"/>
      <c r="C123" s="1680" t="s">
        <v>131</v>
      </c>
      <c r="D123" s="1681"/>
      <c r="E123" s="1681"/>
      <c r="F123" s="1681"/>
      <c r="G123" s="1682"/>
      <c r="H123" s="1081">
        <f>SUMIF(G12:G115,"sb(VR)",H12:H115)</f>
        <v>23720</v>
      </c>
      <c r="I123" s="1081">
        <f>SUMIF(G12:G115,"sb(VR)",I12:I115)</f>
        <v>23459</v>
      </c>
      <c r="J123" s="1082">
        <f>SUMIF(G12:G113,"sb(VR)",J12:J113)</f>
        <v>23459</v>
      </c>
      <c r="K123" s="1433"/>
      <c r="L123" s="1431"/>
      <c r="M123" s="1431"/>
      <c r="N123" s="1431"/>
    </row>
    <row r="124" spans="1:14" s="11" customFormat="1" ht="25.5" customHeight="1">
      <c r="A124" s="2"/>
      <c r="B124" s="2"/>
      <c r="C124" s="1674" t="s">
        <v>49</v>
      </c>
      <c r="D124" s="1675"/>
      <c r="E124" s="1675"/>
      <c r="F124" s="1675"/>
      <c r="G124" s="1676"/>
      <c r="H124" s="1081">
        <f>SUMIF(G13:G115,"sb(Vb)",H13:H115)</f>
        <v>1037921</v>
      </c>
      <c r="I124" s="1081">
        <f>SUMIF(G13:G112,"SB(VB)",I13:I112)</f>
        <v>1014828</v>
      </c>
      <c r="J124" s="1082">
        <f>SUMIF(G13:G112,"SB(VB)",J13:J112)</f>
        <v>1014828</v>
      </c>
      <c r="K124" s="1430"/>
      <c r="L124" s="1431"/>
      <c r="M124" s="1431"/>
      <c r="N124" s="1431"/>
    </row>
    <row r="125" spans="1:14" s="11" customFormat="1">
      <c r="A125" s="2"/>
      <c r="B125" s="2"/>
      <c r="C125" s="1674" t="s">
        <v>114</v>
      </c>
      <c r="D125" s="1675"/>
      <c r="E125" s="1675"/>
      <c r="F125" s="1675"/>
      <c r="G125" s="1676"/>
      <c r="H125" s="1081">
        <f ca="1">SUMIF(G12:G115,"sb(P)",H12:H113)</f>
        <v>172324</v>
      </c>
      <c r="I125" s="1081">
        <f>SUMIF(G12:G115,"sb(P)",I12:I115)</f>
        <v>0</v>
      </c>
      <c r="J125" s="1082">
        <f>SUMIF(G13:G113,"sb(P)",J13:J113)</f>
        <v>0</v>
      </c>
      <c r="K125" s="1433"/>
      <c r="L125" s="1431"/>
      <c r="M125" s="1431"/>
      <c r="N125" s="1431"/>
    </row>
    <row r="126" spans="1:14" s="2" customFormat="1">
      <c r="C126" s="1668" t="s">
        <v>60</v>
      </c>
      <c r="D126" s="1669"/>
      <c r="E126" s="1669"/>
      <c r="F126" s="1669"/>
      <c r="G126" s="1670"/>
      <c r="H126" s="1081">
        <f>SUMIF(G12:G115,"SB(SP)",H12:H115)</f>
        <v>3360</v>
      </c>
      <c r="I126" s="1081">
        <f>SUMIF(G13:G112,"SB(SP)",I13:I112)</f>
        <v>3360</v>
      </c>
      <c r="J126" s="1082">
        <f>SUMIF(G13:G112,"SB(sP)",J13:J112)</f>
        <v>3360</v>
      </c>
      <c r="L126" s="73"/>
      <c r="M126" s="73"/>
      <c r="N126" s="73"/>
    </row>
    <row r="127" spans="1:14" s="2" customFormat="1">
      <c r="C127" s="1671" t="s">
        <v>212</v>
      </c>
      <c r="D127" s="1672"/>
      <c r="E127" s="1672"/>
      <c r="F127" s="1672"/>
      <c r="G127" s="1673"/>
      <c r="H127" s="1455">
        <f>SUMIF(G12:G115,"sb(L)",H12:H115)</f>
        <v>4792058</v>
      </c>
      <c r="I127" s="1455">
        <f t="shared" ref="I127:J127" si="18">SUMIF(H12:H115,"sb(L)",I12:I115)</f>
        <v>0</v>
      </c>
      <c r="J127" s="1071">
        <f t="shared" si="18"/>
        <v>0</v>
      </c>
      <c r="K127" s="1377"/>
      <c r="L127" s="73"/>
      <c r="M127" s="73"/>
      <c r="N127" s="73"/>
    </row>
    <row r="128" spans="1:14" s="2" customFormat="1">
      <c r="C128" s="1674" t="s">
        <v>378</v>
      </c>
      <c r="D128" s="1675"/>
      <c r="E128" s="1675"/>
      <c r="F128" s="1675"/>
      <c r="G128" s="1676"/>
      <c r="H128" s="1081">
        <f>SUMIF(G5:G107,"SB(KPP)",H5:H107)</f>
        <v>11585</v>
      </c>
      <c r="I128" s="1081">
        <f>SUMIF(G6:G105,"SB(KPP)",I6:I105)</f>
        <v>8689</v>
      </c>
      <c r="J128" s="1082">
        <f>SUMIF(G6:G105,"SB(KPP)",J6:J105)</f>
        <v>8689</v>
      </c>
      <c r="K128" s="198"/>
      <c r="L128" s="73"/>
      <c r="M128" s="73"/>
      <c r="N128" s="73"/>
    </row>
    <row r="129" spans="3:14" s="2" customFormat="1" ht="12.75" customHeight="1">
      <c r="C129" s="1721" t="s">
        <v>372</v>
      </c>
      <c r="D129" s="1722"/>
      <c r="E129" s="1722"/>
      <c r="F129" s="1722"/>
      <c r="G129" s="1723"/>
      <c r="H129" s="1079">
        <f>SUMIF(G13:G116,"sb(SPL)",H13:H116)</f>
        <v>3181</v>
      </c>
      <c r="I129" s="1079">
        <f>SUMIF(H13:H116,"sb(SPL)",I13:I116)</f>
        <v>0</v>
      </c>
      <c r="J129" s="1080">
        <f>SUMIF(I13:I116,"sb(SPL)",J13:J116)</f>
        <v>0</v>
      </c>
      <c r="K129" s="1377"/>
      <c r="L129" s="73"/>
      <c r="M129" s="73"/>
      <c r="N129" s="73"/>
    </row>
    <row r="130" spans="3:14" s="2" customFormat="1" ht="12.75" customHeight="1">
      <c r="C130" s="1721" t="s">
        <v>370</v>
      </c>
      <c r="D130" s="1722"/>
      <c r="E130" s="1722"/>
      <c r="F130" s="1722"/>
      <c r="G130" s="1723"/>
      <c r="H130" s="1079">
        <f>SUMIF(G13:G116,"sb(VRL)",H13:H116)</f>
        <v>18</v>
      </c>
      <c r="I130" s="1079">
        <f>SUMIF(H13:H116,"sb(VRL)",I13:I116)</f>
        <v>0</v>
      </c>
      <c r="J130" s="1080">
        <f>SUMIF(I13:I116,"sb(VRL)",J13:J116)</f>
        <v>0</v>
      </c>
      <c r="K130" s="1377"/>
      <c r="L130" s="73"/>
      <c r="M130" s="73"/>
      <c r="N130" s="73"/>
    </row>
    <row r="131" spans="3:14" s="2" customFormat="1">
      <c r="C131" s="1721" t="s">
        <v>147</v>
      </c>
      <c r="D131" s="1722"/>
      <c r="E131" s="1722"/>
      <c r="F131" s="1722"/>
      <c r="G131" s="1723"/>
      <c r="H131" s="1079">
        <f>SUMIF(G13:G115,"pf",H13:H115)</f>
        <v>4055</v>
      </c>
      <c r="I131" s="1079">
        <f>SUMIF(G13:G112,"pf",I13:I112)</f>
        <v>4055</v>
      </c>
      <c r="J131" s="1080">
        <f>SUMIF(G13:G112,"pf",J13:J112)</f>
        <v>1448</v>
      </c>
      <c r="K131" s="17"/>
      <c r="L131" s="73"/>
      <c r="M131" s="73"/>
      <c r="N131" s="73"/>
    </row>
    <row r="132" spans="3:14" s="2" customFormat="1">
      <c r="C132" s="1724" t="s">
        <v>25</v>
      </c>
      <c r="D132" s="1725"/>
      <c r="E132" s="1725"/>
      <c r="F132" s="1725"/>
      <c r="G132" s="1726"/>
      <c r="H132" s="1083">
        <f>SUM(H133:H135)</f>
        <v>224542</v>
      </c>
      <c r="I132" s="1083">
        <f>SUM(I133:I135)</f>
        <v>0</v>
      </c>
      <c r="J132" s="1084">
        <f>SUM(J133:J135)</f>
        <v>0</v>
      </c>
      <c r="K132" s="17"/>
      <c r="L132" s="73"/>
      <c r="M132" s="73"/>
      <c r="N132" s="73"/>
    </row>
    <row r="133" spans="3:14" s="2" customFormat="1">
      <c r="C133" s="1719" t="s">
        <v>57</v>
      </c>
      <c r="D133" s="1720"/>
      <c r="E133" s="1720"/>
      <c r="F133" s="1720"/>
      <c r="G133" s="1720"/>
      <c r="H133" s="1081">
        <f>SUMIF(G12:G115,"es",H12:H115)</f>
        <v>223934</v>
      </c>
      <c r="I133" s="1081">
        <f>SUMIF(G13:G112,"es",I13:I112)</f>
        <v>0</v>
      </c>
      <c r="J133" s="1082">
        <f>SUMIF(G13:G112,"es",J13:J112)</f>
        <v>0</v>
      </c>
      <c r="L133" s="73"/>
      <c r="M133" s="73"/>
      <c r="N133" s="73"/>
    </row>
    <row r="134" spans="3:14" s="2" customFormat="1">
      <c r="C134" s="1677" t="s">
        <v>58</v>
      </c>
      <c r="D134" s="1678"/>
      <c r="E134" s="1678"/>
      <c r="F134" s="1678"/>
      <c r="G134" s="1679"/>
      <c r="H134" s="1081">
        <f>SUMIF(G12:G115,"lrvb",H12:H115)</f>
        <v>608</v>
      </c>
      <c r="I134" s="1081">
        <f>SUMIF(G13:G112,"lrvb",I13:I112)</f>
        <v>0</v>
      </c>
      <c r="J134" s="1082">
        <f>SUMIF(G13:G112,"lrvb",J13:J112)</f>
        <v>0</v>
      </c>
      <c r="K134" s="1377"/>
      <c r="L134" s="73"/>
      <c r="M134" s="73"/>
      <c r="N134" s="73"/>
    </row>
    <row r="135" spans="3:14" s="2" customFormat="1">
      <c r="C135" s="1674" t="s">
        <v>220</v>
      </c>
      <c r="D135" s="1675"/>
      <c r="E135" s="1675"/>
      <c r="F135" s="1675"/>
      <c r="G135" s="1676"/>
      <c r="H135" s="1081">
        <f>SUMIF(G12:G115,"kt",H12:H115)</f>
        <v>0</v>
      </c>
      <c r="I135" s="1081">
        <f>SUMIF(G13:G112,"kt",I13:I112)</f>
        <v>0</v>
      </c>
      <c r="J135" s="1082">
        <f>SUMIF(G13:G112,"kt",J13:J112)</f>
        <v>0</v>
      </c>
      <c r="K135" s="198"/>
      <c r="L135" s="73"/>
      <c r="M135" s="73"/>
      <c r="N135" s="73"/>
    </row>
    <row r="136" spans="3:14" s="2" customFormat="1" ht="13.5" thickBot="1">
      <c r="C136" s="1716" t="s">
        <v>26</v>
      </c>
      <c r="D136" s="1717"/>
      <c r="E136" s="1717"/>
      <c r="F136" s="1717"/>
      <c r="G136" s="1718"/>
      <c r="H136" s="1085">
        <f ca="1">H120+H132</f>
        <v>18178025</v>
      </c>
      <c r="I136" s="1085">
        <f>I120+I132</f>
        <v>12479784</v>
      </c>
      <c r="J136" s="1086">
        <f>J132+J120</f>
        <v>11692047</v>
      </c>
      <c r="K136" s="198"/>
      <c r="L136" s="73"/>
      <c r="M136" s="73"/>
      <c r="N136" s="73"/>
    </row>
    <row r="137" spans="3:14" ht="12">
      <c r="C137" s="27"/>
      <c r="D137" s="157"/>
      <c r="E137" s="157"/>
      <c r="F137" s="682"/>
      <c r="G137" s="157"/>
      <c r="H137" s="28"/>
      <c r="I137" s="28"/>
      <c r="J137" s="28"/>
    </row>
    <row r="138" spans="3:14" ht="11.25">
      <c r="D138" s="1"/>
      <c r="E138" s="1"/>
      <c r="F138" s="1"/>
      <c r="H138" s="6"/>
      <c r="J138" s="5"/>
      <c r="L138" s="1"/>
      <c r="M138" s="1"/>
      <c r="N138" s="1"/>
    </row>
    <row r="139" spans="3:14" ht="11.25">
      <c r="D139" s="1"/>
      <c r="E139" s="1"/>
      <c r="F139" s="1"/>
      <c r="G139" s="5"/>
      <c r="H139" s="6"/>
      <c r="I139" s="5"/>
      <c r="J139" s="5"/>
      <c r="L139" s="1"/>
      <c r="M139" s="1"/>
      <c r="N139" s="1"/>
    </row>
    <row r="140" spans="3:14">
      <c r="H140" s="5"/>
    </row>
    <row r="141" spans="3:14">
      <c r="H141" s="5"/>
    </row>
    <row r="142" spans="3:14" ht="11.25">
      <c r="D142" s="1"/>
      <c r="E142" s="1"/>
      <c r="F142" s="1"/>
      <c r="G142" s="4"/>
      <c r="H142" s="3"/>
      <c r="L142" s="1"/>
      <c r="M142" s="1"/>
      <c r="N142" s="1"/>
    </row>
    <row r="143" spans="3:14" ht="11.25">
      <c r="D143" s="1"/>
      <c r="E143" s="1"/>
      <c r="F143" s="1"/>
      <c r="G143" s="5"/>
      <c r="H143" s="6"/>
      <c r="L143" s="1"/>
      <c r="M143" s="1"/>
      <c r="N143" s="1"/>
    </row>
    <row r="144" spans="3:14" ht="11.25">
      <c r="D144" s="1"/>
      <c r="E144" s="1"/>
      <c r="F144" s="1"/>
      <c r="H144" s="6"/>
      <c r="L144" s="1"/>
      <c r="M144" s="1"/>
      <c r="N144" s="1"/>
    </row>
    <row r="145" spans="4:14" ht="11.25">
      <c r="D145" s="1"/>
      <c r="E145" s="1"/>
      <c r="F145" s="1"/>
      <c r="G145" s="5"/>
      <c r="H145" s="6"/>
      <c r="L145" s="1"/>
      <c r="M145" s="1"/>
      <c r="N145" s="1"/>
    </row>
    <row r="147" spans="4:14" ht="11.25">
      <c r="D147" s="1"/>
      <c r="E147" s="1"/>
      <c r="F147" s="1"/>
      <c r="G147" s="4"/>
      <c r="L147" s="1"/>
      <c r="M147" s="1"/>
      <c r="N147" s="1"/>
    </row>
    <row r="148" spans="4:14" ht="11.25">
      <c r="D148" s="1"/>
      <c r="E148" s="1"/>
      <c r="F148" s="1"/>
      <c r="G148" s="5"/>
      <c r="L148" s="1"/>
      <c r="M148" s="1"/>
      <c r="N148" s="1"/>
    </row>
    <row r="150" spans="4:14" ht="11.25">
      <c r="D150" s="1"/>
      <c r="E150" s="1"/>
      <c r="F150" s="1"/>
      <c r="G150" s="5"/>
      <c r="L150" s="1"/>
      <c r="M150" s="1"/>
      <c r="N150" s="1"/>
    </row>
  </sheetData>
  <mergeCells count="172">
    <mergeCell ref="F64:F66"/>
    <mergeCell ref="F30:F31"/>
    <mergeCell ref="K30:K31"/>
    <mergeCell ref="K39:K41"/>
    <mergeCell ref="D58:D59"/>
    <mergeCell ref="A1:N1"/>
    <mergeCell ref="A3:N3"/>
    <mergeCell ref="A5:A7"/>
    <mergeCell ref="B5:B7"/>
    <mergeCell ref="C5:C7"/>
    <mergeCell ref="D5:D7"/>
    <mergeCell ref="E5:E7"/>
    <mergeCell ref="H5:H7"/>
    <mergeCell ref="K6:K7"/>
    <mergeCell ref="L6:N6"/>
    <mergeCell ref="A8:N8"/>
    <mergeCell ref="I5:I7"/>
    <mergeCell ref="J5:J7"/>
    <mergeCell ref="K5:N5"/>
    <mergeCell ref="N26:N27"/>
    <mergeCell ref="L26:L27"/>
    <mergeCell ref="M26:M27"/>
    <mergeCell ref="F5:F7"/>
    <mergeCell ref="G5:G7"/>
    <mergeCell ref="A9:N9"/>
    <mergeCell ref="B10:N10"/>
    <mergeCell ref="C11:N11"/>
    <mergeCell ref="A14:A21"/>
    <mergeCell ref="B14:B21"/>
    <mergeCell ref="C14:C21"/>
    <mergeCell ref="D12:D25"/>
    <mergeCell ref="E12:E25"/>
    <mergeCell ref="F12:F25"/>
    <mergeCell ref="K24:K25"/>
    <mergeCell ref="A28:A29"/>
    <mergeCell ref="B28:B29"/>
    <mergeCell ref="C28:C29"/>
    <mergeCell ref="D28:D29"/>
    <mergeCell ref="E28:E29"/>
    <mergeCell ref="F28:F29"/>
    <mergeCell ref="K28:K29"/>
    <mergeCell ref="F26:F27"/>
    <mergeCell ref="K26:K27"/>
    <mergeCell ref="A26:A27"/>
    <mergeCell ref="B26:B27"/>
    <mergeCell ref="C26:C27"/>
    <mergeCell ref="D26:D27"/>
    <mergeCell ref="E26:E27"/>
    <mergeCell ref="L30:L31"/>
    <mergeCell ref="M30:M31"/>
    <mergeCell ref="N30:N31"/>
    <mergeCell ref="A30:A31"/>
    <mergeCell ref="B30:B31"/>
    <mergeCell ref="C30:C31"/>
    <mergeCell ref="D30:D31"/>
    <mergeCell ref="E30:E31"/>
    <mergeCell ref="D32:D33"/>
    <mergeCell ref="F42:F43"/>
    <mergeCell ref="F32:F33"/>
    <mergeCell ref="A39:A41"/>
    <mergeCell ref="B39:B41"/>
    <mergeCell ref="C39:C41"/>
    <mergeCell ref="D39:D41"/>
    <mergeCell ref="E39:E41"/>
    <mergeCell ref="F39:F41"/>
    <mergeCell ref="A32:A33"/>
    <mergeCell ref="B32:B33"/>
    <mergeCell ref="C32:C33"/>
    <mergeCell ref="E32:E33"/>
    <mergeCell ref="D37:D38"/>
    <mergeCell ref="E37:E38"/>
    <mergeCell ref="F37:F38"/>
    <mergeCell ref="D44:D46"/>
    <mergeCell ref="D47:D49"/>
    <mergeCell ref="D50:D51"/>
    <mergeCell ref="D55:D56"/>
    <mergeCell ref="E64:E66"/>
    <mergeCell ref="A42:A43"/>
    <mergeCell ref="B42:B43"/>
    <mergeCell ref="C42:C43"/>
    <mergeCell ref="D42:D43"/>
    <mergeCell ref="E42:E43"/>
    <mergeCell ref="D60:D62"/>
    <mergeCell ref="D65:D66"/>
    <mergeCell ref="F67:F68"/>
    <mergeCell ref="A69:A72"/>
    <mergeCell ref="B69:B72"/>
    <mergeCell ref="C69:C72"/>
    <mergeCell ref="E69:E72"/>
    <mergeCell ref="F69:F72"/>
    <mergeCell ref="A67:A68"/>
    <mergeCell ref="B67:B68"/>
    <mergeCell ref="C67:C68"/>
    <mergeCell ref="D67:D68"/>
    <mergeCell ref="E67:E68"/>
    <mergeCell ref="D85:D87"/>
    <mergeCell ref="E85:E87"/>
    <mergeCell ref="F85:F87"/>
    <mergeCell ref="K85:K86"/>
    <mergeCell ref="D82:D84"/>
    <mergeCell ref="E82:E84"/>
    <mergeCell ref="F82:F84"/>
    <mergeCell ref="K83:K84"/>
    <mergeCell ref="K71:K72"/>
    <mergeCell ref="C73:G73"/>
    <mergeCell ref="C74:N74"/>
    <mergeCell ref="E75:E80"/>
    <mergeCell ref="D80:D81"/>
    <mergeCell ref="D77:D78"/>
    <mergeCell ref="D75:D76"/>
    <mergeCell ref="F88:F90"/>
    <mergeCell ref="K88:K89"/>
    <mergeCell ref="C91:G91"/>
    <mergeCell ref="C92:N92"/>
    <mergeCell ref="A88:A90"/>
    <mergeCell ref="B88:B90"/>
    <mergeCell ref="C88:C90"/>
    <mergeCell ref="D88:D90"/>
    <mergeCell ref="E88:E90"/>
    <mergeCell ref="B96:B97"/>
    <mergeCell ref="C96:C97"/>
    <mergeCell ref="D96:D97"/>
    <mergeCell ref="E96:E97"/>
    <mergeCell ref="F96:F97"/>
    <mergeCell ref="A93:A95"/>
    <mergeCell ref="B93:B95"/>
    <mergeCell ref="C93:C95"/>
    <mergeCell ref="D93:D95"/>
    <mergeCell ref="E93:E95"/>
    <mergeCell ref="C136:G136"/>
    <mergeCell ref="C133:G133"/>
    <mergeCell ref="C134:G134"/>
    <mergeCell ref="C131:G131"/>
    <mergeCell ref="C132:G132"/>
    <mergeCell ref="C113:G113"/>
    <mergeCell ref="K113:N113"/>
    <mergeCell ref="B114:G114"/>
    <mergeCell ref="K114:N114"/>
    <mergeCell ref="B115:G115"/>
    <mergeCell ref="K115:N115"/>
    <mergeCell ref="C120:G120"/>
    <mergeCell ref="C121:G121"/>
    <mergeCell ref="A116:N116"/>
    <mergeCell ref="C117:J117"/>
    <mergeCell ref="C119:G119"/>
    <mergeCell ref="C130:G130"/>
    <mergeCell ref="C129:G129"/>
    <mergeCell ref="C128:G128"/>
    <mergeCell ref="A2:N2"/>
    <mergeCell ref="L4:N4"/>
    <mergeCell ref="C126:G126"/>
    <mergeCell ref="C127:G127"/>
    <mergeCell ref="C124:G124"/>
    <mergeCell ref="C125:G125"/>
    <mergeCell ref="C122:G122"/>
    <mergeCell ref="C123:G123"/>
    <mergeCell ref="C135:G135"/>
    <mergeCell ref="C98:G98"/>
    <mergeCell ref="K98:N98"/>
    <mergeCell ref="C99:N99"/>
    <mergeCell ref="D104:D106"/>
    <mergeCell ref="A110:A112"/>
    <mergeCell ref="B110:B112"/>
    <mergeCell ref="C110:C112"/>
    <mergeCell ref="D110:D112"/>
    <mergeCell ref="E110:E112"/>
    <mergeCell ref="F110:F112"/>
    <mergeCell ref="K111:K112"/>
    <mergeCell ref="K108:K109"/>
    <mergeCell ref="D108:D109"/>
    <mergeCell ref="F93:F95"/>
    <mergeCell ref="A96:A97"/>
  </mergeCells>
  <pageMargins left="0.78740157480314965" right="0.19685039370078741" top="0.78740157480314965" bottom="0.39370078740157483" header="0" footer="0"/>
  <pageSetup paperSize="9" scale="70" orientation="portrait" r:id="rId1"/>
  <rowBreaks count="1" manualBreakCount="1">
    <brk id="97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8"/>
  <sheetViews>
    <sheetView zoomScaleNormal="100" zoomScaleSheetLayoutView="100" workbookViewId="0">
      <selection activeCell="V8" sqref="V8"/>
    </sheetView>
  </sheetViews>
  <sheetFormatPr defaultRowHeight="12.75"/>
  <cols>
    <col min="1" max="3" width="2.85546875" style="1" customWidth="1"/>
    <col min="4" max="4" width="33.140625" style="2" customWidth="1"/>
    <col min="5" max="5" width="3.28515625" style="30" customWidth="1"/>
    <col min="6" max="6" width="2.85546875" style="8" customWidth="1"/>
    <col min="7" max="7" width="7.28515625" style="1" customWidth="1"/>
    <col min="8" max="8" width="10.5703125" style="1" customWidth="1"/>
    <col min="9" max="9" width="10.28515625" style="1" customWidth="1"/>
    <col min="10" max="10" width="9.5703125" style="1" customWidth="1"/>
    <col min="11" max="16384" width="9.140625" style="1"/>
  </cols>
  <sheetData>
    <row r="1" spans="1:10" ht="15.75">
      <c r="G1" s="1918" t="s">
        <v>313</v>
      </c>
      <c r="H1" s="1919"/>
      <c r="I1" s="1919"/>
      <c r="J1" s="1919"/>
    </row>
    <row r="2" spans="1:10" s="2" customFormat="1" ht="15.75">
      <c r="A2" s="1878" t="s">
        <v>327</v>
      </c>
      <c r="B2" s="1878"/>
      <c r="C2" s="1878"/>
      <c r="D2" s="1878"/>
      <c r="E2" s="1878"/>
      <c r="F2" s="1878"/>
      <c r="G2" s="1878"/>
      <c r="H2" s="1878"/>
      <c r="I2" s="1878"/>
      <c r="J2" s="1878"/>
    </row>
    <row r="3" spans="1:10" s="2" customFormat="1" ht="15" customHeight="1">
      <c r="A3" s="1664" t="s">
        <v>133</v>
      </c>
      <c r="B3" s="1665"/>
      <c r="C3" s="1665"/>
      <c r="D3" s="1665"/>
      <c r="E3" s="1665"/>
      <c r="F3" s="1665"/>
      <c r="G3" s="1665"/>
      <c r="H3" s="1665"/>
      <c r="I3" s="1665"/>
      <c r="J3" s="1665"/>
    </row>
    <row r="4" spans="1:10" s="2" customFormat="1" ht="15.75">
      <c r="A4" s="1878" t="s">
        <v>59</v>
      </c>
      <c r="B4" s="1878"/>
      <c r="C4" s="1878"/>
      <c r="D4" s="1878"/>
      <c r="E4" s="1878"/>
      <c r="F4" s="1878"/>
      <c r="G4" s="1878"/>
      <c r="H4" s="1878"/>
      <c r="I4" s="1878"/>
      <c r="J4" s="1878"/>
    </row>
    <row r="5" spans="1:10" s="2" customFormat="1" ht="13.5" thickBot="1">
      <c r="E5" s="30"/>
      <c r="F5" s="89"/>
      <c r="J5" s="1183" t="s">
        <v>287</v>
      </c>
    </row>
    <row r="6" spans="1:10" s="11" customFormat="1" ht="42" customHeight="1">
      <c r="A6" s="1879" t="s">
        <v>166</v>
      </c>
      <c r="B6" s="1882" t="s">
        <v>1</v>
      </c>
      <c r="C6" s="1882" t="s">
        <v>2</v>
      </c>
      <c r="D6" s="1885" t="s">
        <v>21</v>
      </c>
      <c r="E6" s="1888" t="s">
        <v>3</v>
      </c>
      <c r="F6" s="1937" t="s">
        <v>4</v>
      </c>
      <c r="G6" s="1915" t="s">
        <v>5</v>
      </c>
      <c r="H6" s="1891" t="s">
        <v>172</v>
      </c>
      <c r="I6" s="1891" t="s">
        <v>314</v>
      </c>
      <c r="J6" s="1915" t="s">
        <v>315</v>
      </c>
    </row>
    <row r="7" spans="1:10" s="11" customFormat="1" ht="21" customHeight="1">
      <c r="A7" s="1880"/>
      <c r="B7" s="1883"/>
      <c r="C7" s="1883"/>
      <c r="D7" s="1886"/>
      <c r="E7" s="1889"/>
      <c r="F7" s="1938"/>
      <c r="G7" s="1916"/>
      <c r="H7" s="1940"/>
      <c r="I7" s="1940"/>
      <c r="J7" s="1916"/>
    </row>
    <row r="8" spans="1:10" s="11" customFormat="1" ht="61.5" customHeight="1" thickBot="1">
      <c r="A8" s="1881"/>
      <c r="B8" s="1884"/>
      <c r="C8" s="1884"/>
      <c r="D8" s="1887"/>
      <c r="E8" s="1890"/>
      <c r="F8" s="1939"/>
      <c r="G8" s="1917"/>
      <c r="H8" s="1941"/>
      <c r="I8" s="1941"/>
      <c r="J8" s="1917"/>
    </row>
    <row r="9" spans="1:10" s="2" customFormat="1">
      <c r="A9" s="1942" t="s">
        <v>30</v>
      </c>
      <c r="B9" s="1943"/>
      <c r="C9" s="1943"/>
      <c r="D9" s="1943"/>
      <c r="E9" s="1943"/>
      <c r="F9" s="1943"/>
      <c r="G9" s="1943"/>
      <c r="H9" s="1943"/>
      <c r="I9" s="1943"/>
      <c r="J9" s="1944"/>
    </row>
    <row r="10" spans="1:10" s="2" customFormat="1" ht="13.5" customHeight="1">
      <c r="A10" s="1945" t="s">
        <v>62</v>
      </c>
      <c r="B10" s="1946"/>
      <c r="C10" s="1946"/>
      <c r="D10" s="1946"/>
      <c r="E10" s="1946"/>
      <c r="F10" s="1946"/>
      <c r="G10" s="1946"/>
      <c r="H10" s="1946"/>
      <c r="I10" s="1946"/>
      <c r="J10" s="1947"/>
    </row>
    <row r="11" spans="1:10" s="2" customFormat="1" ht="12.75" customHeight="1">
      <c r="A11" s="315" t="s">
        <v>8</v>
      </c>
      <c r="B11" s="1859" t="s">
        <v>50</v>
      </c>
      <c r="C11" s="1859"/>
      <c r="D11" s="1859"/>
      <c r="E11" s="1859"/>
      <c r="F11" s="1859"/>
      <c r="G11" s="1859"/>
      <c r="H11" s="1859"/>
      <c r="I11" s="1859"/>
      <c r="J11" s="1860"/>
    </row>
    <row r="12" spans="1:10" s="2" customFormat="1">
      <c r="A12" s="1624" t="s">
        <v>8</v>
      </c>
      <c r="B12" s="1625" t="s">
        <v>8</v>
      </c>
      <c r="C12" s="1948" t="s">
        <v>52</v>
      </c>
      <c r="D12" s="1949"/>
      <c r="E12" s="1949"/>
      <c r="F12" s="1949"/>
      <c r="G12" s="1949"/>
      <c r="H12" s="1949"/>
      <c r="I12" s="1949"/>
      <c r="J12" s="1950"/>
    </row>
    <row r="13" spans="1:10" s="11" customFormat="1" ht="12" customHeight="1">
      <c r="A13" s="317" t="s">
        <v>8</v>
      </c>
      <c r="B13" s="86" t="s">
        <v>8</v>
      </c>
      <c r="C13" s="698" t="s">
        <v>8</v>
      </c>
      <c r="D13" s="1701" t="s">
        <v>329</v>
      </c>
      <c r="E13" s="1952" t="s">
        <v>222</v>
      </c>
      <c r="F13" s="1869" t="s">
        <v>53</v>
      </c>
      <c r="G13" s="93" t="s">
        <v>12</v>
      </c>
      <c r="H13" s="1000">
        <f>(20179+983.3)/3.4528*1000</f>
        <v>6129026</v>
      </c>
      <c r="I13" s="957">
        <f>(20179+983.3)/3.4528*1000</f>
        <v>6129026</v>
      </c>
      <c r="J13" s="958">
        <f>I13-H13</f>
        <v>0</v>
      </c>
    </row>
    <row r="14" spans="1:10" s="2" customFormat="1" ht="13.5" customHeight="1">
      <c r="A14" s="1629"/>
      <c r="B14" s="1631"/>
      <c r="C14" s="1633"/>
      <c r="D14" s="1920"/>
      <c r="E14" s="1953"/>
      <c r="F14" s="1955"/>
      <c r="G14" s="400" t="s">
        <v>61</v>
      </c>
      <c r="H14" s="993">
        <f>11.6*1000/3.4528</f>
        <v>3360</v>
      </c>
      <c r="I14" s="1221">
        <f>11.6*1000/3.4528</f>
        <v>3360</v>
      </c>
      <c r="J14" s="995"/>
    </row>
    <row r="15" spans="1:10" s="2" customFormat="1" ht="14.25" customHeight="1">
      <c r="A15" s="1694"/>
      <c r="B15" s="1848"/>
      <c r="C15" s="1698"/>
      <c r="D15" s="1920"/>
      <c r="E15" s="1953"/>
      <c r="F15" s="1955"/>
      <c r="G15" s="21" t="s">
        <v>130</v>
      </c>
      <c r="H15" s="996">
        <f>81.9/3.4528*1000</f>
        <v>23720</v>
      </c>
      <c r="I15" s="1028">
        <f>81.9/3.4528*1000</f>
        <v>23720</v>
      </c>
      <c r="J15" s="997"/>
    </row>
    <row r="16" spans="1:10" s="2" customFormat="1" ht="14.25" customHeight="1">
      <c r="A16" s="1694"/>
      <c r="B16" s="1848"/>
      <c r="C16" s="1698"/>
      <c r="D16" s="1920"/>
      <c r="E16" s="1953"/>
      <c r="F16" s="1955"/>
      <c r="G16" s="21" t="s">
        <v>47</v>
      </c>
      <c r="H16" s="996">
        <v>713867</v>
      </c>
      <c r="I16" s="1028">
        <v>713867</v>
      </c>
      <c r="J16" s="997">
        <f>I16-H16</f>
        <v>0</v>
      </c>
    </row>
    <row r="17" spans="1:10" s="2" customFormat="1" ht="15" customHeight="1">
      <c r="A17" s="1694"/>
      <c r="B17" s="1848"/>
      <c r="C17" s="1698"/>
      <c r="D17" s="1920"/>
      <c r="E17" s="1953"/>
      <c r="F17" s="1955"/>
      <c r="G17" s="21" t="s">
        <v>178</v>
      </c>
      <c r="H17" s="996">
        <f>3181</f>
        <v>3181</v>
      </c>
      <c r="I17" s="1028">
        <f>3181</f>
        <v>3181</v>
      </c>
      <c r="J17" s="997">
        <f>I17-H17</f>
        <v>0</v>
      </c>
    </row>
    <row r="18" spans="1:10" s="2" customFormat="1" ht="30.75" customHeight="1">
      <c r="A18" s="1694"/>
      <c r="B18" s="1848"/>
      <c r="C18" s="1698"/>
      <c r="D18" s="1920"/>
      <c r="E18" s="1953"/>
      <c r="F18" s="1955"/>
      <c r="G18" s="394" t="s">
        <v>369</v>
      </c>
      <c r="H18" s="998">
        <v>18</v>
      </c>
      <c r="I18" s="955">
        <v>18</v>
      </c>
      <c r="J18" s="999">
        <f>I18-H18</f>
        <v>0</v>
      </c>
    </row>
    <row r="19" spans="1:10" s="2" customFormat="1" ht="15" customHeight="1">
      <c r="A19" s="1694"/>
      <c r="B19" s="1848"/>
      <c r="C19" s="1698"/>
      <c r="D19" s="1920"/>
      <c r="E19" s="1953"/>
      <c r="F19" s="1955"/>
      <c r="G19" s="394"/>
      <c r="H19" s="998"/>
      <c r="I19" s="955"/>
      <c r="J19" s="999"/>
    </row>
    <row r="20" spans="1:10" s="2" customFormat="1" ht="27" customHeight="1">
      <c r="A20" s="1694"/>
      <c r="B20" s="1848"/>
      <c r="C20" s="1698"/>
      <c r="D20" s="1920"/>
      <c r="E20" s="1953"/>
      <c r="F20" s="1955"/>
      <c r="G20" s="394"/>
      <c r="H20" s="998"/>
      <c r="I20" s="955"/>
      <c r="J20" s="1025"/>
    </row>
    <row r="21" spans="1:10" s="2" customFormat="1">
      <c r="A21" s="1694"/>
      <c r="B21" s="1848"/>
      <c r="C21" s="1698"/>
      <c r="D21" s="1920"/>
      <c r="E21" s="1953"/>
      <c r="F21" s="1955"/>
      <c r="G21" s="394"/>
      <c r="H21" s="998"/>
      <c r="I21" s="955"/>
      <c r="J21" s="1025"/>
    </row>
    <row r="22" spans="1:10" s="2" customFormat="1">
      <c r="A22" s="1629"/>
      <c r="B22" s="1646"/>
      <c r="C22" s="1633"/>
      <c r="D22" s="1920"/>
      <c r="E22" s="1953"/>
      <c r="F22" s="1955"/>
      <c r="G22" s="394"/>
      <c r="H22" s="998"/>
      <c r="I22" s="955"/>
      <c r="J22" s="1025"/>
    </row>
    <row r="23" spans="1:10" s="2" customFormat="1" ht="24.75" customHeight="1">
      <c r="A23" s="319"/>
      <c r="B23" s="1631"/>
      <c r="C23" s="1633"/>
      <c r="D23" s="1920"/>
      <c r="E23" s="1953"/>
      <c r="F23" s="1955"/>
      <c r="G23" s="839"/>
      <c r="H23" s="998"/>
      <c r="I23" s="955"/>
      <c r="J23" s="955"/>
    </row>
    <row r="24" spans="1:10" s="2" customFormat="1" ht="22.5" customHeight="1">
      <c r="A24" s="319"/>
      <c r="B24" s="1631"/>
      <c r="C24" s="1633"/>
      <c r="D24" s="1920"/>
      <c r="E24" s="1953"/>
      <c r="F24" s="1955"/>
      <c r="G24" s="93"/>
      <c r="H24" s="1000"/>
      <c r="I24" s="957"/>
      <c r="J24" s="957"/>
    </row>
    <row r="25" spans="1:10" s="2" customFormat="1" ht="20.25" customHeight="1" thickBot="1">
      <c r="A25" s="320"/>
      <c r="B25" s="1632"/>
      <c r="C25" s="697"/>
      <c r="D25" s="1951"/>
      <c r="E25" s="1954"/>
      <c r="F25" s="1956"/>
      <c r="G25" s="1636" t="s">
        <v>15</v>
      </c>
      <c r="H25" s="1002">
        <f t="shared" ref="H25:J25" si="0">SUM(H13:H23)</f>
        <v>6873172</v>
      </c>
      <c r="I25" s="1002">
        <f t="shared" si="0"/>
        <v>6873172</v>
      </c>
      <c r="J25" s="1002">
        <f t="shared" si="0"/>
        <v>0</v>
      </c>
    </row>
    <row r="26" spans="1:10" s="2" customFormat="1" ht="21" customHeight="1">
      <c r="A26" s="1694" t="s">
        <v>8</v>
      </c>
      <c r="B26" s="1848" t="s">
        <v>8</v>
      </c>
      <c r="C26" s="1822" t="s">
        <v>9</v>
      </c>
      <c r="D26" s="1850" t="s">
        <v>118</v>
      </c>
      <c r="E26" s="1835"/>
      <c r="F26" s="1832" t="s">
        <v>53</v>
      </c>
      <c r="G26" s="10" t="s">
        <v>12</v>
      </c>
      <c r="H26" s="1236">
        <f>449.7/3.4528*1000</f>
        <v>130242</v>
      </c>
      <c r="I26" s="1222">
        <f>449.7/3.4528*1000</f>
        <v>130242</v>
      </c>
      <c r="J26" s="1006"/>
    </row>
    <row r="27" spans="1:10" s="2" customFormat="1" ht="17.25" customHeight="1" thickBot="1">
      <c r="A27" s="1695"/>
      <c r="B27" s="1849"/>
      <c r="C27" s="1811"/>
      <c r="D27" s="1846"/>
      <c r="E27" s="1814"/>
      <c r="F27" s="1851"/>
      <c r="G27" s="222" t="s">
        <v>15</v>
      </c>
      <c r="H27" s="1008">
        <f t="shared" ref="H27" si="1">H26</f>
        <v>130242</v>
      </c>
      <c r="I27" s="1002">
        <f t="shared" ref="I27" si="2">I26</f>
        <v>130242</v>
      </c>
      <c r="J27" s="1002"/>
    </row>
    <row r="28" spans="1:10" s="2" customFormat="1" ht="12.75" customHeight="1">
      <c r="A28" s="1694" t="s">
        <v>8</v>
      </c>
      <c r="B28" s="1848" t="s">
        <v>8</v>
      </c>
      <c r="C28" s="1822" t="s">
        <v>10</v>
      </c>
      <c r="D28" s="1850" t="s">
        <v>48</v>
      </c>
      <c r="E28" s="1835"/>
      <c r="F28" s="1832" t="s">
        <v>53</v>
      </c>
      <c r="G28" s="12" t="s">
        <v>12</v>
      </c>
      <c r="H28" s="1236">
        <f>844.9*1000/3.4528</f>
        <v>244700</v>
      </c>
      <c r="I28" s="957">
        <f>844.9*1000/3.4528</f>
        <v>244700</v>
      </c>
      <c r="J28" s="1006"/>
    </row>
    <row r="29" spans="1:10" s="2" customFormat="1" ht="14.25" customHeight="1" thickBot="1">
      <c r="A29" s="1695"/>
      <c r="B29" s="1849"/>
      <c r="C29" s="1811"/>
      <c r="D29" s="1846"/>
      <c r="E29" s="1814"/>
      <c r="F29" s="1851"/>
      <c r="G29" s="222" t="s">
        <v>15</v>
      </c>
      <c r="H29" s="1008">
        <f>H28</f>
        <v>244700</v>
      </c>
      <c r="I29" s="1002">
        <f>I28</f>
        <v>244700</v>
      </c>
      <c r="J29" s="1002"/>
    </row>
    <row r="30" spans="1:10" s="2" customFormat="1" ht="18" customHeight="1">
      <c r="A30" s="1754" t="s">
        <v>8</v>
      </c>
      <c r="B30" s="1755" t="s">
        <v>8</v>
      </c>
      <c r="C30" s="1810" t="s">
        <v>11</v>
      </c>
      <c r="D30" s="1845" t="s">
        <v>137</v>
      </c>
      <c r="E30" s="1813"/>
      <c r="F30" s="1831" t="s">
        <v>53</v>
      </c>
      <c r="G30" s="19" t="s">
        <v>12</v>
      </c>
      <c r="H30" s="1237">
        <f>(316.8+5.5)/3.4528*1000</f>
        <v>93345</v>
      </c>
      <c r="I30" s="1243">
        <f>(316.8+5.5)/3.4528*1000</f>
        <v>93345</v>
      </c>
      <c r="J30" s="1009">
        <f>I30-H30</f>
        <v>0</v>
      </c>
    </row>
    <row r="31" spans="1:10" s="2" customFormat="1" ht="21.75" customHeight="1" thickBot="1">
      <c r="A31" s="1695"/>
      <c r="B31" s="1697"/>
      <c r="C31" s="1811"/>
      <c r="D31" s="1846"/>
      <c r="E31" s="1814"/>
      <c r="F31" s="1851"/>
      <c r="G31" s="220" t="s">
        <v>15</v>
      </c>
      <c r="H31" s="1017">
        <f t="shared" ref="H31:J31" si="3">H30</f>
        <v>93345</v>
      </c>
      <c r="I31" s="1011">
        <f t="shared" ref="I31" si="4">I30</f>
        <v>93345</v>
      </c>
      <c r="J31" s="1011">
        <f t="shared" si="3"/>
        <v>0</v>
      </c>
    </row>
    <row r="32" spans="1:10" s="2" customFormat="1" ht="19.5" customHeight="1">
      <c r="A32" s="1754" t="s">
        <v>8</v>
      </c>
      <c r="B32" s="1755" t="s">
        <v>8</v>
      </c>
      <c r="C32" s="1810" t="s">
        <v>32</v>
      </c>
      <c r="D32" s="1845" t="s">
        <v>157</v>
      </c>
      <c r="E32" s="1813"/>
      <c r="F32" s="1831" t="s">
        <v>53</v>
      </c>
      <c r="G32" s="12" t="s">
        <v>12</v>
      </c>
      <c r="H32" s="1027">
        <f>42.4/3.4528*1000</f>
        <v>12280</v>
      </c>
      <c r="I32" s="957">
        <f>42.4/3.4528*1000</f>
        <v>12280</v>
      </c>
      <c r="J32" s="1013"/>
    </row>
    <row r="33" spans="1:10" s="2" customFormat="1" ht="13.5" thickBot="1">
      <c r="A33" s="1694"/>
      <c r="B33" s="1696"/>
      <c r="C33" s="1822"/>
      <c r="D33" s="1936"/>
      <c r="E33" s="1835"/>
      <c r="F33" s="1832"/>
      <c r="G33" s="225" t="s">
        <v>15</v>
      </c>
      <c r="H33" s="1238">
        <f>SUM(H32:H32)</f>
        <v>12280</v>
      </c>
      <c r="I33" s="1241">
        <f>SUM(I32:I32)</f>
        <v>12280</v>
      </c>
      <c r="J33" s="1241"/>
    </row>
    <row r="34" spans="1:10" s="2" customFormat="1" ht="25.5">
      <c r="A34" s="1637" t="s">
        <v>8</v>
      </c>
      <c r="B34" s="197" t="s">
        <v>8</v>
      </c>
      <c r="C34" s="701" t="s">
        <v>34</v>
      </c>
      <c r="D34" s="1634" t="s">
        <v>139</v>
      </c>
      <c r="E34" s="785"/>
      <c r="F34" s="1645"/>
      <c r="G34" s="10"/>
      <c r="H34" s="1049"/>
      <c r="I34" s="1222"/>
      <c r="J34" s="1006"/>
    </row>
    <row r="35" spans="1:10" s="2" customFormat="1" ht="28.5" customHeight="1">
      <c r="A35" s="1629"/>
      <c r="B35" s="196"/>
      <c r="C35" s="702"/>
      <c r="D35" s="1642" t="s">
        <v>120</v>
      </c>
      <c r="E35" s="247"/>
      <c r="F35" s="713" t="s">
        <v>53</v>
      </c>
      <c r="G35" s="12" t="s">
        <v>12</v>
      </c>
      <c r="H35" s="996">
        <f>(117.8+10.6)/3.4528*1000</f>
        <v>37187</v>
      </c>
      <c r="I35" s="1028">
        <f>(117.8+10.6)/3.4528*1000</f>
        <v>37187</v>
      </c>
      <c r="J35" s="952">
        <f>I35-H35</f>
        <v>0</v>
      </c>
    </row>
    <row r="36" spans="1:10" s="2" customFormat="1" ht="90.75" customHeight="1">
      <c r="A36" s="1649"/>
      <c r="B36" s="1660"/>
      <c r="C36" s="1366"/>
      <c r="D36" s="1650" t="s">
        <v>283</v>
      </c>
      <c r="E36" s="247"/>
      <c r="F36" s="713" t="s">
        <v>54</v>
      </c>
      <c r="G36" s="14" t="s">
        <v>12</v>
      </c>
      <c r="H36" s="1661">
        <f>107.8/3.4528*1000</f>
        <v>31221</v>
      </c>
      <c r="I36" s="1028">
        <f>107.8/3.4528*1000</f>
        <v>31221</v>
      </c>
      <c r="J36" s="952"/>
    </row>
    <row r="37" spans="1:10" s="2" customFormat="1">
      <c r="A37" s="1629"/>
      <c r="B37" s="196"/>
      <c r="C37" s="1648"/>
      <c r="D37" s="1933" t="s">
        <v>206</v>
      </c>
      <c r="E37" s="1837"/>
      <c r="F37" s="1839"/>
      <c r="G37" s="150"/>
      <c r="H37" s="1239"/>
      <c r="I37" s="1225"/>
      <c r="J37" s="1037"/>
    </row>
    <row r="38" spans="1:10" s="2" customFormat="1" ht="27.75" customHeight="1" thickBot="1">
      <c r="A38" s="1630"/>
      <c r="B38" s="1632"/>
      <c r="C38" s="697"/>
      <c r="D38" s="1922"/>
      <c r="E38" s="1934"/>
      <c r="F38" s="1935"/>
      <c r="G38" s="222" t="s">
        <v>15</v>
      </c>
      <c r="H38" s="1240">
        <f>SUM(H35:H37)</f>
        <v>68408</v>
      </c>
      <c r="I38" s="1242">
        <f>SUM(I35:I37)</f>
        <v>68408</v>
      </c>
      <c r="J38" s="1242">
        <f>J35</f>
        <v>0</v>
      </c>
    </row>
    <row r="39" spans="1:10" s="11" customFormat="1" ht="12.75" customHeight="1">
      <c r="A39" s="1694" t="s">
        <v>8</v>
      </c>
      <c r="B39" s="1696" t="s">
        <v>8</v>
      </c>
      <c r="C39" s="1822" t="s">
        <v>35</v>
      </c>
      <c r="D39" s="1833" t="s">
        <v>28</v>
      </c>
      <c r="E39" s="1825"/>
      <c r="F39" s="1834" t="s">
        <v>53</v>
      </c>
      <c r="G39" s="1429" t="s">
        <v>12</v>
      </c>
      <c r="H39" s="1087">
        <v>4439883</v>
      </c>
      <c r="I39" s="1222">
        <f>4439883-393070</f>
        <v>4046813</v>
      </c>
      <c r="J39" s="1620">
        <f>I39-H39</f>
        <v>-393070</v>
      </c>
    </row>
    <row r="40" spans="1:10" s="11" customFormat="1" ht="12.75" customHeight="1">
      <c r="A40" s="1694"/>
      <c r="B40" s="1696"/>
      <c r="C40" s="1822"/>
      <c r="D40" s="1833"/>
      <c r="E40" s="1825"/>
      <c r="F40" s="1834"/>
      <c r="G40" s="1426" t="s">
        <v>179</v>
      </c>
      <c r="H40" s="998">
        <v>4792058</v>
      </c>
      <c r="I40" s="955">
        <v>4792058</v>
      </c>
      <c r="J40" s="956">
        <f>I40-H40</f>
        <v>0</v>
      </c>
    </row>
    <row r="41" spans="1:10" s="11" customFormat="1" ht="13.5" thickBot="1">
      <c r="A41" s="1695"/>
      <c r="B41" s="1697"/>
      <c r="C41" s="1811"/>
      <c r="D41" s="1824"/>
      <c r="E41" s="1826"/>
      <c r="F41" s="1830"/>
      <c r="G41" s="227" t="s">
        <v>15</v>
      </c>
      <c r="H41" s="1017">
        <f>H39+H40</f>
        <v>9231941</v>
      </c>
      <c r="I41" s="1011">
        <f>I39+I40</f>
        <v>8838871</v>
      </c>
      <c r="J41" s="1621">
        <f>SUM(J39:J40)</f>
        <v>-393070</v>
      </c>
    </row>
    <row r="42" spans="1:10" s="11" customFormat="1" ht="12.75" customHeight="1">
      <c r="A42" s="1754" t="s">
        <v>8</v>
      </c>
      <c r="B42" s="1755" t="s">
        <v>8</v>
      </c>
      <c r="C42" s="1822" t="s">
        <v>36</v>
      </c>
      <c r="D42" s="1823" t="s">
        <v>81</v>
      </c>
      <c r="E42" s="1825"/>
      <c r="F42" s="1829" t="s">
        <v>53</v>
      </c>
      <c r="G42" s="156" t="s">
        <v>12</v>
      </c>
      <c r="H42" s="1069">
        <f>100/3.4528*1000</f>
        <v>28962</v>
      </c>
      <c r="I42" s="955">
        <f>100/3.4528*1000</f>
        <v>28962</v>
      </c>
      <c r="J42" s="1447"/>
    </row>
    <row r="43" spans="1:10" s="11" customFormat="1" ht="13.5" thickBot="1">
      <c r="A43" s="1695"/>
      <c r="B43" s="1697"/>
      <c r="C43" s="1811"/>
      <c r="D43" s="1824"/>
      <c r="E43" s="1826"/>
      <c r="F43" s="1830"/>
      <c r="G43" s="227" t="s">
        <v>15</v>
      </c>
      <c r="H43" s="1231">
        <f>H42</f>
        <v>28962</v>
      </c>
      <c r="I43" s="1235">
        <f>I42</f>
        <v>28962</v>
      </c>
      <c r="J43" s="1234">
        <f t="shared" ref="J43" si="5">SUM(J42:J42)</f>
        <v>0</v>
      </c>
    </row>
    <row r="44" spans="1:10" s="2" customFormat="1" ht="12.75" customHeight="1">
      <c r="A44" s="321" t="s">
        <v>8</v>
      </c>
      <c r="B44" s="85" t="s">
        <v>8</v>
      </c>
      <c r="C44" s="711" t="s">
        <v>37</v>
      </c>
      <c r="D44" s="1798" t="s">
        <v>138</v>
      </c>
      <c r="E44" s="787"/>
      <c r="F44" s="1640">
        <v>1</v>
      </c>
      <c r="G44" s="10" t="s">
        <v>12</v>
      </c>
      <c r="H44" s="1087">
        <f>(809.5/3.4528*1000)+15000</f>
        <v>249447</v>
      </c>
      <c r="I44" s="1222">
        <f>(809.5/3.4528*1000)+15000</f>
        <v>249447</v>
      </c>
      <c r="J44" s="1232">
        <f>I44-H44</f>
        <v>0</v>
      </c>
    </row>
    <row r="45" spans="1:10" s="2" customFormat="1">
      <c r="A45" s="317"/>
      <c r="B45" s="86"/>
      <c r="C45" s="696"/>
      <c r="D45" s="1920"/>
      <c r="E45" s="788"/>
      <c r="F45" s="279"/>
      <c r="G45" s="14" t="s">
        <v>379</v>
      </c>
      <c r="H45" s="1051">
        <f>40/3.4528*1000</f>
        <v>11585</v>
      </c>
      <c r="I45" s="1028">
        <f>40/3.4528*1000</f>
        <v>11585</v>
      </c>
      <c r="J45" s="997"/>
    </row>
    <row r="46" spans="1:10" s="2" customFormat="1" ht="24.75" customHeight="1">
      <c r="A46" s="317"/>
      <c r="B46" s="86"/>
      <c r="C46" s="696"/>
      <c r="D46" s="1921"/>
      <c r="E46" s="788"/>
      <c r="F46" s="279"/>
      <c r="G46" s="456" t="s">
        <v>13</v>
      </c>
      <c r="H46" s="1069">
        <f>14/3.4528*1000</f>
        <v>4055</v>
      </c>
      <c r="I46" s="955">
        <f>14/3.4528*1000</f>
        <v>4055</v>
      </c>
      <c r="J46" s="999"/>
    </row>
    <row r="47" spans="1:10" s="2" customFormat="1" ht="16.5" customHeight="1">
      <c r="A47" s="317"/>
      <c r="B47" s="86"/>
      <c r="C47" s="696"/>
      <c r="D47" s="1815" t="s">
        <v>158</v>
      </c>
      <c r="E47" s="788"/>
      <c r="F47" s="279"/>
      <c r="G47" s="456"/>
      <c r="H47" s="1069"/>
      <c r="I47" s="955"/>
      <c r="J47" s="999"/>
    </row>
    <row r="48" spans="1:10" s="2" customFormat="1" ht="15.75" customHeight="1">
      <c r="A48" s="317"/>
      <c r="B48" s="86"/>
      <c r="C48" s="696"/>
      <c r="D48" s="1815"/>
      <c r="E48" s="788"/>
      <c r="F48" s="279"/>
      <c r="G48" s="456"/>
      <c r="H48" s="1069"/>
      <c r="I48" s="955"/>
      <c r="J48" s="999"/>
    </row>
    <row r="49" spans="1:15" s="2" customFormat="1" ht="13.5" customHeight="1">
      <c r="A49" s="317"/>
      <c r="B49" s="86"/>
      <c r="C49" s="696"/>
      <c r="D49" s="1815"/>
      <c r="E49" s="789"/>
      <c r="F49" s="280"/>
      <c r="G49" s="456"/>
      <c r="H49" s="1069"/>
      <c r="I49" s="955"/>
      <c r="J49" s="999"/>
    </row>
    <row r="50" spans="1:15" s="2" customFormat="1" ht="16.5" customHeight="1">
      <c r="A50" s="317"/>
      <c r="B50" s="86"/>
      <c r="C50" s="696"/>
      <c r="D50" s="1816" t="s">
        <v>51</v>
      </c>
      <c r="E50" s="790"/>
      <c r="F50" s="775"/>
      <c r="G50" s="1108"/>
      <c r="H50" s="1069"/>
      <c r="I50" s="955"/>
      <c r="J50" s="999"/>
    </row>
    <row r="51" spans="1:15" s="2" customFormat="1" ht="15.75" customHeight="1">
      <c r="A51" s="317"/>
      <c r="B51" s="86"/>
      <c r="C51" s="696"/>
      <c r="D51" s="1817"/>
      <c r="E51" s="100"/>
      <c r="F51" s="279"/>
      <c r="G51" s="1108"/>
      <c r="H51" s="1069"/>
      <c r="I51" s="955"/>
      <c r="J51" s="999"/>
    </row>
    <row r="52" spans="1:15" s="2" customFormat="1" ht="51">
      <c r="A52" s="317"/>
      <c r="B52" s="86"/>
      <c r="C52" s="696"/>
      <c r="D52" s="1643" t="s">
        <v>79</v>
      </c>
      <c r="E52" s="100"/>
      <c r="F52" s="279"/>
      <c r="G52" s="1108"/>
      <c r="H52" s="1069"/>
      <c r="I52" s="955"/>
      <c r="J52" s="1233"/>
    </row>
    <row r="53" spans="1:15" s="2" customFormat="1" ht="41.25" customHeight="1">
      <c r="A53" s="317"/>
      <c r="B53" s="86"/>
      <c r="C53" s="696"/>
      <c r="D53" s="1647" t="s">
        <v>199</v>
      </c>
      <c r="E53" s="100"/>
      <c r="F53" s="279"/>
      <c r="G53" s="1108"/>
      <c r="H53" s="1069"/>
      <c r="I53" s="955"/>
      <c r="J53" s="999"/>
    </row>
    <row r="54" spans="1:15" s="2" customFormat="1" ht="54" customHeight="1">
      <c r="A54" s="317"/>
      <c r="B54" s="201"/>
      <c r="C54" s="712"/>
      <c r="D54" s="1643" t="s">
        <v>159</v>
      </c>
      <c r="E54" s="277"/>
      <c r="F54" s="279"/>
      <c r="G54" s="1108"/>
      <c r="H54" s="1069"/>
      <c r="I54" s="955"/>
      <c r="J54" s="999"/>
      <c r="O54" s="812"/>
    </row>
    <row r="55" spans="1:15" s="2" customFormat="1" ht="14.25" customHeight="1">
      <c r="A55" s="317"/>
      <c r="B55" s="201"/>
      <c r="C55" s="712"/>
      <c r="D55" s="1818" t="s">
        <v>66</v>
      </c>
      <c r="E55" s="791"/>
      <c r="F55" s="279"/>
      <c r="G55" s="1108"/>
      <c r="H55" s="1113"/>
      <c r="I55" s="1110"/>
      <c r="J55" s="1233"/>
    </row>
    <row r="56" spans="1:15" s="2" customFormat="1" ht="23.25" customHeight="1">
      <c r="A56" s="317"/>
      <c r="B56" s="201"/>
      <c r="C56" s="712"/>
      <c r="D56" s="1815"/>
      <c r="E56" s="791"/>
      <c r="F56" s="279"/>
      <c r="G56" s="1108"/>
      <c r="H56" s="1113"/>
      <c r="I56" s="1110"/>
      <c r="J56" s="1233"/>
    </row>
    <row r="57" spans="1:15" s="2" customFormat="1" ht="39.75" customHeight="1">
      <c r="A57" s="317"/>
      <c r="B57" s="201"/>
      <c r="C57" s="712"/>
      <c r="D57" s="1643" t="s">
        <v>284</v>
      </c>
      <c r="E57" s="791"/>
      <c r="F57" s="279"/>
      <c r="G57" s="1108"/>
      <c r="H57" s="1069"/>
      <c r="I57" s="955"/>
      <c r="J57" s="999"/>
    </row>
    <row r="58" spans="1:15" s="2" customFormat="1" ht="28.5" customHeight="1">
      <c r="A58" s="317"/>
      <c r="B58" s="201"/>
      <c r="C58" s="712"/>
      <c r="D58" s="1691" t="s">
        <v>203</v>
      </c>
      <c r="E58" s="791"/>
      <c r="F58" s="279"/>
      <c r="G58" s="1108"/>
      <c r="H58" s="1069"/>
      <c r="I58" s="955"/>
      <c r="J58" s="999"/>
    </row>
    <row r="59" spans="1:15" s="2" customFormat="1" ht="10.5" customHeight="1">
      <c r="A59" s="317"/>
      <c r="B59" s="201"/>
      <c r="C59" s="712"/>
      <c r="D59" s="1921"/>
      <c r="E59" s="792"/>
      <c r="F59" s="280"/>
      <c r="G59" s="1108"/>
      <c r="H59" s="1069"/>
      <c r="I59" s="955"/>
      <c r="J59" s="999"/>
    </row>
    <row r="60" spans="1:15" s="2" customFormat="1" ht="30.75" customHeight="1">
      <c r="A60" s="317"/>
      <c r="B60" s="201"/>
      <c r="C60" s="712"/>
      <c r="D60" s="1627" t="s">
        <v>202</v>
      </c>
      <c r="E60" s="792"/>
      <c r="F60" s="280"/>
      <c r="G60" s="1108"/>
      <c r="H60" s="1069"/>
      <c r="I60" s="955"/>
      <c r="J60" s="999"/>
    </row>
    <row r="61" spans="1:15" s="2" customFormat="1" ht="28.5" customHeight="1">
      <c r="A61" s="317"/>
      <c r="B61" s="201"/>
      <c r="C61" s="712"/>
      <c r="D61" s="1642" t="s">
        <v>205</v>
      </c>
      <c r="E61" s="792"/>
      <c r="F61" s="280"/>
      <c r="G61" s="1108"/>
      <c r="H61" s="1069"/>
      <c r="I61" s="955"/>
      <c r="J61" s="999"/>
    </row>
    <row r="62" spans="1:15" s="2" customFormat="1" ht="54" customHeight="1">
      <c r="A62" s="317"/>
      <c r="B62" s="201"/>
      <c r="C62" s="203"/>
      <c r="D62" s="1642" t="s">
        <v>285</v>
      </c>
      <c r="E62" s="1928"/>
      <c r="F62" s="1931"/>
      <c r="G62" s="1108"/>
      <c r="H62" s="1069"/>
      <c r="I62" s="955"/>
      <c r="J62" s="956"/>
    </row>
    <row r="63" spans="1:15" s="2" customFormat="1" ht="28.5" customHeight="1">
      <c r="A63" s="317"/>
      <c r="B63" s="201"/>
      <c r="C63" s="203"/>
      <c r="D63" s="1635" t="s">
        <v>330</v>
      </c>
      <c r="E63" s="1929"/>
      <c r="F63" s="1874"/>
      <c r="G63" s="1108"/>
      <c r="H63" s="1069"/>
      <c r="I63" s="955"/>
      <c r="J63" s="956"/>
    </row>
    <row r="64" spans="1:15" s="2" customFormat="1" ht="13.5" thickBot="1">
      <c r="A64" s="317"/>
      <c r="B64" s="201"/>
      <c r="C64" s="203"/>
      <c r="D64" s="1616"/>
      <c r="E64" s="1930"/>
      <c r="F64" s="1932"/>
      <c r="G64" s="715" t="s">
        <v>15</v>
      </c>
      <c r="H64" s="1029">
        <f t="shared" ref="H64:J64" si="6">H44+H45+H46</f>
        <v>265087</v>
      </c>
      <c r="I64" s="1235">
        <f t="shared" si="6"/>
        <v>265087</v>
      </c>
      <c r="J64" s="1617">
        <f t="shared" si="6"/>
        <v>0</v>
      </c>
    </row>
    <row r="65" spans="1:10" s="2" customFormat="1" ht="24" customHeight="1">
      <c r="A65" s="1754" t="s">
        <v>8</v>
      </c>
      <c r="B65" s="1755" t="s">
        <v>8</v>
      </c>
      <c r="C65" s="1810" t="s">
        <v>33</v>
      </c>
      <c r="D65" s="1798" t="s">
        <v>55</v>
      </c>
      <c r="E65" s="1813"/>
      <c r="F65" s="1799">
        <v>1</v>
      </c>
      <c r="G65" s="91" t="s">
        <v>12</v>
      </c>
      <c r="H65" s="1030">
        <f>30/3.4528*1000</f>
        <v>8689</v>
      </c>
      <c r="I65" s="954">
        <f>30/3.4528*1000</f>
        <v>8689</v>
      </c>
      <c r="J65" s="1448"/>
    </row>
    <row r="66" spans="1:10" s="2" customFormat="1" ht="15" customHeight="1" thickBot="1">
      <c r="A66" s="1695"/>
      <c r="B66" s="1697"/>
      <c r="C66" s="1811"/>
      <c r="D66" s="1812"/>
      <c r="E66" s="1814"/>
      <c r="F66" s="1800"/>
      <c r="G66" s="258" t="s">
        <v>15</v>
      </c>
      <c r="H66" s="1017">
        <f t="shared" ref="H66:I66" si="7">SUM(H65)</f>
        <v>8689</v>
      </c>
      <c r="I66" s="1011">
        <f t="shared" si="7"/>
        <v>8689</v>
      </c>
      <c r="J66" s="1234">
        <f>J65</f>
        <v>0</v>
      </c>
    </row>
    <row r="67" spans="1:10" s="23" customFormat="1" ht="18" customHeight="1">
      <c r="A67" s="1754" t="s">
        <v>8</v>
      </c>
      <c r="B67" s="1755" t="s">
        <v>8</v>
      </c>
      <c r="C67" s="1773" t="s">
        <v>38</v>
      </c>
      <c r="D67" s="1357" t="s">
        <v>152</v>
      </c>
      <c r="E67" s="1802"/>
      <c r="F67" s="1806" t="s">
        <v>54</v>
      </c>
      <c r="G67" s="303"/>
      <c r="H67" s="1427"/>
      <c r="I67" s="1222"/>
      <c r="J67" s="1232"/>
    </row>
    <row r="68" spans="1:10" s="23" customFormat="1" ht="26.25" customHeight="1">
      <c r="A68" s="1694"/>
      <c r="B68" s="1696"/>
      <c r="C68" s="1774"/>
      <c r="D68" s="292" t="s">
        <v>154</v>
      </c>
      <c r="E68" s="1803"/>
      <c r="F68" s="1807"/>
      <c r="G68" s="1355" t="s">
        <v>47</v>
      </c>
      <c r="H68" s="1000">
        <f>988.793/3.4528*1000</f>
        <v>286374</v>
      </c>
      <c r="I68" s="957">
        <f>988.793/3.4528*1000</f>
        <v>286374</v>
      </c>
      <c r="J68" s="1618">
        <f>I68-H68</f>
        <v>0</v>
      </c>
    </row>
    <row r="69" spans="1:10" s="23" customFormat="1" ht="15.75" customHeight="1">
      <c r="A69" s="1694"/>
      <c r="B69" s="1696"/>
      <c r="C69" s="1801"/>
      <c r="D69" s="1360" t="s">
        <v>153</v>
      </c>
      <c r="E69" s="1804"/>
      <c r="F69" s="1808"/>
      <c r="G69" s="310" t="s">
        <v>47</v>
      </c>
      <c r="H69" s="998">
        <v>7820</v>
      </c>
      <c r="I69" s="955">
        <v>7820</v>
      </c>
      <c r="J69" s="1619">
        <f>I69-H69</f>
        <v>0</v>
      </c>
    </row>
    <row r="70" spans="1:10" s="23" customFormat="1" ht="13.5" thickBot="1">
      <c r="A70" s="1695"/>
      <c r="B70" s="1697"/>
      <c r="C70" s="1775"/>
      <c r="D70" s="302"/>
      <c r="E70" s="1805"/>
      <c r="F70" s="1809"/>
      <c r="G70" s="258" t="s">
        <v>15</v>
      </c>
      <c r="H70" s="1065">
        <f>H69+H67+H68</f>
        <v>294194</v>
      </c>
      <c r="I70" s="1011">
        <f t="shared" ref="I70:J70" si="8">I69+I67+I68</f>
        <v>294194</v>
      </c>
      <c r="J70" s="1234">
        <f t="shared" si="8"/>
        <v>0</v>
      </c>
    </row>
    <row r="71" spans="1:10" s="2" customFormat="1" ht="13.5" thickBot="1">
      <c r="A71" s="323" t="s">
        <v>8</v>
      </c>
      <c r="B71" s="9" t="s">
        <v>8</v>
      </c>
      <c r="C71" s="1683" t="s">
        <v>16</v>
      </c>
      <c r="D71" s="1684"/>
      <c r="E71" s="1684"/>
      <c r="F71" s="1684"/>
      <c r="G71" s="1923"/>
      <c r="H71" s="1072">
        <f t="shared" ref="H71:J71" si="9">H70+H66+H64+H43+H41+H38+H33+H31+H29+H27+H25</f>
        <v>17251020</v>
      </c>
      <c r="I71" s="1066">
        <f t="shared" si="9"/>
        <v>16857950</v>
      </c>
      <c r="J71" s="1623">
        <f t="shared" si="9"/>
        <v>-393070</v>
      </c>
    </row>
    <row r="72" spans="1:10" s="2" customFormat="1" ht="13.5" thickBot="1">
      <c r="A72" s="323" t="s">
        <v>8</v>
      </c>
      <c r="B72" s="24" t="s">
        <v>9</v>
      </c>
      <c r="C72" s="1924" t="s">
        <v>65</v>
      </c>
      <c r="D72" s="1925"/>
      <c r="E72" s="1925"/>
      <c r="F72" s="1925"/>
      <c r="G72" s="1925"/>
      <c r="H72" s="1925"/>
      <c r="I72" s="1925"/>
      <c r="J72" s="1926"/>
    </row>
    <row r="73" spans="1:10" s="2" customFormat="1" ht="16.5" customHeight="1">
      <c r="A73" s="1637" t="s">
        <v>8</v>
      </c>
      <c r="B73" s="1638" t="s">
        <v>9</v>
      </c>
      <c r="C73" s="1639" t="s">
        <v>8</v>
      </c>
      <c r="D73" s="1798" t="s">
        <v>246</v>
      </c>
      <c r="E73" s="1795" t="s">
        <v>117</v>
      </c>
      <c r="F73" s="371" t="s">
        <v>53</v>
      </c>
      <c r="G73" s="1605" t="s">
        <v>12</v>
      </c>
      <c r="H73" s="1613">
        <f>1268.3/3.4528*1000</f>
        <v>367325</v>
      </c>
      <c r="I73" s="1607">
        <f>1268.3/3.4528*1000</f>
        <v>367325</v>
      </c>
      <c r="J73" s="1608">
        <v>0</v>
      </c>
    </row>
    <row r="74" spans="1:10" s="2" customFormat="1" ht="15.75" customHeight="1">
      <c r="A74" s="1629"/>
      <c r="B74" s="1631"/>
      <c r="C74" s="1633"/>
      <c r="D74" s="1921"/>
      <c r="E74" s="1796"/>
      <c r="F74" s="131"/>
      <c r="G74" s="1609" t="s">
        <v>47</v>
      </c>
      <c r="H74" s="1615">
        <v>29860</v>
      </c>
      <c r="I74" s="1611">
        <v>29860</v>
      </c>
      <c r="J74" s="1612">
        <f>I74-H74</f>
        <v>0</v>
      </c>
    </row>
    <row r="75" spans="1:10" s="2" customFormat="1" ht="14.25" customHeight="1">
      <c r="A75" s="1629"/>
      <c r="B75" s="1631"/>
      <c r="C75" s="1633"/>
      <c r="D75" s="1691" t="s">
        <v>247</v>
      </c>
      <c r="E75" s="1927"/>
      <c r="F75" s="131"/>
      <c r="G75" s="845"/>
      <c r="H75" s="1227"/>
      <c r="I75" s="1230"/>
      <c r="J75" s="956"/>
    </row>
    <row r="76" spans="1:10" s="2" customFormat="1" ht="15.75" customHeight="1">
      <c r="A76" s="1629"/>
      <c r="B76" s="1631"/>
      <c r="C76" s="1633"/>
      <c r="D76" s="1921"/>
      <c r="E76" s="1927"/>
      <c r="F76" s="131"/>
      <c r="G76" s="845"/>
      <c r="H76" s="1227"/>
      <c r="I76" s="1230"/>
      <c r="J76" s="956"/>
    </row>
    <row r="77" spans="1:10" s="2" customFormat="1" ht="25.5">
      <c r="A77" s="1629"/>
      <c r="B77" s="1631"/>
      <c r="C77" s="1633"/>
      <c r="D77" s="1643" t="s">
        <v>248</v>
      </c>
      <c r="E77" s="1927"/>
      <c r="F77" s="131"/>
      <c r="G77" s="845"/>
      <c r="H77" s="1069"/>
      <c r="I77" s="955"/>
      <c r="J77" s="956"/>
    </row>
    <row r="78" spans="1:10" s="2" customFormat="1" ht="54" customHeight="1">
      <c r="A78" s="1629"/>
      <c r="B78" s="1631"/>
      <c r="C78" s="1633"/>
      <c r="D78" s="1711" t="s">
        <v>252</v>
      </c>
      <c r="E78" s="1927"/>
      <c r="F78" s="131"/>
      <c r="G78" s="872"/>
      <c r="H78" s="1027"/>
      <c r="I78" s="957"/>
      <c r="J78" s="958"/>
    </row>
    <row r="79" spans="1:10" s="2" customFormat="1" ht="13.5" thickBot="1">
      <c r="A79" s="1630"/>
      <c r="B79" s="1632"/>
      <c r="C79" s="758"/>
      <c r="D79" s="1922"/>
      <c r="E79" s="716"/>
      <c r="F79" s="718"/>
      <c r="G79" s="907" t="s">
        <v>15</v>
      </c>
      <c r="H79" s="1008">
        <f>H73+H74</f>
        <v>397185</v>
      </c>
      <c r="I79" s="1008">
        <f>I73+I74</f>
        <v>397185</v>
      </c>
      <c r="J79" s="1454">
        <f>SUM(J73:J78)</f>
        <v>0</v>
      </c>
    </row>
    <row r="80" spans="1:10" s="11" customFormat="1" ht="18.75" customHeight="1">
      <c r="A80" s="1637" t="s">
        <v>8</v>
      </c>
      <c r="B80" s="1638" t="s">
        <v>9</v>
      </c>
      <c r="C80" s="160" t="s">
        <v>9</v>
      </c>
      <c r="D80" s="1780" t="s">
        <v>160</v>
      </c>
      <c r="E80" s="1783"/>
      <c r="F80" s="1786" t="s">
        <v>54</v>
      </c>
      <c r="G80" s="124" t="s">
        <v>12</v>
      </c>
      <c r="H80" s="1449">
        <f>84.3/3.4528*1000</f>
        <v>24415</v>
      </c>
      <c r="I80" s="1223">
        <f>84.3/3.4528*1000</f>
        <v>24415</v>
      </c>
      <c r="J80" s="1050"/>
    </row>
    <row r="81" spans="1:10" s="11" customFormat="1">
      <c r="A81" s="1629"/>
      <c r="B81" s="1631"/>
      <c r="C81" s="161"/>
      <c r="D81" s="1781"/>
      <c r="E81" s="1784"/>
      <c r="F81" s="1787"/>
      <c r="G81" s="150" t="s">
        <v>113</v>
      </c>
      <c r="H81" s="1228">
        <f>595/3.4528*1000</f>
        <v>172324</v>
      </c>
      <c r="I81" s="1224">
        <f>595/3.4528*1000</f>
        <v>172324</v>
      </c>
      <c r="J81" s="1044"/>
    </row>
    <row r="82" spans="1:10" s="11" customFormat="1" ht="13.5" thickBot="1">
      <c r="A82" s="1630"/>
      <c r="B82" s="1632"/>
      <c r="C82" s="162"/>
      <c r="D82" s="1782"/>
      <c r="E82" s="1785"/>
      <c r="F82" s="1788"/>
      <c r="G82" s="373" t="s">
        <v>15</v>
      </c>
      <c r="H82" s="1053">
        <f>H81+H80</f>
        <v>196739</v>
      </c>
      <c r="I82" s="1047">
        <f>I81+I80</f>
        <v>196739</v>
      </c>
      <c r="J82" s="1055">
        <f t="shared" ref="J82" si="10">J81+J80</f>
        <v>0</v>
      </c>
    </row>
    <row r="83" spans="1:10" s="11" customFormat="1" ht="17.25" customHeight="1">
      <c r="A83" s="1637" t="s">
        <v>8</v>
      </c>
      <c r="B83" s="1638" t="s">
        <v>9</v>
      </c>
      <c r="C83" s="160" t="s">
        <v>10</v>
      </c>
      <c r="D83" s="1780" t="s">
        <v>161</v>
      </c>
      <c r="E83" s="1783" t="s">
        <v>109</v>
      </c>
      <c r="F83" s="1786" t="s">
        <v>53</v>
      </c>
      <c r="G83" s="124" t="s">
        <v>112</v>
      </c>
      <c r="H83" s="1049">
        <f>2.1/3.4528*1000</f>
        <v>608</v>
      </c>
      <c r="I83" s="1222">
        <f>2.1/3.4528*1000</f>
        <v>608</v>
      </c>
      <c r="J83" s="1050"/>
    </row>
    <row r="84" spans="1:10" s="11" customFormat="1">
      <c r="A84" s="1629"/>
      <c r="B84" s="1631"/>
      <c r="C84" s="161"/>
      <c r="D84" s="1781"/>
      <c r="E84" s="1784"/>
      <c r="F84" s="1787"/>
      <c r="G84" s="150" t="s">
        <v>14</v>
      </c>
      <c r="H84" s="1051">
        <f>12/3.4528*1000</f>
        <v>3475</v>
      </c>
      <c r="I84" s="1028">
        <f>12/3.4528*1000</f>
        <v>3475</v>
      </c>
      <c r="J84" s="1044"/>
    </row>
    <row r="85" spans="1:10" s="11" customFormat="1" ht="13.5" thickBot="1">
      <c r="A85" s="1630"/>
      <c r="B85" s="1632"/>
      <c r="C85" s="162"/>
      <c r="D85" s="1782"/>
      <c r="E85" s="1785"/>
      <c r="F85" s="1788"/>
      <c r="G85" s="228" t="s">
        <v>15</v>
      </c>
      <c r="H85" s="1053">
        <f>H84+H83</f>
        <v>4083</v>
      </c>
      <c r="I85" s="1047">
        <f>I84+I83</f>
        <v>4083</v>
      </c>
      <c r="J85" s="1055">
        <f t="shared" ref="J85" si="11">SUM(J83)</f>
        <v>0</v>
      </c>
    </row>
    <row r="86" spans="1:10" s="2" customFormat="1" ht="24" customHeight="1">
      <c r="A86" s="1767" t="s">
        <v>8</v>
      </c>
      <c r="B86" s="1770" t="s">
        <v>9</v>
      </c>
      <c r="C86" s="1773" t="s">
        <v>11</v>
      </c>
      <c r="D86" s="1757" t="s">
        <v>29</v>
      </c>
      <c r="E86" s="1777" t="s">
        <v>134</v>
      </c>
      <c r="F86" s="1713" t="s">
        <v>53</v>
      </c>
      <c r="G86" s="10" t="s">
        <v>12</v>
      </c>
      <c r="H86" s="1049">
        <f>117.3/3.4528*1000</f>
        <v>33972</v>
      </c>
      <c r="I86" s="1222">
        <f>117.3/3.4528*1000</f>
        <v>33972</v>
      </c>
      <c r="J86" s="1450"/>
    </row>
    <row r="87" spans="1:10" s="2" customFormat="1" ht="23.25" customHeight="1">
      <c r="A87" s="1768"/>
      <c r="B87" s="1771"/>
      <c r="C87" s="1774"/>
      <c r="D87" s="1776"/>
      <c r="E87" s="1778"/>
      <c r="F87" s="1753"/>
      <c r="G87" s="14" t="s">
        <v>14</v>
      </c>
      <c r="H87" s="1051">
        <f>665.1/3.4528*1000</f>
        <v>192626</v>
      </c>
      <c r="I87" s="1028">
        <f>665.1/3.4528*1000</f>
        <v>192626</v>
      </c>
      <c r="J87" s="997"/>
    </row>
    <row r="88" spans="1:10" s="2" customFormat="1" ht="20.25" customHeight="1" thickBot="1">
      <c r="A88" s="1769"/>
      <c r="B88" s="1772"/>
      <c r="C88" s="1775"/>
      <c r="D88" s="1759"/>
      <c r="E88" s="1779"/>
      <c r="F88" s="1715"/>
      <c r="G88" s="374" t="s">
        <v>15</v>
      </c>
      <c r="H88" s="1017">
        <f>SUM(H86:H87)</f>
        <v>226598</v>
      </c>
      <c r="I88" s="1011">
        <f>SUM(I86:I87)</f>
        <v>226598</v>
      </c>
      <c r="J88" s="1234"/>
    </row>
    <row r="89" spans="1:10" s="2" customFormat="1" ht="13.5" thickBot="1">
      <c r="A89" s="323" t="s">
        <v>8</v>
      </c>
      <c r="B89" s="9" t="s">
        <v>9</v>
      </c>
      <c r="C89" s="1683" t="s">
        <v>16</v>
      </c>
      <c r="D89" s="1684"/>
      <c r="E89" s="1684"/>
      <c r="F89" s="1684"/>
      <c r="G89" s="1765"/>
      <c r="H89" s="1229">
        <f t="shared" ref="H89:J89" si="12">H88+H79+H82+H85</f>
        <v>824605</v>
      </c>
      <c r="I89" s="960">
        <f t="shared" si="12"/>
        <v>824605</v>
      </c>
      <c r="J89" s="1451">
        <f t="shared" si="12"/>
        <v>0</v>
      </c>
    </row>
    <row r="90" spans="1:10" s="2" customFormat="1" ht="13.5" thickBot="1">
      <c r="A90" s="1637" t="s">
        <v>8</v>
      </c>
      <c r="B90" s="155" t="s">
        <v>10</v>
      </c>
      <c r="C90" s="1688" t="s">
        <v>41</v>
      </c>
      <c r="D90" s="1689"/>
      <c r="E90" s="1689"/>
      <c r="F90" s="1689"/>
      <c r="G90" s="1689"/>
      <c r="H90" s="1766"/>
      <c r="I90" s="1689"/>
      <c r="J90" s="1690"/>
    </row>
    <row r="91" spans="1:10" s="11" customFormat="1" ht="21" customHeight="1">
      <c r="A91" s="1754" t="s">
        <v>8</v>
      </c>
      <c r="B91" s="1755" t="s">
        <v>10</v>
      </c>
      <c r="C91" s="1756" t="s">
        <v>8</v>
      </c>
      <c r="D91" s="1757" t="s">
        <v>63</v>
      </c>
      <c r="E91" s="1760" t="s">
        <v>107</v>
      </c>
      <c r="F91" s="1713" t="s">
        <v>53</v>
      </c>
      <c r="G91" s="10" t="s">
        <v>12</v>
      </c>
      <c r="H91" s="1058">
        <f>16.5/3.4528*1000</f>
        <v>4779</v>
      </c>
      <c r="I91" s="1223">
        <f>16.5/3.4528*1000</f>
        <v>4779</v>
      </c>
      <c r="J91" s="1452"/>
    </row>
    <row r="92" spans="1:10" s="11" customFormat="1" ht="18" customHeight="1">
      <c r="A92" s="1694"/>
      <c r="B92" s="1696"/>
      <c r="C92" s="1698"/>
      <c r="D92" s="1758"/>
      <c r="E92" s="1761"/>
      <c r="F92" s="1714"/>
      <c r="G92" s="22" t="s">
        <v>14</v>
      </c>
      <c r="H92" s="1061">
        <f>93.1/3.4528*1000</f>
        <v>26964</v>
      </c>
      <c r="I92" s="1224">
        <f>93.1/3.4528*1000</f>
        <v>26964</v>
      </c>
      <c r="J92" s="1453"/>
    </row>
    <row r="93" spans="1:10" s="11" customFormat="1" ht="15" customHeight="1" thickBot="1">
      <c r="A93" s="1695"/>
      <c r="B93" s="1697"/>
      <c r="C93" s="1699"/>
      <c r="D93" s="1759"/>
      <c r="E93" s="1762"/>
      <c r="F93" s="1715"/>
      <c r="G93" s="258" t="s">
        <v>15</v>
      </c>
      <c r="H93" s="1011">
        <f>H92+H91</f>
        <v>31743</v>
      </c>
      <c r="I93" s="1011">
        <f>I92+I91</f>
        <v>31743</v>
      </c>
      <c r="J93" s="1011">
        <f t="shared" ref="J93" si="13">J92+J91</f>
        <v>0</v>
      </c>
    </row>
    <row r="94" spans="1:10" s="2" customFormat="1" ht="24" customHeight="1">
      <c r="A94" s="1694" t="s">
        <v>8</v>
      </c>
      <c r="B94" s="1696" t="s">
        <v>10</v>
      </c>
      <c r="C94" s="1698" t="s">
        <v>9</v>
      </c>
      <c r="D94" s="1749" t="s">
        <v>162</v>
      </c>
      <c r="E94" s="1751"/>
      <c r="F94" s="1753" t="s">
        <v>53</v>
      </c>
      <c r="G94" s="22" t="s">
        <v>14</v>
      </c>
      <c r="H94" s="996">
        <f>3/3.4528*1000</f>
        <v>869</v>
      </c>
      <c r="I94" s="1028">
        <f>3/3.4528*1000</f>
        <v>869</v>
      </c>
      <c r="J94" s="1013"/>
    </row>
    <row r="95" spans="1:10" s="2" customFormat="1" ht="15" customHeight="1" thickBot="1">
      <c r="A95" s="1695"/>
      <c r="B95" s="1697"/>
      <c r="C95" s="1699"/>
      <c r="D95" s="1750"/>
      <c r="E95" s="1752"/>
      <c r="F95" s="1715"/>
      <c r="G95" s="220" t="s">
        <v>15</v>
      </c>
      <c r="H95" s="1011">
        <f>H94</f>
        <v>869</v>
      </c>
      <c r="I95" s="1011">
        <f>I94</f>
        <v>869</v>
      </c>
      <c r="J95" s="1011"/>
    </row>
    <row r="96" spans="1:10" s="2" customFormat="1" ht="13.5" thickBot="1">
      <c r="A96" s="323" t="s">
        <v>8</v>
      </c>
      <c r="B96" s="9" t="s">
        <v>10</v>
      </c>
      <c r="C96" s="1683" t="s">
        <v>16</v>
      </c>
      <c r="D96" s="1684"/>
      <c r="E96" s="1684"/>
      <c r="F96" s="1684"/>
      <c r="G96" s="1684"/>
      <c r="H96" s="1066">
        <f t="shared" ref="H96:J96" si="14">H95+H93</f>
        <v>32612</v>
      </c>
      <c r="I96" s="1066">
        <f t="shared" ref="I96" si="15">I95+I93</f>
        <v>32612</v>
      </c>
      <c r="J96" s="1066">
        <f t="shared" si="14"/>
        <v>0</v>
      </c>
    </row>
    <row r="97" spans="1:10" s="2" customFormat="1" ht="15" customHeight="1" thickBot="1">
      <c r="A97" s="323" t="s">
        <v>8</v>
      </c>
      <c r="B97" s="24" t="s">
        <v>11</v>
      </c>
      <c r="C97" s="1688" t="s">
        <v>64</v>
      </c>
      <c r="D97" s="1689"/>
      <c r="E97" s="1689"/>
      <c r="F97" s="1689"/>
      <c r="G97" s="1689"/>
      <c r="H97" s="1689"/>
      <c r="I97" s="1689"/>
      <c r="J97" s="1690"/>
    </row>
    <row r="98" spans="1:10" s="2" customFormat="1" ht="38.25">
      <c r="A98" s="1637" t="s">
        <v>8</v>
      </c>
      <c r="B98" s="1638" t="s">
        <v>11</v>
      </c>
      <c r="C98" s="1641" t="s">
        <v>8</v>
      </c>
      <c r="D98" s="370" t="s">
        <v>136</v>
      </c>
      <c r="E98" s="536"/>
      <c r="F98" s="542" t="s">
        <v>53</v>
      </c>
      <c r="G98" s="91" t="s">
        <v>12</v>
      </c>
      <c r="H98" s="1385">
        <f>1454.2/3.4528*1000</f>
        <v>421165</v>
      </c>
      <c r="I98" s="1405">
        <f>1454.2/3.4528*1000</f>
        <v>421165</v>
      </c>
      <c r="J98" s="1448">
        <f>I98-H98</f>
        <v>0</v>
      </c>
    </row>
    <row r="99" spans="1:10" s="2" customFormat="1" ht="25.5">
      <c r="A99" s="1629"/>
      <c r="B99" s="1631"/>
      <c r="C99" s="1644"/>
      <c r="D99" s="1643" t="s">
        <v>190</v>
      </c>
      <c r="E99" s="537"/>
      <c r="F99" s="543"/>
      <c r="G99" s="456"/>
      <c r="H99" s="1113"/>
      <c r="I99" s="1110"/>
      <c r="J99" s="999"/>
    </row>
    <row r="100" spans="1:10" s="2" customFormat="1">
      <c r="A100" s="1629"/>
      <c r="B100" s="1631"/>
      <c r="C100" s="1644"/>
      <c r="D100" s="1643" t="s">
        <v>214</v>
      </c>
      <c r="E100" s="537"/>
      <c r="F100" s="543"/>
      <c r="G100" s="456"/>
      <c r="H100" s="1113"/>
      <c r="I100" s="1110"/>
      <c r="J100" s="999"/>
    </row>
    <row r="101" spans="1:10" s="2" customFormat="1">
      <c r="A101" s="1629"/>
      <c r="B101" s="1631"/>
      <c r="C101" s="1644"/>
      <c r="D101" s="1628" t="s">
        <v>192</v>
      </c>
      <c r="E101" s="537"/>
      <c r="F101" s="543"/>
      <c r="G101" s="456"/>
      <c r="H101" s="1113"/>
      <c r="I101" s="1110"/>
      <c r="J101" s="999"/>
    </row>
    <row r="102" spans="1:10" s="2" customFormat="1">
      <c r="A102" s="1629"/>
      <c r="B102" s="1631"/>
      <c r="C102" s="1644"/>
      <c r="D102" s="1691" t="s">
        <v>191</v>
      </c>
      <c r="E102" s="537"/>
      <c r="F102" s="543"/>
      <c r="G102" s="456"/>
      <c r="H102" s="1069"/>
      <c r="I102" s="955"/>
      <c r="J102" s="999"/>
    </row>
    <row r="103" spans="1:10" s="2" customFormat="1">
      <c r="A103" s="1629"/>
      <c r="B103" s="1631"/>
      <c r="C103" s="1644"/>
      <c r="D103" s="1920"/>
      <c r="E103" s="537"/>
      <c r="F103" s="543"/>
      <c r="G103" s="456"/>
      <c r="H103" s="1069"/>
      <c r="I103" s="955"/>
      <c r="J103" s="999"/>
    </row>
    <row r="104" spans="1:10" s="2" customFormat="1">
      <c r="A104" s="1629"/>
      <c r="B104" s="1631"/>
      <c r="C104" s="1644"/>
      <c r="D104" s="1921"/>
      <c r="E104" s="537"/>
      <c r="F104" s="543"/>
      <c r="G104" s="456"/>
      <c r="H104" s="1069"/>
      <c r="I104" s="955"/>
      <c r="J104" s="999"/>
    </row>
    <row r="105" spans="1:10" s="2" customFormat="1" ht="38.25">
      <c r="A105" s="1629"/>
      <c r="B105" s="1631"/>
      <c r="C105" s="1644"/>
      <c r="D105" s="1626" t="s">
        <v>286</v>
      </c>
      <c r="E105" s="537"/>
      <c r="F105" s="543"/>
      <c r="G105" s="456"/>
      <c r="H105" s="1113"/>
      <c r="I105" s="1110"/>
      <c r="J105" s="999"/>
    </row>
    <row r="106" spans="1:10" s="2" customFormat="1" ht="19.5" customHeight="1">
      <c r="A106" s="1629"/>
      <c r="B106" s="1631"/>
      <c r="C106" s="1644"/>
      <c r="D106" s="1711" t="s">
        <v>163</v>
      </c>
      <c r="E106" s="537"/>
      <c r="F106" s="543"/>
      <c r="G106" s="12"/>
      <c r="H106" s="1070"/>
      <c r="I106" s="1225"/>
      <c r="J106" s="1450"/>
    </row>
    <row r="107" spans="1:10" s="2" customFormat="1" ht="15.75" customHeight="1" thickBot="1">
      <c r="A107" s="322"/>
      <c r="B107" s="202"/>
      <c r="C107" s="703"/>
      <c r="D107" s="1922"/>
      <c r="E107" s="717"/>
      <c r="F107" s="718"/>
      <c r="G107" s="220" t="s">
        <v>15</v>
      </c>
      <c r="H107" s="1008">
        <f t="shared" ref="H107:J107" si="16">H98</f>
        <v>421165</v>
      </c>
      <c r="I107" s="1002">
        <f t="shared" si="16"/>
        <v>421165</v>
      </c>
      <c r="J107" s="1454">
        <f t="shared" si="16"/>
        <v>0</v>
      </c>
    </row>
    <row r="108" spans="1:10" s="2" customFormat="1" ht="19.5" customHeight="1">
      <c r="A108" s="1694" t="s">
        <v>8</v>
      </c>
      <c r="B108" s="1696" t="s">
        <v>11</v>
      </c>
      <c r="C108" s="1698" t="s">
        <v>9</v>
      </c>
      <c r="D108" s="1700" t="s">
        <v>111</v>
      </c>
      <c r="E108" s="1703" t="s">
        <v>74</v>
      </c>
      <c r="F108" s="1705" t="s">
        <v>54</v>
      </c>
      <c r="G108" s="111" t="s">
        <v>12</v>
      </c>
      <c r="H108" s="1049">
        <f>74.9/3.4528*1000</f>
        <v>21693</v>
      </c>
      <c r="I108" s="1222">
        <v>41693</v>
      </c>
      <c r="J108" s="1622">
        <f>I108-H108</f>
        <v>20000</v>
      </c>
    </row>
    <row r="109" spans="1:10" s="2" customFormat="1" ht="22.5" customHeight="1">
      <c r="A109" s="1694"/>
      <c r="B109" s="1696"/>
      <c r="C109" s="1698"/>
      <c r="D109" s="1701"/>
      <c r="E109" s="1703"/>
      <c r="F109" s="1705"/>
      <c r="G109" s="111" t="s">
        <v>112</v>
      </c>
      <c r="H109" s="1027">
        <v>84250</v>
      </c>
      <c r="I109" s="957">
        <v>0</v>
      </c>
      <c r="J109" s="1450"/>
    </row>
    <row r="110" spans="1:10" s="2" customFormat="1" ht="14.25" customHeight="1" thickBot="1">
      <c r="A110" s="1695"/>
      <c r="B110" s="1697"/>
      <c r="C110" s="1699"/>
      <c r="D110" s="1702"/>
      <c r="E110" s="1704"/>
      <c r="F110" s="1706"/>
      <c r="G110" s="220" t="s">
        <v>15</v>
      </c>
      <c r="H110" s="1017">
        <f t="shared" ref="H110:J110" si="17">H109+H108</f>
        <v>105943</v>
      </c>
      <c r="I110" s="1011">
        <f t="shared" si="17"/>
        <v>41693</v>
      </c>
      <c r="J110" s="1651">
        <f t="shared" si="17"/>
        <v>20000</v>
      </c>
    </row>
    <row r="111" spans="1:10" s="2" customFormat="1" ht="13.5" thickBot="1">
      <c r="A111" s="323" t="s">
        <v>8</v>
      </c>
      <c r="B111" s="9" t="s">
        <v>11</v>
      </c>
      <c r="C111" s="1683" t="s">
        <v>16</v>
      </c>
      <c r="D111" s="1684"/>
      <c r="E111" s="1684"/>
      <c r="F111" s="1684"/>
      <c r="G111" s="1684"/>
      <c r="H111" s="1072">
        <f>H110+H107</f>
        <v>527108</v>
      </c>
      <c r="I111" s="1066">
        <f>I110+I107</f>
        <v>462858</v>
      </c>
      <c r="J111" s="1623">
        <f t="shared" ref="J111" si="18">J110+J107</f>
        <v>20000</v>
      </c>
    </row>
    <row r="112" spans="1:10" s="11" customFormat="1" ht="13.5" thickBot="1">
      <c r="A112" s="323" t="s">
        <v>8</v>
      </c>
      <c r="B112" s="1727" t="s">
        <v>18</v>
      </c>
      <c r="C112" s="1728"/>
      <c r="D112" s="1728"/>
      <c r="E112" s="1728"/>
      <c r="F112" s="1728"/>
      <c r="G112" s="1729"/>
      <c r="H112" s="1073">
        <f t="shared" ref="H112:J112" si="19">H111+H96+H71+H89</f>
        <v>18635345</v>
      </c>
      <c r="I112" s="1074">
        <f t="shared" si="19"/>
        <v>18178025</v>
      </c>
      <c r="J112" s="1652">
        <f t="shared" si="19"/>
        <v>-373070</v>
      </c>
    </row>
    <row r="113" spans="1:10" s="11" customFormat="1" ht="13.5" thickBot="1">
      <c r="A113" s="104" t="s">
        <v>10</v>
      </c>
      <c r="B113" s="1733" t="s">
        <v>17</v>
      </c>
      <c r="C113" s="1733"/>
      <c r="D113" s="1733"/>
      <c r="E113" s="1733"/>
      <c r="F113" s="1733"/>
      <c r="G113" s="1734"/>
      <c r="H113" s="1076">
        <f>H112</f>
        <v>18635345</v>
      </c>
      <c r="I113" s="1226">
        <f>I112</f>
        <v>18178025</v>
      </c>
      <c r="J113" s="1653">
        <f t="shared" ref="J113" si="20">J112</f>
        <v>-373070</v>
      </c>
    </row>
    <row r="114" spans="1:10" s="110" customFormat="1">
      <c r="A114" s="1744"/>
      <c r="B114" s="1744"/>
      <c r="C114" s="1744"/>
      <c r="D114" s="1744"/>
      <c r="E114" s="1744"/>
      <c r="F114" s="1744"/>
      <c r="G114" s="1744"/>
      <c r="H114" s="1744"/>
      <c r="I114" s="1744"/>
      <c r="J114" s="1744"/>
    </row>
    <row r="115" spans="1:10" s="11" customFormat="1">
      <c r="A115" s="26"/>
      <c r="B115" s="7"/>
      <c r="C115" s="1745" t="s">
        <v>23</v>
      </c>
      <c r="D115" s="1745"/>
      <c r="E115" s="1745"/>
      <c r="F115" s="1745"/>
      <c r="G115" s="1745"/>
      <c r="H115" s="1745"/>
      <c r="I115" s="1745"/>
      <c r="J115" s="1745"/>
    </row>
    <row r="116" spans="1:10" s="11" customFormat="1" ht="13.5" thickBot="1">
      <c r="A116" s="26"/>
      <c r="B116" s="25"/>
      <c r="C116" s="25"/>
      <c r="D116" s="25"/>
      <c r="E116" s="31"/>
      <c r="F116" s="90"/>
      <c r="J116" s="16"/>
    </row>
    <row r="117" spans="1:10" s="11" customFormat="1" ht="57" customHeight="1" thickBot="1">
      <c r="A117" s="2"/>
      <c r="B117" s="2"/>
      <c r="C117" s="1746" t="s">
        <v>19</v>
      </c>
      <c r="D117" s="1747"/>
      <c r="E117" s="1747"/>
      <c r="F117" s="1747"/>
      <c r="G117" s="1748"/>
      <c r="H117" s="69" t="s">
        <v>172</v>
      </c>
      <c r="I117" s="69" t="s">
        <v>314</v>
      </c>
      <c r="J117" s="69" t="s">
        <v>315</v>
      </c>
    </row>
    <row r="118" spans="1:10" s="11" customFormat="1">
      <c r="A118" s="2"/>
      <c r="B118" s="2"/>
      <c r="C118" s="1738" t="s">
        <v>24</v>
      </c>
      <c r="D118" s="1739"/>
      <c r="E118" s="1739"/>
      <c r="F118" s="1739"/>
      <c r="G118" s="1740"/>
      <c r="H118" s="1078">
        <f ca="1">H119+H129+H128+H127</f>
        <v>18326553</v>
      </c>
      <c r="I118" s="1078">
        <f t="shared" ref="I118:J118" ca="1" si="21">I119+I129+I128+I127</f>
        <v>17953483</v>
      </c>
      <c r="J118" s="1654">
        <f t="shared" si="21"/>
        <v>-373070</v>
      </c>
    </row>
    <row r="119" spans="1:10" s="11" customFormat="1">
      <c r="A119" s="2"/>
      <c r="B119" s="2"/>
      <c r="C119" s="1741" t="s">
        <v>31</v>
      </c>
      <c r="D119" s="1742"/>
      <c r="E119" s="1742"/>
      <c r="F119" s="1742"/>
      <c r="G119" s="1743"/>
      <c r="H119" s="1079">
        <f ca="1">H120+H121+H122+H123+H124+H125+H126</f>
        <v>18319299</v>
      </c>
      <c r="I119" s="1079">
        <f ca="1">I120+I121+I122+I123+I124+I125+I126</f>
        <v>17946229</v>
      </c>
      <c r="J119" s="1655">
        <f t="shared" ref="J119" si="22">J120+J121+J122+J123+J124+J125+J126</f>
        <v>-373070</v>
      </c>
    </row>
    <row r="120" spans="1:10" s="11" customFormat="1">
      <c r="A120" s="2"/>
      <c r="B120" s="2"/>
      <c r="C120" s="1677" t="s">
        <v>56</v>
      </c>
      <c r="D120" s="1678"/>
      <c r="E120" s="1678"/>
      <c r="F120" s="1678"/>
      <c r="G120" s="1679"/>
      <c r="H120" s="1081">
        <f>SUMIF(G13:G113,"sb",H13:H113)</f>
        <v>12278331</v>
      </c>
      <c r="I120" s="1081">
        <f>SUMIF(G13:G113,"sb",I13:I113)</f>
        <v>11905261</v>
      </c>
      <c r="J120" s="1656">
        <f>I120-H120</f>
        <v>-373070</v>
      </c>
    </row>
    <row r="121" spans="1:10" s="11" customFormat="1">
      <c r="A121" s="2"/>
      <c r="B121" s="2"/>
      <c r="C121" s="1680" t="s">
        <v>131</v>
      </c>
      <c r="D121" s="1681"/>
      <c r="E121" s="1681"/>
      <c r="F121" s="1681"/>
      <c r="G121" s="1682"/>
      <c r="H121" s="1081">
        <f>SUMIF(G13:G113,"sb(VR)",H13:H113)</f>
        <v>23720</v>
      </c>
      <c r="I121" s="1081">
        <f>SUMIF(G13:G113,"sb(VR)",I13:I113)</f>
        <v>23720</v>
      </c>
      <c r="J121" s="1656"/>
    </row>
    <row r="122" spans="1:10" s="11" customFormat="1" ht="23.25" customHeight="1">
      <c r="A122" s="2"/>
      <c r="B122" s="2"/>
      <c r="C122" s="1674" t="s">
        <v>49</v>
      </c>
      <c r="D122" s="1675"/>
      <c r="E122" s="1675"/>
      <c r="F122" s="1675"/>
      <c r="G122" s="1676"/>
      <c r="H122" s="1081">
        <f>SUMIF(G14:G113,"sb(Vb)",H14:H113)</f>
        <v>1037921</v>
      </c>
      <c r="I122" s="1081">
        <f>SUMIF(G14:G113,"sb(Vb)",I14:I113)</f>
        <v>1037921</v>
      </c>
      <c r="J122" s="1656">
        <f>SUMIF(G14:G113,"sb(Vb)",J14:J113)</f>
        <v>0</v>
      </c>
    </row>
    <row r="123" spans="1:10" s="11" customFormat="1">
      <c r="A123" s="2"/>
      <c r="B123" s="2"/>
      <c r="C123" s="1674" t="s">
        <v>114</v>
      </c>
      <c r="D123" s="1675"/>
      <c r="E123" s="1675"/>
      <c r="F123" s="1675"/>
      <c r="G123" s="1676"/>
      <c r="H123" s="1081">
        <f ca="1">SUMIF(G13:G113,"sb(P)",H13:H111)</f>
        <v>172324</v>
      </c>
      <c r="I123" s="1081">
        <f ca="1">SUMIF(G13:G113,"sb(P)",I13:I111)</f>
        <v>172324</v>
      </c>
      <c r="J123" s="1656"/>
    </row>
    <row r="124" spans="1:10" s="2" customFormat="1">
      <c r="C124" s="1668" t="s">
        <v>60</v>
      </c>
      <c r="D124" s="1669"/>
      <c r="E124" s="1669"/>
      <c r="F124" s="1669"/>
      <c r="G124" s="1670"/>
      <c r="H124" s="1081">
        <f>SUMIF(G13:G113,"SB(SP)",H13:H113)</f>
        <v>3360</v>
      </c>
      <c r="I124" s="1081">
        <f>SUMIF(G13:G113,"SB(SP)",I13:I113)</f>
        <v>3360</v>
      </c>
      <c r="J124" s="1656">
        <f>SUMIF(H13:H113,"SB(SP)",J13:J113)</f>
        <v>0</v>
      </c>
    </row>
    <row r="125" spans="1:10" s="2" customFormat="1">
      <c r="C125" s="1671" t="s">
        <v>368</v>
      </c>
      <c r="D125" s="1672"/>
      <c r="E125" s="1672"/>
      <c r="F125" s="1672"/>
      <c r="G125" s="1673"/>
      <c r="H125" s="1455">
        <f>SUMIF(G13:G113,"sb(L)",H13:H113)</f>
        <v>4792058</v>
      </c>
      <c r="I125" s="1455">
        <f>SUMIF(G13:G113,"sb(L)",I13:I113)</f>
        <v>4792058</v>
      </c>
      <c r="J125" s="1657">
        <f>SUMIF(G13:G113,"sb(L)",J13:J113)</f>
        <v>0</v>
      </c>
    </row>
    <row r="126" spans="1:10" s="2" customFormat="1">
      <c r="C126" s="1674" t="s">
        <v>46</v>
      </c>
      <c r="D126" s="1675"/>
      <c r="E126" s="1675"/>
      <c r="F126" s="1675"/>
      <c r="G126" s="1676"/>
      <c r="H126" s="1081">
        <f>SUMIF(G6:G105,"SB(kpp)",H6:H105)</f>
        <v>11585</v>
      </c>
      <c r="I126" s="1081">
        <f>SUMIF(G6:G105,"SB(kpp)",I6:I105)</f>
        <v>11585</v>
      </c>
      <c r="J126" s="1656"/>
    </row>
    <row r="127" spans="1:10" s="2" customFormat="1">
      <c r="C127" s="1721" t="s">
        <v>372</v>
      </c>
      <c r="D127" s="1722"/>
      <c r="E127" s="1722"/>
      <c r="F127" s="1722"/>
      <c r="G127" s="1723"/>
      <c r="H127" s="1079">
        <f>SUMIF(G14:G114,"sb(SPL)",H14:H114)</f>
        <v>3181</v>
      </c>
      <c r="I127" s="1079">
        <f>SUMIF(G14:G114,"sb(spl)",I14:I114)</f>
        <v>3181</v>
      </c>
      <c r="J127" s="1655">
        <f>SUMIF(G14:G114,"sb(spL)",J14:J114)</f>
        <v>0</v>
      </c>
    </row>
    <row r="128" spans="1:10" s="2" customFormat="1">
      <c r="C128" s="1721" t="s">
        <v>370</v>
      </c>
      <c r="D128" s="1722"/>
      <c r="E128" s="1722"/>
      <c r="F128" s="1722"/>
      <c r="G128" s="1723"/>
      <c r="H128" s="1079">
        <f>SUMIF(G14:G114,"sb(VRL)",H14:H114)</f>
        <v>18</v>
      </c>
      <c r="I128" s="1079">
        <f>SUMIF(G14:G114,"sb(VRL)",I14:I114)</f>
        <v>18</v>
      </c>
      <c r="J128" s="1655">
        <f>SUMIF(G14:G114,"sb(VRL)",J14:J114)</f>
        <v>0</v>
      </c>
    </row>
    <row r="129" spans="3:10" s="2" customFormat="1">
      <c r="C129" s="1721" t="s">
        <v>147</v>
      </c>
      <c r="D129" s="1722"/>
      <c r="E129" s="1722"/>
      <c r="F129" s="1722"/>
      <c r="G129" s="1723"/>
      <c r="H129" s="1079">
        <f>SUMIF(G14:G113,"pf",H14:H113)</f>
        <v>4055</v>
      </c>
      <c r="I129" s="1079">
        <f>SUMIF(G14:G113,"pf",I14:I113)</f>
        <v>4055</v>
      </c>
      <c r="J129" s="1655"/>
    </row>
    <row r="130" spans="3:10" s="2" customFormat="1">
      <c r="C130" s="1724" t="s">
        <v>25</v>
      </c>
      <c r="D130" s="1725"/>
      <c r="E130" s="1725"/>
      <c r="F130" s="1725"/>
      <c r="G130" s="1726"/>
      <c r="H130" s="1083">
        <f t="shared" ref="H130:J130" si="23">SUM(H131:H133)</f>
        <v>308792</v>
      </c>
      <c r="I130" s="1083">
        <f t="shared" si="23"/>
        <v>224542</v>
      </c>
      <c r="J130" s="1658">
        <f t="shared" si="23"/>
        <v>0</v>
      </c>
    </row>
    <row r="131" spans="3:10" s="2" customFormat="1">
      <c r="C131" s="1719" t="s">
        <v>57</v>
      </c>
      <c r="D131" s="1720"/>
      <c r="E131" s="1720"/>
      <c r="F131" s="1720"/>
      <c r="G131" s="1720"/>
      <c r="H131" s="1081">
        <f>SUMIF(G13:G113,"es",H13:H113)</f>
        <v>223934</v>
      </c>
      <c r="I131" s="1081">
        <f>SUMIF(G13:G113,"es",I13:I113)</f>
        <v>223934</v>
      </c>
      <c r="J131" s="1656"/>
    </row>
    <row r="132" spans="3:10" s="2" customFormat="1">
      <c r="C132" s="1677" t="s">
        <v>58</v>
      </c>
      <c r="D132" s="1678"/>
      <c r="E132" s="1678"/>
      <c r="F132" s="1678"/>
      <c r="G132" s="1679"/>
      <c r="H132" s="1081">
        <f>SUMIF(G13:G113,"lrvb",H13:H113)</f>
        <v>84858</v>
      </c>
      <c r="I132" s="1081">
        <f>SUMIF(G13:G113,"lrvb",I13:I113)</f>
        <v>608</v>
      </c>
      <c r="J132" s="1656"/>
    </row>
    <row r="133" spans="3:10" s="2" customFormat="1">
      <c r="C133" s="1674" t="s">
        <v>220</v>
      </c>
      <c r="D133" s="1675"/>
      <c r="E133" s="1675"/>
      <c r="F133" s="1675"/>
      <c r="G133" s="1676"/>
      <c r="H133" s="1081">
        <f>SUMIF(G13:G113,"kt",H13:H113)</f>
        <v>0</v>
      </c>
      <c r="I133" s="1081">
        <f>SUMIF(G13:G113,"kt",I13:I113)</f>
        <v>0</v>
      </c>
      <c r="J133" s="1656"/>
    </row>
    <row r="134" spans="3:10" s="2" customFormat="1" ht="13.5" thickBot="1">
      <c r="C134" s="1716" t="s">
        <v>26</v>
      </c>
      <c r="D134" s="1717"/>
      <c r="E134" s="1717"/>
      <c r="F134" s="1717"/>
      <c r="G134" s="1718"/>
      <c r="H134" s="1085">
        <f ca="1">H118+H130</f>
        <v>18635345</v>
      </c>
      <c r="I134" s="1085">
        <f ca="1">I118+I130</f>
        <v>18178025</v>
      </c>
      <c r="J134" s="1659">
        <f>J130+J118</f>
        <v>-373070</v>
      </c>
    </row>
    <row r="135" spans="3:10" ht="12">
      <c r="C135" s="27"/>
      <c r="D135" s="157"/>
      <c r="E135" s="157"/>
      <c r="F135" s="1614"/>
      <c r="G135" s="157"/>
      <c r="H135" s="28"/>
      <c r="I135" s="28"/>
      <c r="J135" s="28"/>
    </row>
    <row r="136" spans="3:10" ht="11.25">
      <c r="D136" s="1"/>
      <c r="E136" s="1"/>
      <c r="F136" s="1"/>
      <c r="H136" s="6"/>
      <c r="I136" s="6"/>
      <c r="J136" s="5"/>
    </row>
    <row r="137" spans="3:10" ht="11.25">
      <c r="D137" s="1"/>
      <c r="E137" s="1"/>
      <c r="F137" s="1"/>
      <c r="G137" s="5"/>
      <c r="H137" s="6"/>
      <c r="I137" s="6"/>
      <c r="J137" s="5"/>
    </row>
    <row r="138" spans="3:10">
      <c r="H138" s="5"/>
      <c r="I138" s="5"/>
    </row>
    <row r="139" spans="3:10">
      <c r="H139" s="5"/>
      <c r="I139" s="5"/>
    </row>
    <row r="140" spans="3:10" ht="11.25">
      <c r="D140" s="1"/>
      <c r="E140" s="1"/>
      <c r="F140" s="1"/>
      <c r="G140" s="4"/>
      <c r="H140" s="3"/>
      <c r="I140" s="3"/>
    </row>
    <row r="141" spans="3:10" ht="11.25">
      <c r="D141" s="1"/>
      <c r="E141" s="1"/>
      <c r="F141" s="1"/>
      <c r="G141" s="5"/>
      <c r="H141" s="6"/>
      <c r="I141" s="6"/>
    </row>
    <row r="142" spans="3:10" ht="11.25">
      <c r="D142" s="1"/>
      <c r="E142" s="1"/>
      <c r="F142" s="1"/>
      <c r="H142" s="6"/>
      <c r="I142" s="6"/>
    </row>
    <row r="143" spans="3:10" ht="11.25">
      <c r="D143" s="1"/>
      <c r="E143" s="1"/>
      <c r="F143" s="1"/>
      <c r="G143" s="5"/>
      <c r="H143" s="6"/>
      <c r="I143" s="6"/>
    </row>
    <row r="145" spans="4:7" ht="11.25">
      <c r="D145" s="1"/>
      <c r="E145" s="1"/>
      <c r="F145" s="1"/>
      <c r="G145" s="4"/>
    </row>
    <row r="146" spans="4:7" ht="11.25">
      <c r="D146" s="1"/>
      <c r="E146" s="1"/>
      <c r="F146" s="1"/>
      <c r="G146" s="5"/>
    </row>
    <row r="148" spans="4:7" ht="11.25">
      <c r="D148" s="1"/>
      <c r="E148" s="1"/>
      <c r="F148" s="1"/>
      <c r="G148" s="5"/>
    </row>
  </sheetData>
  <mergeCells count="146">
    <mergeCell ref="C127:G127"/>
    <mergeCell ref="C128:G128"/>
    <mergeCell ref="G6:G8"/>
    <mergeCell ref="H6:H8"/>
    <mergeCell ref="I6:I8"/>
    <mergeCell ref="J6:J8"/>
    <mergeCell ref="A9:J9"/>
    <mergeCell ref="A10:J10"/>
    <mergeCell ref="B11:J11"/>
    <mergeCell ref="C12:J12"/>
    <mergeCell ref="D13:D25"/>
    <mergeCell ref="E13:E25"/>
    <mergeCell ref="F13:F25"/>
    <mergeCell ref="A15:A21"/>
    <mergeCell ref="B15:B21"/>
    <mergeCell ref="C15:C21"/>
    <mergeCell ref="A28:A29"/>
    <mergeCell ref="B28:B29"/>
    <mergeCell ref="C28:C29"/>
    <mergeCell ref="D28:D29"/>
    <mergeCell ref="E28:E29"/>
    <mergeCell ref="F28:F29"/>
    <mergeCell ref="A26:A27"/>
    <mergeCell ref="B26:B27"/>
    <mergeCell ref="A2:J2"/>
    <mergeCell ref="A3:J3"/>
    <mergeCell ref="A4:J4"/>
    <mergeCell ref="A6:A8"/>
    <mergeCell ref="B6:B8"/>
    <mergeCell ref="C6:C8"/>
    <mergeCell ref="D6:D8"/>
    <mergeCell ref="E6:E8"/>
    <mergeCell ref="F6:F8"/>
    <mergeCell ref="C26:C27"/>
    <mergeCell ref="D26:D27"/>
    <mergeCell ref="E26:E27"/>
    <mergeCell ref="F26:F27"/>
    <mergeCell ref="A32:A33"/>
    <mergeCell ref="B32:B33"/>
    <mergeCell ref="C32:C33"/>
    <mergeCell ref="D32:D33"/>
    <mergeCell ref="E32:E33"/>
    <mergeCell ref="F32:F33"/>
    <mergeCell ref="A30:A31"/>
    <mergeCell ref="B30:B31"/>
    <mergeCell ref="C30:C31"/>
    <mergeCell ref="D30:D31"/>
    <mergeCell ref="E30:E31"/>
    <mergeCell ref="F30:F31"/>
    <mergeCell ref="A42:A43"/>
    <mergeCell ref="B42:B43"/>
    <mergeCell ref="C42:C43"/>
    <mergeCell ref="D42:D43"/>
    <mergeCell ref="E42:E43"/>
    <mergeCell ref="F42:F43"/>
    <mergeCell ref="D37:D38"/>
    <mergeCell ref="E37:E38"/>
    <mergeCell ref="F37:F38"/>
    <mergeCell ref="A39:A41"/>
    <mergeCell ref="B39:B41"/>
    <mergeCell ref="C39:C41"/>
    <mergeCell ref="D39:D41"/>
    <mergeCell ref="E39:E41"/>
    <mergeCell ref="F39:F41"/>
    <mergeCell ref="E62:E64"/>
    <mergeCell ref="F62:F64"/>
    <mergeCell ref="A65:A66"/>
    <mergeCell ref="B65:B66"/>
    <mergeCell ref="C65:C66"/>
    <mergeCell ref="D65:D66"/>
    <mergeCell ref="E65:E66"/>
    <mergeCell ref="F65:F66"/>
    <mergeCell ref="D44:D46"/>
    <mergeCell ref="D47:D49"/>
    <mergeCell ref="D50:D51"/>
    <mergeCell ref="D55:D56"/>
    <mergeCell ref="D58:D59"/>
    <mergeCell ref="C71:G71"/>
    <mergeCell ref="C72:J72"/>
    <mergeCell ref="E73:E78"/>
    <mergeCell ref="D75:D76"/>
    <mergeCell ref="D78:D79"/>
    <mergeCell ref="D80:D82"/>
    <mergeCell ref="E80:E82"/>
    <mergeCell ref="F80:F82"/>
    <mergeCell ref="A67:A70"/>
    <mergeCell ref="B67:B70"/>
    <mergeCell ref="C67:C70"/>
    <mergeCell ref="E67:E70"/>
    <mergeCell ref="F67:F70"/>
    <mergeCell ref="D73:D74"/>
    <mergeCell ref="C89:G89"/>
    <mergeCell ref="C90:J90"/>
    <mergeCell ref="A91:A93"/>
    <mergeCell ref="B91:B93"/>
    <mergeCell ref="C91:C93"/>
    <mergeCell ref="D91:D93"/>
    <mergeCell ref="E91:E93"/>
    <mergeCell ref="F91:F93"/>
    <mergeCell ref="D83:D85"/>
    <mergeCell ref="E83:E85"/>
    <mergeCell ref="F83:F85"/>
    <mergeCell ref="A86:A88"/>
    <mergeCell ref="B86:B88"/>
    <mergeCell ref="C86:C88"/>
    <mergeCell ref="D86:D88"/>
    <mergeCell ref="E86:E88"/>
    <mergeCell ref="F86:F88"/>
    <mergeCell ref="C108:C110"/>
    <mergeCell ref="D108:D110"/>
    <mergeCell ref="E108:E110"/>
    <mergeCell ref="F108:F110"/>
    <mergeCell ref="C96:G96"/>
    <mergeCell ref="C97:J97"/>
    <mergeCell ref="D102:D104"/>
    <mergeCell ref="D106:D107"/>
    <mergeCell ref="A94:A95"/>
    <mergeCell ref="B94:B95"/>
    <mergeCell ref="C94:C95"/>
    <mergeCell ref="D94:D95"/>
    <mergeCell ref="E94:E95"/>
    <mergeCell ref="F94:F95"/>
    <mergeCell ref="C126:G126"/>
    <mergeCell ref="C134:G134"/>
    <mergeCell ref="G1:J1"/>
    <mergeCell ref="C129:G129"/>
    <mergeCell ref="C130:G130"/>
    <mergeCell ref="C131:G131"/>
    <mergeCell ref="C132:G132"/>
    <mergeCell ref="C133:G133"/>
    <mergeCell ref="C120:G120"/>
    <mergeCell ref="C121:G121"/>
    <mergeCell ref="C122:G122"/>
    <mergeCell ref="C123:G123"/>
    <mergeCell ref="C124:G124"/>
    <mergeCell ref="C125:G125"/>
    <mergeCell ref="A114:J114"/>
    <mergeCell ref="C115:J115"/>
    <mergeCell ref="C117:G117"/>
    <mergeCell ref="C118:G118"/>
    <mergeCell ref="C119:G119"/>
    <mergeCell ref="C111:G111"/>
    <mergeCell ref="B112:G112"/>
    <mergeCell ref="B113:G113"/>
    <mergeCell ref="A108:A110"/>
    <mergeCell ref="B108:B110"/>
  </mergeCells>
  <pageMargins left="0.78740157480314965" right="0.19685039370078741" top="0.78740157480314965" bottom="0.39370078740157483" header="0" footer="0"/>
  <pageSetup paperSize="9" orientation="portrait" r:id="rId1"/>
  <rowBreaks count="1" manualBreakCount="1">
    <brk id="97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75"/>
  <sheetViews>
    <sheetView topLeftCell="A41" zoomScaleNormal="100" zoomScaleSheetLayoutView="100" workbookViewId="0">
      <selection activeCell="D82" sqref="D82"/>
    </sheetView>
  </sheetViews>
  <sheetFormatPr defaultRowHeight="12.75"/>
  <cols>
    <col min="1" max="4" width="2.85546875" style="1" customWidth="1"/>
    <col min="5" max="5" width="41.28515625" style="2" customWidth="1"/>
    <col min="6" max="6" width="3.42578125" style="30" customWidth="1"/>
    <col min="7" max="7" width="3" style="1" customWidth="1"/>
    <col min="8" max="8" width="2.85546875" style="8" customWidth="1"/>
    <col min="9" max="9" width="12" style="1" customWidth="1"/>
    <col min="10" max="10" width="8.5703125" style="1" customWidth="1"/>
    <col min="11" max="11" width="7.5703125" style="1" customWidth="1"/>
    <col min="12" max="12" width="7.85546875" style="1" customWidth="1"/>
    <col min="13" max="13" width="8" style="1" customWidth="1"/>
    <col min="14" max="14" width="7.42578125" style="1" customWidth="1"/>
    <col min="15" max="15" width="8" style="1" customWidth="1"/>
    <col min="16" max="16" width="8.42578125" style="1" customWidth="1"/>
    <col min="17" max="17" width="7.85546875" style="1" customWidth="1"/>
    <col min="18" max="18" width="7.5703125" style="1" customWidth="1"/>
    <col min="19" max="19" width="8.85546875" style="1" customWidth="1"/>
    <col min="20" max="20" width="9.28515625" style="1" customWidth="1"/>
    <col min="21" max="21" width="29.42578125" style="1" customWidth="1"/>
    <col min="22" max="22" width="4.85546875" style="72" customWidth="1"/>
    <col min="23" max="23" width="4.140625" style="72" customWidth="1"/>
    <col min="24" max="24" width="4.7109375" style="72" customWidth="1"/>
    <col min="25" max="25" width="5.28515625" style="1" customWidth="1"/>
    <col min="26" max="16384" width="9.140625" style="1"/>
  </cols>
  <sheetData>
    <row r="1" spans="1:24" s="2" customFormat="1" ht="15">
      <c r="A1" s="2111" t="s">
        <v>174</v>
      </c>
      <c r="B1" s="2111"/>
      <c r="C1" s="2111"/>
      <c r="D1" s="2111"/>
      <c r="E1" s="2111"/>
      <c r="F1" s="2111"/>
      <c r="G1" s="2111"/>
      <c r="H1" s="2111"/>
      <c r="I1" s="2111"/>
      <c r="J1" s="2111"/>
      <c r="K1" s="2111"/>
      <c r="L1" s="2111"/>
      <c r="M1" s="2111"/>
      <c r="N1" s="2111"/>
      <c r="O1" s="2111"/>
      <c r="P1" s="2111"/>
      <c r="Q1" s="2111"/>
      <c r="R1" s="2111"/>
      <c r="S1" s="2111"/>
      <c r="T1" s="2111"/>
      <c r="U1" s="2111"/>
      <c r="V1" s="2111"/>
      <c r="W1" s="2111"/>
      <c r="X1" s="2111"/>
    </row>
    <row r="2" spans="1:24" s="2" customFormat="1" ht="15" customHeight="1">
      <c r="A2" s="1151"/>
      <c r="B2" s="1151"/>
      <c r="C2" s="1151"/>
      <c r="D2" s="1151"/>
      <c r="E2" s="1151"/>
      <c r="F2" s="1151"/>
      <c r="G2" s="1151"/>
      <c r="H2" s="1151"/>
      <c r="I2" s="1151"/>
      <c r="J2" s="1200"/>
      <c r="K2" s="2112" t="s">
        <v>133</v>
      </c>
      <c r="L2" s="2113"/>
      <c r="M2" s="2113"/>
      <c r="N2" s="2113"/>
      <c r="O2" s="2113"/>
      <c r="P2" s="1201"/>
      <c r="Q2" s="1201"/>
      <c r="R2" s="1201"/>
      <c r="S2" s="1151"/>
      <c r="T2" s="1151"/>
      <c r="U2" s="1151"/>
      <c r="V2" s="1151"/>
      <c r="W2" s="1151"/>
      <c r="X2" s="1151"/>
    </row>
    <row r="3" spans="1:24" s="2" customFormat="1" ht="15">
      <c r="A3" s="2111" t="s">
        <v>59</v>
      </c>
      <c r="B3" s="2111"/>
      <c r="C3" s="2111"/>
      <c r="D3" s="2111"/>
      <c r="E3" s="2111"/>
      <c r="F3" s="2111"/>
      <c r="G3" s="2111"/>
      <c r="H3" s="2111"/>
      <c r="I3" s="2111"/>
      <c r="J3" s="2111"/>
      <c r="K3" s="2111"/>
      <c r="L3" s="2111"/>
      <c r="M3" s="2111"/>
      <c r="N3" s="2111"/>
      <c r="O3" s="2111"/>
      <c r="P3" s="2111"/>
      <c r="Q3" s="2111"/>
      <c r="R3" s="2111"/>
      <c r="S3" s="2111"/>
      <c r="T3" s="2111"/>
      <c r="U3" s="2111"/>
      <c r="V3" s="2111"/>
      <c r="W3" s="2111"/>
      <c r="X3" s="2111"/>
    </row>
    <row r="4" spans="1:24" s="2" customFormat="1" ht="13.5" thickBot="1">
      <c r="F4" s="30"/>
      <c r="H4" s="89"/>
      <c r="T4" s="2114" t="s">
        <v>0</v>
      </c>
      <c r="U4" s="2114"/>
      <c r="V4" s="2114"/>
      <c r="W4" s="2114"/>
      <c r="X4" s="2114"/>
    </row>
    <row r="5" spans="1:24" s="11" customFormat="1" ht="30" customHeight="1">
      <c r="A5" s="1879" t="s">
        <v>166</v>
      </c>
      <c r="B5" s="1882" t="s">
        <v>1</v>
      </c>
      <c r="C5" s="1882" t="s">
        <v>2</v>
      </c>
      <c r="D5" s="1882" t="s">
        <v>167</v>
      </c>
      <c r="E5" s="1885" t="s">
        <v>21</v>
      </c>
      <c r="F5" s="1888" t="s">
        <v>3</v>
      </c>
      <c r="G5" s="1882" t="s">
        <v>168</v>
      </c>
      <c r="H5" s="1937" t="s">
        <v>4</v>
      </c>
      <c r="I5" s="2115" t="s">
        <v>169</v>
      </c>
      <c r="J5" s="1915" t="s">
        <v>5</v>
      </c>
      <c r="K5" s="1905" t="s">
        <v>170</v>
      </c>
      <c r="L5" s="1906"/>
      <c r="M5" s="1906"/>
      <c r="N5" s="1907"/>
      <c r="O5" s="2118" t="s">
        <v>171</v>
      </c>
      <c r="P5" s="2119"/>
      <c r="Q5" s="2119"/>
      <c r="R5" s="2120"/>
      <c r="S5" s="1902" t="s">
        <v>82</v>
      </c>
      <c r="T5" s="1902" t="s">
        <v>173</v>
      </c>
      <c r="U5" s="1905" t="s">
        <v>67</v>
      </c>
      <c r="V5" s="1906"/>
      <c r="W5" s="1906"/>
      <c r="X5" s="1907"/>
    </row>
    <row r="6" spans="1:24" s="11" customFormat="1" ht="14.25" customHeight="1">
      <c r="A6" s="1880"/>
      <c r="B6" s="1883"/>
      <c r="C6" s="1883"/>
      <c r="D6" s="1883"/>
      <c r="E6" s="1886"/>
      <c r="F6" s="1889"/>
      <c r="G6" s="1883"/>
      <c r="H6" s="1938"/>
      <c r="I6" s="2116"/>
      <c r="J6" s="1916"/>
      <c r="K6" s="2107" t="s">
        <v>6</v>
      </c>
      <c r="L6" s="1896" t="s">
        <v>7</v>
      </c>
      <c r="M6" s="2108"/>
      <c r="N6" s="2109" t="s">
        <v>27</v>
      </c>
      <c r="O6" s="2107" t="s">
        <v>6</v>
      </c>
      <c r="P6" s="1896" t="s">
        <v>7</v>
      </c>
      <c r="Q6" s="2108"/>
      <c r="R6" s="2109" t="s">
        <v>27</v>
      </c>
      <c r="S6" s="1903"/>
      <c r="T6" s="1903"/>
      <c r="U6" s="1894" t="s">
        <v>21</v>
      </c>
      <c r="V6" s="1896" t="s">
        <v>259</v>
      </c>
      <c r="W6" s="1897"/>
      <c r="X6" s="1898"/>
    </row>
    <row r="7" spans="1:24" s="11" customFormat="1" ht="84.75" customHeight="1" thickBot="1">
      <c r="A7" s="1881"/>
      <c r="B7" s="1884"/>
      <c r="C7" s="1884"/>
      <c r="D7" s="1884"/>
      <c r="E7" s="1887"/>
      <c r="F7" s="1890"/>
      <c r="G7" s="1884"/>
      <c r="H7" s="1939"/>
      <c r="I7" s="2117"/>
      <c r="J7" s="1917"/>
      <c r="K7" s="1881"/>
      <c r="L7" s="596" t="s">
        <v>6</v>
      </c>
      <c r="M7" s="314" t="s">
        <v>22</v>
      </c>
      <c r="N7" s="2110"/>
      <c r="O7" s="1881"/>
      <c r="P7" s="596" t="s">
        <v>6</v>
      </c>
      <c r="Q7" s="314" t="s">
        <v>22</v>
      </c>
      <c r="R7" s="2110"/>
      <c r="S7" s="1904"/>
      <c r="T7" s="1904"/>
      <c r="U7" s="1895"/>
      <c r="V7" s="596" t="s">
        <v>68</v>
      </c>
      <c r="W7" s="596" t="s">
        <v>105</v>
      </c>
      <c r="X7" s="597" t="s">
        <v>180</v>
      </c>
    </row>
    <row r="8" spans="1:24" s="2" customFormat="1" ht="15" customHeight="1">
      <c r="A8" s="1899" t="s">
        <v>30</v>
      </c>
      <c r="B8" s="1900"/>
      <c r="C8" s="1900"/>
      <c r="D8" s="1900"/>
      <c r="E8" s="1900"/>
      <c r="F8" s="1900"/>
      <c r="G8" s="1900"/>
      <c r="H8" s="1900"/>
      <c r="I8" s="1900"/>
      <c r="J8" s="1900"/>
      <c r="K8" s="1900"/>
      <c r="L8" s="1900"/>
      <c r="M8" s="1900"/>
      <c r="N8" s="1900"/>
      <c r="O8" s="1900"/>
      <c r="P8" s="1900"/>
      <c r="Q8" s="1900"/>
      <c r="R8" s="1900"/>
      <c r="S8" s="1900"/>
      <c r="T8" s="1900"/>
      <c r="U8" s="1900"/>
      <c r="V8" s="1900"/>
      <c r="W8" s="1900"/>
      <c r="X8" s="1901"/>
    </row>
    <row r="9" spans="1:24" s="2" customFormat="1" ht="12.75" customHeight="1">
      <c r="A9" s="1856" t="s">
        <v>62</v>
      </c>
      <c r="B9" s="1857"/>
      <c r="C9" s="1857"/>
      <c r="D9" s="1857"/>
      <c r="E9" s="1857"/>
      <c r="F9" s="1857"/>
      <c r="G9" s="1857"/>
      <c r="H9" s="1857"/>
      <c r="I9" s="1857"/>
      <c r="J9" s="1857"/>
      <c r="K9" s="1857"/>
      <c r="L9" s="1857"/>
      <c r="M9" s="1857"/>
      <c r="N9" s="1857"/>
      <c r="O9" s="1857"/>
      <c r="P9" s="1857"/>
      <c r="Q9" s="1857"/>
      <c r="R9" s="1857"/>
      <c r="S9" s="1857"/>
      <c r="T9" s="1857"/>
      <c r="U9" s="1857"/>
      <c r="V9" s="1857"/>
      <c r="W9" s="1857"/>
      <c r="X9" s="1858"/>
    </row>
    <row r="10" spans="1:24" s="2" customFormat="1" ht="13.5" customHeight="1">
      <c r="A10" s="315" t="s">
        <v>8</v>
      </c>
      <c r="B10" s="1859" t="s">
        <v>50</v>
      </c>
      <c r="C10" s="1859"/>
      <c r="D10" s="1859"/>
      <c r="E10" s="1859"/>
      <c r="F10" s="1859"/>
      <c r="G10" s="1859"/>
      <c r="H10" s="1859"/>
      <c r="I10" s="1859"/>
      <c r="J10" s="1859"/>
      <c r="K10" s="1859"/>
      <c r="L10" s="1859"/>
      <c r="M10" s="1859"/>
      <c r="N10" s="1859"/>
      <c r="O10" s="1859"/>
      <c r="P10" s="1859"/>
      <c r="Q10" s="1859"/>
      <c r="R10" s="1859"/>
      <c r="S10" s="1859"/>
      <c r="T10" s="1859"/>
      <c r="U10" s="1859"/>
      <c r="V10" s="1859"/>
      <c r="W10" s="1859"/>
      <c r="X10" s="1860"/>
    </row>
    <row r="11" spans="1:24" s="2" customFormat="1" ht="15.75" customHeight="1">
      <c r="A11" s="316" t="s">
        <v>8</v>
      </c>
      <c r="B11" s="208" t="s">
        <v>8</v>
      </c>
      <c r="C11" s="1861" t="s">
        <v>52</v>
      </c>
      <c r="D11" s="1862"/>
      <c r="E11" s="1862"/>
      <c r="F11" s="1862"/>
      <c r="G11" s="1862"/>
      <c r="H11" s="1862"/>
      <c r="I11" s="1862"/>
      <c r="J11" s="1862"/>
      <c r="K11" s="1862"/>
      <c r="L11" s="1862"/>
      <c r="M11" s="1862"/>
      <c r="N11" s="1862"/>
      <c r="O11" s="1862"/>
      <c r="P11" s="1862"/>
      <c r="Q11" s="1862"/>
      <c r="R11" s="1862"/>
      <c r="S11" s="1862"/>
      <c r="T11" s="1862"/>
      <c r="U11" s="1862"/>
      <c r="V11" s="1862"/>
      <c r="W11" s="1862"/>
      <c r="X11" s="1863"/>
    </row>
    <row r="12" spans="1:24" s="11" customFormat="1" ht="26.25" customHeight="1">
      <c r="A12" s="317" t="s">
        <v>8</v>
      </c>
      <c r="B12" s="86" t="s">
        <v>8</v>
      </c>
      <c r="C12" s="336" t="s">
        <v>8</v>
      </c>
      <c r="D12" s="312"/>
      <c r="E12" s="1150" t="s">
        <v>80</v>
      </c>
      <c r="F12" s="324"/>
      <c r="G12" s="1150"/>
      <c r="H12" s="324"/>
      <c r="I12" s="345"/>
      <c r="J12" s="261"/>
      <c r="K12" s="55"/>
      <c r="L12" s="56"/>
      <c r="M12" s="56"/>
      <c r="N12" s="57"/>
      <c r="O12" s="883"/>
      <c r="P12" s="883"/>
      <c r="Q12" s="883"/>
      <c r="R12" s="883"/>
      <c r="S12" s="325"/>
      <c r="T12" s="883"/>
      <c r="U12" s="1124"/>
      <c r="V12" s="382"/>
      <c r="W12" s="382"/>
      <c r="X12" s="380"/>
    </row>
    <row r="13" spans="1:24" s="11" customFormat="1" ht="18.75" customHeight="1">
      <c r="A13" s="318"/>
      <c r="B13" s="139"/>
      <c r="C13" s="337"/>
      <c r="D13" s="312" t="s">
        <v>8</v>
      </c>
      <c r="E13" s="1711" t="s">
        <v>304</v>
      </c>
      <c r="F13" s="2102"/>
      <c r="G13" s="2104" t="s">
        <v>20</v>
      </c>
      <c r="H13" s="2093" t="s">
        <v>53</v>
      </c>
      <c r="I13" s="2090" t="s">
        <v>121</v>
      </c>
      <c r="J13" s="386" t="s">
        <v>12</v>
      </c>
      <c r="K13" s="387">
        <f>L13+N13</f>
        <v>14672.5</v>
      </c>
      <c r="L13" s="388">
        <v>14672.5</v>
      </c>
      <c r="M13" s="388">
        <v>11202.1</v>
      </c>
      <c r="N13" s="389"/>
      <c r="O13" s="1361">
        <f>P13+R13</f>
        <v>15960</v>
      </c>
      <c r="P13" s="411">
        <f>15849.6+110.4</f>
        <v>15960</v>
      </c>
      <c r="Q13" s="411">
        <f>12100.8+84.3</f>
        <v>12185.1</v>
      </c>
      <c r="R13" s="389"/>
      <c r="S13" s="391">
        <v>16100</v>
      </c>
      <c r="T13" s="390">
        <v>16200</v>
      </c>
      <c r="U13" s="1709" t="s">
        <v>140</v>
      </c>
      <c r="V13" s="2095">
        <v>439.5</v>
      </c>
      <c r="W13" s="2095">
        <v>439.5</v>
      </c>
      <c r="X13" s="2100">
        <v>439.5</v>
      </c>
    </row>
    <row r="14" spans="1:24" s="11" customFormat="1" ht="15.75" customHeight="1">
      <c r="A14" s="317"/>
      <c r="B14" s="86"/>
      <c r="C14" s="336"/>
      <c r="D14" s="1119"/>
      <c r="E14" s="2099"/>
      <c r="F14" s="2103"/>
      <c r="G14" s="2105"/>
      <c r="H14" s="2026"/>
      <c r="I14" s="1998"/>
      <c r="J14" s="392" t="s">
        <v>47</v>
      </c>
      <c r="K14" s="443">
        <f>L14+N14</f>
        <v>2540.9</v>
      </c>
      <c r="L14" s="444">
        <v>2524.9</v>
      </c>
      <c r="M14" s="444">
        <v>1573.6</v>
      </c>
      <c r="N14" s="801">
        <v>16</v>
      </c>
      <c r="O14" s="1089">
        <f>P14+R14</f>
        <v>2464.8000000000002</v>
      </c>
      <c r="P14" s="985">
        <v>2451.8000000000002</v>
      </c>
      <c r="Q14" s="985">
        <v>159.30000000000001</v>
      </c>
      <c r="R14" s="801">
        <v>13</v>
      </c>
      <c r="S14" s="802">
        <v>2524</v>
      </c>
      <c r="T14" s="803">
        <f>+S14</f>
        <v>2524</v>
      </c>
      <c r="U14" s="2094"/>
      <c r="V14" s="2096"/>
      <c r="W14" s="2096"/>
      <c r="X14" s="2101"/>
    </row>
    <row r="15" spans="1:24" s="11" customFormat="1" ht="18.75" customHeight="1">
      <c r="A15" s="317"/>
      <c r="B15" s="793"/>
      <c r="C15" s="794"/>
      <c r="D15" s="1119"/>
      <c r="E15" s="1147" t="s">
        <v>223</v>
      </c>
      <c r="F15" s="1195"/>
      <c r="G15" s="1196"/>
      <c r="H15" s="1171"/>
      <c r="I15" s="2106"/>
      <c r="J15" s="394" t="s">
        <v>12</v>
      </c>
      <c r="K15" s="264"/>
      <c r="L15" s="263"/>
      <c r="M15" s="263"/>
      <c r="N15" s="278"/>
      <c r="O15" s="795">
        <f>P15</f>
        <v>339.3</v>
      </c>
      <c r="P15" s="796">
        <f>323.6+15.7</f>
        <v>339.3</v>
      </c>
      <c r="Q15" s="796">
        <f>116.6+12</f>
        <v>128.6</v>
      </c>
      <c r="R15" s="412"/>
      <c r="S15" s="166"/>
      <c r="T15" s="797"/>
      <c r="U15" s="1184"/>
      <c r="V15" s="1185"/>
      <c r="W15" s="1185"/>
      <c r="X15" s="1186"/>
    </row>
    <row r="16" spans="1:24" s="2" customFormat="1" ht="13.5" customHeight="1">
      <c r="A16" s="1694"/>
      <c r="B16" s="1848"/>
      <c r="C16" s="2036"/>
      <c r="D16" s="312" t="s">
        <v>9</v>
      </c>
      <c r="E16" s="1711" t="s">
        <v>177</v>
      </c>
      <c r="F16" s="2102"/>
      <c r="G16" s="2087" t="s">
        <v>8</v>
      </c>
      <c r="H16" s="2093" t="s">
        <v>53</v>
      </c>
      <c r="I16" s="1177" t="s">
        <v>98</v>
      </c>
      <c r="J16" s="15" t="s">
        <v>12</v>
      </c>
      <c r="K16" s="326">
        <f>+L16+N16</f>
        <v>1684.8</v>
      </c>
      <c r="L16" s="327">
        <f>1655.6-40.5</f>
        <v>1615.1</v>
      </c>
      <c r="M16" s="327"/>
      <c r="N16" s="328">
        <v>69.7</v>
      </c>
      <c r="O16" s="972">
        <f>+P16+R16</f>
        <v>1685.1</v>
      </c>
      <c r="P16" s="476">
        <v>1639.1</v>
      </c>
      <c r="Q16" s="991"/>
      <c r="R16" s="992">
        <v>46</v>
      </c>
      <c r="S16" s="563">
        <v>1680</v>
      </c>
      <c r="T16" s="58">
        <v>1680</v>
      </c>
      <c r="U16" s="311"/>
      <c r="V16" s="180"/>
      <c r="W16" s="180"/>
      <c r="X16" s="181"/>
    </row>
    <row r="17" spans="1:29" s="2" customFormat="1" ht="15" customHeight="1">
      <c r="A17" s="1694"/>
      <c r="B17" s="1848"/>
      <c r="C17" s="2036"/>
      <c r="D17" s="1119"/>
      <c r="E17" s="1850"/>
      <c r="F17" s="2103"/>
      <c r="G17" s="2003"/>
      <c r="H17" s="2026"/>
      <c r="I17" s="1140"/>
      <c r="J17" s="400" t="s">
        <v>61</v>
      </c>
      <c r="K17" s="401">
        <f>L17+N17</f>
        <v>40.5</v>
      </c>
      <c r="L17" s="402">
        <v>40.5</v>
      </c>
      <c r="M17" s="402"/>
      <c r="N17" s="403"/>
      <c r="O17" s="973">
        <f>P17+R17</f>
        <v>11.6</v>
      </c>
      <c r="P17" s="974">
        <v>11.6</v>
      </c>
      <c r="Q17" s="414"/>
      <c r="R17" s="415"/>
      <c r="S17" s="416">
        <v>11.6</v>
      </c>
      <c r="T17" s="416">
        <v>11.6</v>
      </c>
      <c r="U17" s="384"/>
      <c r="V17" s="188"/>
      <c r="W17" s="188"/>
      <c r="X17" s="189"/>
    </row>
    <row r="18" spans="1:29" s="2" customFormat="1" ht="14.25" customHeight="1">
      <c r="A18" s="1115"/>
      <c r="B18" s="1146"/>
      <c r="C18" s="1174"/>
      <c r="D18" s="1119"/>
      <c r="E18" s="1850"/>
      <c r="F18" s="1195"/>
      <c r="G18" s="1160"/>
      <c r="H18" s="1171"/>
      <c r="I18" s="1140"/>
      <c r="J18" s="400" t="s">
        <v>178</v>
      </c>
      <c r="K18" s="401"/>
      <c r="L18" s="402"/>
      <c r="M18" s="402"/>
      <c r="N18" s="403"/>
      <c r="O18" s="973"/>
      <c r="P18" s="974"/>
      <c r="Q18" s="414"/>
      <c r="R18" s="415"/>
      <c r="S18" s="416"/>
      <c r="T18" s="416"/>
      <c r="U18" s="384"/>
      <c r="V18" s="188"/>
      <c r="W18" s="188"/>
      <c r="X18" s="189"/>
    </row>
    <row r="19" spans="1:29" s="2" customFormat="1" ht="14.25" customHeight="1">
      <c r="A19" s="1115"/>
      <c r="B19" s="1146"/>
      <c r="C19" s="1174"/>
      <c r="D19" s="1119"/>
      <c r="E19" s="1850"/>
      <c r="F19" s="1195"/>
      <c r="G19" s="1160"/>
      <c r="H19" s="1171"/>
      <c r="I19" s="1140"/>
      <c r="J19" s="394" t="s">
        <v>179</v>
      </c>
      <c r="K19" s="264">
        <v>116</v>
      </c>
      <c r="L19" s="263">
        <v>116</v>
      </c>
      <c r="M19" s="263"/>
      <c r="N19" s="278"/>
      <c r="O19" s="795"/>
      <c r="P19" s="975"/>
      <c r="Q19" s="141"/>
      <c r="R19" s="412"/>
      <c r="S19" s="555"/>
      <c r="T19" s="413"/>
      <c r="U19" s="384"/>
      <c r="V19" s="188"/>
      <c r="W19" s="188"/>
      <c r="X19" s="189"/>
    </row>
    <row r="20" spans="1:29" s="2" customFormat="1" ht="21" customHeight="1">
      <c r="A20" s="1115"/>
      <c r="B20" s="1117"/>
      <c r="C20" s="572"/>
      <c r="D20" s="312" t="s">
        <v>10</v>
      </c>
      <c r="E20" s="1125" t="s">
        <v>43</v>
      </c>
      <c r="F20" s="410"/>
      <c r="G20" s="1182" t="s">
        <v>8</v>
      </c>
      <c r="H20" s="1198" t="s">
        <v>53</v>
      </c>
      <c r="I20" s="1177" t="s">
        <v>98</v>
      </c>
      <c r="J20" s="21" t="s">
        <v>12</v>
      </c>
      <c r="K20" s="55">
        <f>+L20+N20</f>
        <v>74.5</v>
      </c>
      <c r="L20" s="56">
        <v>74.5</v>
      </c>
      <c r="M20" s="56"/>
      <c r="N20" s="57"/>
      <c r="O20" s="976">
        <f>+P20+R20</f>
        <v>95</v>
      </c>
      <c r="P20" s="977">
        <v>95</v>
      </c>
      <c r="Q20" s="38"/>
      <c r="R20" s="53"/>
      <c r="S20" s="52">
        <v>95</v>
      </c>
      <c r="T20" s="40"/>
      <c r="U20" s="311"/>
      <c r="V20" s="180"/>
      <c r="W20" s="180"/>
      <c r="X20" s="181"/>
    </row>
    <row r="21" spans="1:29" s="2" customFormat="1" ht="40.5" customHeight="1">
      <c r="A21" s="1115"/>
      <c r="B21" s="1117"/>
      <c r="C21" s="572"/>
      <c r="D21" s="1134" t="s">
        <v>11</v>
      </c>
      <c r="E21" s="1136" t="s">
        <v>239</v>
      </c>
      <c r="F21" s="378" t="s">
        <v>110</v>
      </c>
      <c r="G21" s="1159" t="s">
        <v>8</v>
      </c>
      <c r="H21" s="379" t="s">
        <v>53</v>
      </c>
      <c r="I21" s="348" t="s">
        <v>75</v>
      </c>
      <c r="J21" s="21" t="s">
        <v>12</v>
      </c>
      <c r="K21" s="55">
        <f>+L21+N21</f>
        <v>15</v>
      </c>
      <c r="L21" s="56">
        <v>15</v>
      </c>
      <c r="M21" s="56"/>
      <c r="N21" s="57"/>
      <c r="O21" s="976">
        <f>+P21+R21</f>
        <v>50</v>
      </c>
      <c r="P21" s="439">
        <f>15+28+5+2</f>
        <v>50</v>
      </c>
      <c r="Q21" s="38"/>
      <c r="R21" s="53"/>
      <c r="S21" s="52">
        <v>50</v>
      </c>
      <c r="T21" s="40">
        <v>50</v>
      </c>
      <c r="U21" s="117" t="s">
        <v>288</v>
      </c>
      <c r="V21" s="76" t="s">
        <v>186</v>
      </c>
      <c r="W21" s="76" t="s">
        <v>186</v>
      </c>
      <c r="X21" s="77" t="s">
        <v>187</v>
      </c>
    </row>
    <row r="22" spans="1:29" s="2" customFormat="1" ht="17.25" customHeight="1">
      <c r="A22" s="1694"/>
      <c r="B22" s="1848"/>
      <c r="C22" s="2036"/>
      <c r="D22" s="1119" t="s">
        <v>32</v>
      </c>
      <c r="E22" s="1121" t="s">
        <v>146</v>
      </c>
      <c r="F22" s="2092"/>
      <c r="G22" s="2003" t="s">
        <v>8</v>
      </c>
      <c r="H22" s="2026" t="s">
        <v>53</v>
      </c>
      <c r="I22" s="1998" t="s">
        <v>129</v>
      </c>
      <c r="J22" s="394"/>
      <c r="K22" s="264"/>
      <c r="L22" s="263"/>
      <c r="M22" s="263"/>
      <c r="N22" s="278"/>
      <c r="O22" s="978"/>
      <c r="P22" s="796"/>
      <c r="Q22" s="395"/>
      <c r="R22" s="396"/>
      <c r="S22" s="166"/>
      <c r="T22" s="166"/>
      <c r="U22" s="397"/>
      <c r="V22" s="398"/>
      <c r="W22" s="398"/>
      <c r="X22" s="399"/>
    </row>
    <row r="23" spans="1:29" s="2" customFormat="1" ht="17.25" customHeight="1">
      <c r="A23" s="1694"/>
      <c r="B23" s="1848"/>
      <c r="C23" s="2036"/>
      <c r="D23" s="1119"/>
      <c r="E23" s="393" t="s">
        <v>305</v>
      </c>
      <c r="F23" s="2092"/>
      <c r="G23" s="2003"/>
      <c r="H23" s="2026"/>
      <c r="I23" s="1998"/>
      <c r="J23" s="400" t="s">
        <v>12</v>
      </c>
      <c r="K23" s="401">
        <f>L23+N23</f>
        <v>7</v>
      </c>
      <c r="L23" s="402">
        <v>7</v>
      </c>
      <c r="M23" s="402"/>
      <c r="N23" s="403"/>
      <c r="O23" s="979">
        <f>P23</f>
        <v>7</v>
      </c>
      <c r="P23" s="980">
        <v>7</v>
      </c>
      <c r="Q23" s="404"/>
      <c r="R23" s="405"/>
      <c r="S23" s="406">
        <v>7</v>
      </c>
      <c r="T23" s="406">
        <v>7</v>
      </c>
      <c r="U23" s="407" t="s">
        <v>183</v>
      </c>
      <c r="V23" s="408">
        <v>1</v>
      </c>
      <c r="W23" s="408">
        <v>2</v>
      </c>
      <c r="X23" s="409">
        <v>1</v>
      </c>
    </row>
    <row r="24" spans="1:29" s="2" customFormat="1" ht="27.75" customHeight="1">
      <c r="A24" s="1694"/>
      <c r="B24" s="1848"/>
      <c r="C24" s="2036"/>
      <c r="D24" s="1119"/>
      <c r="E24" s="393" t="s">
        <v>184</v>
      </c>
      <c r="F24" s="2092"/>
      <c r="G24" s="2003"/>
      <c r="H24" s="2026"/>
      <c r="I24" s="1998"/>
      <c r="J24" s="400" t="s">
        <v>12</v>
      </c>
      <c r="K24" s="401">
        <f t="shared" ref="K24:K29" si="0">L24+N24</f>
        <v>116.6</v>
      </c>
      <c r="L24" s="402">
        <v>116.6</v>
      </c>
      <c r="M24" s="402"/>
      <c r="N24" s="403"/>
      <c r="O24" s="979">
        <f>P24</f>
        <v>150</v>
      </c>
      <c r="P24" s="981">
        <v>150</v>
      </c>
      <c r="Q24" s="404"/>
      <c r="R24" s="405"/>
      <c r="S24" s="406">
        <v>116</v>
      </c>
      <c r="T24" s="406">
        <v>116</v>
      </c>
      <c r="U24" s="656" t="s">
        <v>132</v>
      </c>
      <c r="V24" s="427">
        <v>70</v>
      </c>
      <c r="W24" s="427">
        <v>150</v>
      </c>
      <c r="X24" s="428">
        <v>150</v>
      </c>
      <c r="AC24" s="812"/>
    </row>
    <row r="25" spans="1:29" s="2" customFormat="1" ht="30" customHeight="1">
      <c r="A25" s="1694"/>
      <c r="B25" s="1848"/>
      <c r="C25" s="2036"/>
      <c r="D25" s="1119"/>
      <c r="E25" s="2097" t="s">
        <v>115</v>
      </c>
      <c r="F25" s="2092"/>
      <c r="G25" s="2003"/>
      <c r="H25" s="2026"/>
      <c r="I25" s="837"/>
      <c r="J25" s="838" t="s">
        <v>12</v>
      </c>
      <c r="K25" s="825">
        <f t="shared" si="0"/>
        <v>95</v>
      </c>
      <c r="L25" s="826">
        <v>95</v>
      </c>
      <c r="M25" s="826"/>
      <c r="N25" s="827"/>
      <c r="O25" s="982">
        <f>P25</f>
        <v>120</v>
      </c>
      <c r="P25" s="983">
        <f>60+60</f>
        <v>120</v>
      </c>
      <c r="Q25" s="826"/>
      <c r="R25" s="878"/>
      <c r="S25" s="842">
        <v>120</v>
      </c>
      <c r="T25" s="842">
        <v>120</v>
      </c>
      <c r="U25" s="1255" t="s">
        <v>325</v>
      </c>
      <c r="V25" s="799">
        <v>10</v>
      </c>
      <c r="W25" s="799">
        <v>10</v>
      </c>
      <c r="X25" s="800">
        <v>10</v>
      </c>
    </row>
    <row r="26" spans="1:29" s="2" customFormat="1" ht="15.75" customHeight="1">
      <c r="A26" s="1694"/>
      <c r="B26" s="1848"/>
      <c r="C26" s="2036"/>
      <c r="D26" s="1119"/>
      <c r="E26" s="2098"/>
      <c r="F26" s="2092"/>
      <c r="G26" s="2003"/>
      <c r="H26" s="2026"/>
      <c r="I26" s="837"/>
      <c r="J26" s="839"/>
      <c r="K26" s="264"/>
      <c r="L26" s="263"/>
      <c r="M26" s="263"/>
      <c r="N26" s="278"/>
      <c r="O26" s="978"/>
      <c r="P26" s="796"/>
      <c r="Q26" s="395"/>
      <c r="R26" s="841"/>
      <c r="S26" s="843"/>
      <c r="T26" s="843"/>
      <c r="U26" s="1256" t="s">
        <v>224</v>
      </c>
      <c r="V26" s="831">
        <v>2</v>
      </c>
      <c r="W26" s="799"/>
      <c r="X26" s="800"/>
    </row>
    <row r="27" spans="1:29" s="2" customFormat="1" ht="24.75" customHeight="1">
      <c r="A27" s="1694"/>
      <c r="B27" s="1848"/>
      <c r="C27" s="2036"/>
      <c r="D27" s="1119"/>
      <c r="E27" s="2098"/>
      <c r="F27" s="2092"/>
      <c r="G27" s="2003"/>
      <c r="H27" s="2026"/>
      <c r="I27" s="837"/>
      <c r="J27" s="839"/>
      <c r="K27" s="264"/>
      <c r="L27" s="263"/>
      <c r="M27" s="263"/>
      <c r="N27" s="278"/>
      <c r="O27" s="978"/>
      <c r="P27" s="796"/>
      <c r="Q27" s="395"/>
      <c r="R27" s="841"/>
      <c r="S27" s="843"/>
      <c r="T27" s="843"/>
      <c r="U27" s="1257" t="s">
        <v>289</v>
      </c>
      <c r="V27" s="832">
        <v>300</v>
      </c>
      <c r="W27" s="833"/>
      <c r="X27" s="834"/>
    </row>
    <row r="28" spans="1:29" s="2" customFormat="1" ht="16.5" customHeight="1">
      <c r="A28" s="1694"/>
      <c r="B28" s="1848"/>
      <c r="C28" s="2036"/>
      <c r="D28" s="1119"/>
      <c r="E28" s="2099"/>
      <c r="F28" s="2092"/>
      <c r="G28" s="2003"/>
      <c r="H28" s="2026"/>
      <c r="I28" s="837"/>
      <c r="J28" s="840"/>
      <c r="K28" s="443"/>
      <c r="L28" s="444"/>
      <c r="M28" s="444"/>
      <c r="N28" s="801"/>
      <c r="O28" s="984"/>
      <c r="P28" s="985"/>
      <c r="Q28" s="805"/>
      <c r="R28" s="804"/>
      <c r="S28" s="844"/>
      <c r="T28" s="844"/>
      <c r="U28" s="1257" t="s">
        <v>227</v>
      </c>
      <c r="V28" s="832">
        <v>300</v>
      </c>
      <c r="W28" s="833"/>
      <c r="X28" s="834"/>
    </row>
    <row r="29" spans="1:29" s="2" customFormat="1" ht="36.75" customHeight="1">
      <c r="A29" s="1694"/>
      <c r="B29" s="1848"/>
      <c r="C29" s="2036"/>
      <c r="D29" s="1139"/>
      <c r="E29" s="393" t="s">
        <v>108</v>
      </c>
      <c r="F29" s="2092"/>
      <c r="G29" s="2003"/>
      <c r="H29" s="2026"/>
      <c r="I29" s="1141"/>
      <c r="J29" s="400" t="s">
        <v>12</v>
      </c>
      <c r="K29" s="401">
        <f t="shared" si="0"/>
        <v>50</v>
      </c>
      <c r="L29" s="402">
        <v>50</v>
      </c>
      <c r="M29" s="402"/>
      <c r="N29" s="403"/>
      <c r="O29" s="979">
        <f>P29</f>
        <v>50</v>
      </c>
      <c r="P29" s="981">
        <v>50</v>
      </c>
      <c r="Q29" s="404"/>
      <c r="R29" s="405"/>
      <c r="S29" s="406">
        <v>50</v>
      </c>
      <c r="T29" s="406">
        <v>50</v>
      </c>
      <c r="U29" s="835" t="s">
        <v>185</v>
      </c>
      <c r="V29" s="496">
        <v>3</v>
      </c>
      <c r="W29" s="809">
        <v>3</v>
      </c>
      <c r="X29" s="836">
        <v>3</v>
      </c>
      <c r="Z29" s="17"/>
    </row>
    <row r="30" spans="1:29" s="2" customFormat="1" ht="39" customHeight="1">
      <c r="A30" s="1115"/>
      <c r="B30" s="1146"/>
      <c r="C30" s="1174"/>
      <c r="D30" s="312" t="s">
        <v>34</v>
      </c>
      <c r="E30" s="1150" t="s">
        <v>306</v>
      </c>
      <c r="F30" s="377"/>
      <c r="G30" s="1182" t="s">
        <v>8</v>
      </c>
      <c r="H30" s="1181" t="s">
        <v>53</v>
      </c>
      <c r="I30" s="381" t="s">
        <v>71</v>
      </c>
      <c r="J30" s="15" t="s">
        <v>12</v>
      </c>
      <c r="K30" s="473"/>
      <c r="L30" s="474"/>
      <c r="M30" s="474"/>
      <c r="N30" s="475"/>
      <c r="O30" s="972">
        <f t="shared" ref="O30:O34" si="1">+P30+R30</f>
        <v>0</v>
      </c>
      <c r="P30" s="476"/>
      <c r="Q30" s="476"/>
      <c r="R30" s="477"/>
      <c r="S30" s="478"/>
      <c r="T30" s="479"/>
      <c r="U30" s="329"/>
      <c r="V30" s="493"/>
      <c r="W30" s="493"/>
      <c r="X30" s="494"/>
    </row>
    <row r="31" spans="1:29" s="2" customFormat="1" ht="26.25" customHeight="1">
      <c r="A31" s="1115"/>
      <c r="B31" s="1146"/>
      <c r="C31" s="1174"/>
      <c r="D31" s="463"/>
      <c r="E31" s="445" t="s">
        <v>195</v>
      </c>
      <c r="F31" s="481"/>
      <c r="G31" s="482"/>
      <c r="H31" s="483"/>
      <c r="I31" s="484"/>
      <c r="J31" s="400" t="s">
        <v>12</v>
      </c>
      <c r="K31" s="433">
        <f>+L31+N31</f>
        <v>100</v>
      </c>
      <c r="L31" s="485">
        <v>100</v>
      </c>
      <c r="M31" s="486"/>
      <c r="N31" s="487"/>
      <c r="O31" s="986">
        <f t="shared" si="1"/>
        <v>100</v>
      </c>
      <c r="P31" s="987">
        <v>100</v>
      </c>
      <c r="Q31" s="489"/>
      <c r="R31" s="490"/>
      <c r="S31" s="491">
        <v>100</v>
      </c>
      <c r="T31" s="406">
        <v>100</v>
      </c>
      <c r="U31" s="384" t="s">
        <v>99</v>
      </c>
      <c r="V31" s="658">
        <v>130</v>
      </c>
      <c r="W31" s="658">
        <v>130</v>
      </c>
      <c r="X31" s="657">
        <v>130</v>
      </c>
    </row>
    <row r="32" spans="1:29" s="2" customFormat="1" ht="15.75" customHeight="1">
      <c r="A32" s="1115"/>
      <c r="B32" s="1146"/>
      <c r="C32" s="1174"/>
      <c r="D32" s="462"/>
      <c r="E32" s="1220" t="s">
        <v>238</v>
      </c>
      <c r="F32" s="813"/>
      <c r="G32" s="814"/>
      <c r="H32" s="815"/>
      <c r="I32" s="816"/>
      <c r="J32" s="817" t="s">
        <v>12</v>
      </c>
      <c r="K32" s="818"/>
      <c r="L32" s="819"/>
      <c r="M32" s="820"/>
      <c r="N32" s="821"/>
      <c r="O32" s="1212">
        <f t="shared" si="1"/>
        <v>2019.6</v>
      </c>
      <c r="P32" s="1213">
        <f>283.9+21.3+857.2+857.2</f>
        <v>2019.6</v>
      </c>
      <c r="Q32" s="1213"/>
      <c r="R32" s="1214"/>
      <c r="S32" s="1215">
        <f>149.3</f>
        <v>149.30000000000001</v>
      </c>
      <c r="T32" s="822"/>
      <c r="U32" s="1216" t="s">
        <v>226</v>
      </c>
      <c r="V32" s="823">
        <v>2</v>
      </c>
      <c r="W32" s="823"/>
      <c r="X32" s="824">
        <v>1</v>
      </c>
    </row>
    <row r="33" spans="1:28" s="2" customFormat="1" ht="29.25" customHeight="1">
      <c r="A33" s="1115"/>
      <c r="B33" s="1117"/>
      <c r="C33" s="572"/>
      <c r="D33" s="664" t="s">
        <v>35</v>
      </c>
      <c r="E33" s="1138" t="s">
        <v>145</v>
      </c>
      <c r="F33" s="665"/>
      <c r="G33" s="1158" t="s">
        <v>8</v>
      </c>
      <c r="H33" s="1188" t="s">
        <v>53</v>
      </c>
      <c r="I33" s="520" t="s">
        <v>72</v>
      </c>
      <c r="J33" s="12" t="s">
        <v>12</v>
      </c>
      <c r="K33" s="331">
        <f>+L33+N33</f>
        <v>64.3</v>
      </c>
      <c r="L33" s="480">
        <f>6.8+57.5</f>
        <v>64.3</v>
      </c>
      <c r="M33" s="146"/>
      <c r="N33" s="147"/>
      <c r="O33" s="988">
        <f t="shared" si="1"/>
        <v>64.3</v>
      </c>
      <c r="P33" s="472">
        <v>64.3</v>
      </c>
      <c r="Q33" s="33"/>
      <c r="R33" s="49"/>
      <c r="S33" s="122">
        <v>65</v>
      </c>
      <c r="T33" s="122">
        <v>65</v>
      </c>
      <c r="U33" s="1114" t="s">
        <v>100</v>
      </c>
      <c r="V33" s="118">
        <v>18</v>
      </c>
      <c r="W33" s="118">
        <v>18</v>
      </c>
      <c r="X33" s="108">
        <v>18</v>
      </c>
    </row>
    <row r="34" spans="1:28" s="2" customFormat="1" ht="25.5" customHeight="1">
      <c r="A34" s="1115"/>
      <c r="B34" s="1117"/>
      <c r="C34" s="572"/>
      <c r="D34" s="1119" t="s">
        <v>36</v>
      </c>
      <c r="E34" s="1850" t="s">
        <v>181</v>
      </c>
      <c r="F34" s="1179"/>
      <c r="G34" s="1160" t="s">
        <v>8</v>
      </c>
      <c r="H34" s="1171" t="s">
        <v>53</v>
      </c>
      <c r="I34" s="2090" t="s">
        <v>122</v>
      </c>
      <c r="J34" s="392" t="s">
        <v>12</v>
      </c>
      <c r="K34" s="443">
        <f>+L34+N34</f>
        <v>79.5</v>
      </c>
      <c r="L34" s="804">
        <v>79.5</v>
      </c>
      <c r="M34" s="444"/>
      <c r="N34" s="801"/>
      <c r="O34" s="984">
        <f t="shared" si="1"/>
        <v>63.8</v>
      </c>
      <c r="P34" s="985">
        <v>63.8</v>
      </c>
      <c r="Q34" s="805"/>
      <c r="R34" s="806"/>
      <c r="S34" s="802">
        <v>63.8</v>
      </c>
      <c r="T34" s="802">
        <v>63.8</v>
      </c>
      <c r="U34" s="807" t="s">
        <v>70</v>
      </c>
      <c r="V34" s="808">
        <v>11</v>
      </c>
      <c r="W34" s="809">
        <v>11</v>
      </c>
      <c r="X34" s="810">
        <v>11</v>
      </c>
      <c r="Z34" s="17"/>
    </row>
    <row r="35" spans="1:28" s="2" customFormat="1" ht="32.25" customHeight="1" thickBot="1">
      <c r="A35" s="320"/>
      <c r="B35" s="1118"/>
      <c r="C35" s="927"/>
      <c r="D35" s="1120"/>
      <c r="E35" s="1846"/>
      <c r="F35" s="1180"/>
      <c r="G35" s="1168"/>
      <c r="H35" s="1172"/>
      <c r="I35" s="2091"/>
      <c r="J35" s="928" t="s">
        <v>12</v>
      </c>
      <c r="K35" s="929"/>
      <c r="L35" s="930"/>
      <c r="M35" s="931"/>
      <c r="N35" s="932"/>
      <c r="O35" s="989">
        <f t="shared" ref="O35:O40" si="2">P35</f>
        <v>3</v>
      </c>
      <c r="P35" s="990">
        <v>3</v>
      </c>
      <c r="Q35" s="933"/>
      <c r="R35" s="934"/>
      <c r="S35" s="935">
        <v>3</v>
      </c>
      <c r="T35" s="935">
        <v>3</v>
      </c>
      <c r="U35" s="936" t="s">
        <v>182</v>
      </c>
      <c r="V35" s="937">
        <v>100</v>
      </c>
      <c r="W35" s="1143">
        <v>100</v>
      </c>
      <c r="X35" s="1145">
        <v>100</v>
      </c>
    </row>
    <row r="36" spans="1:28" s="2" customFormat="1" ht="51" customHeight="1">
      <c r="A36" s="938"/>
      <c r="B36" s="1130"/>
      <c r="C36" s="1173"/>
      <c r="D36" s="939" t="s">
        <v>37</v>
      </c>
      <c r="E36" s="940" t="s">
        <v>307</v>
      </c>
      <c r="F36" s="1192"/>
      <c r="G36" s="1157" t="s">
        <v>8</v>
      </c>
      <c r="H36" s="941" t="s">
        <v>53</v>
      </c>
      <c r="I36" s="942" t="s">
        <v>150</v>
      </c>
      <c r="J36" s="943" t="s">
        <v>130</v>
      </c>
      <c r="K36" s="59">
        <f>+L36+N36</f>
        <v>81</v>
      </c>
      <c r="L36" s="60">
        <v>81</v>
      </c>
      <c r="M36" s="60"/>
      <c r="N36" s="95"/>
      <c r="O36" s="435">
        <f t="shared" si="2"/>
        <v>81.900000000000006</v>
      </c>
      <c r="P36" s="436">
        <v>81.900000000000006</v>
      </c>
      <c r="Q36" s="60"/>
      <c r="R36" s="944"/>
      <c r="S36" s="945">
        <v>81</v>
      </c>
      <c r="T36" s="945">
        <v>81</v>
      </c>
      <c r="U36" s="441"/>
      <c r="V36" s="946"/>
      <c r="W36" s="946"/>
      <c r="X36" s="947"/>
    </row>
    <row r="37" spans="1:28" s="2" customFormat="1" ht="31.5" customHeight="1">
      <c r="A37" s="1694"/>
      <c r="B37" s="1848"/>
      <c r="C37" s="2036"/>
      <c r="D37" s="1119" t="s">
        <v>33</v>
      </c>
      <c r="E37" s="1850" t="s">
        <v>308</v>
      </c>
      <c r="F37" s="2092"/>
      <c r="G37" s="2003"/>
      <c r="H37" s="2026"/>
      <c r="I37" s="346" t="s">
        <v>71</v>
      </c>
      <c r="J37" s="20" t="s">
        <v>12</v>
      </c>
      <c r="K37" s="82">
        <f>L37+N37</f>
        <v>72</v>
      </c>
      <c r="L37" s="83">
        <v>72</v>
      </c>
      <c r="M37" s="83"/>
      <c r="N37" s="94"/>
      <c r="O37" s="606">
        <f t="shared" si="2"/>
        <v>140</v>
      </c>
      <c r="P37" s="120">
        <v>140</v>
      </c>
      <c r="Q37" s="33"/>
      <c r="R37" s="123"/>
      <c r="S37" s="376">
        <v>140</v>
      </c>
      <c r="T37" s="122">
        <v>140</v>
      </c>
      <c r="U37" s="495" t="s">
        <v>73</v>
      </c>
      <c r="V37" s="330">
        <v>35</v>
      </c>
      <c r="W37" s="496">
        <v>35</v>
      </c>
      <c r="X37" s="282">
        <v>35</v>
      </c>
    </row>
    <row r="38" spans="1:28" s="2" customFormat="1" ht="40.5" customHeight="1">
      <c r="A38" s="1694"/>
      <c r="B38" s="1848"/>
      <c r="C38" s="2036"/>
      <c r="D38" s="1119"/>
      <c r="E38" s="1850"/>
      <c r="F38" s="2092"/>
      <c r="G38" s="2003"/>
      <c r="H38" s="2026"/>
      <c r="I38" s="347" t="s">
        <v>77</v>
      </c>
      <c r="J38" s="15" t="s">
        <v>12</v>
      </c>
      <c r="K38" s="82">
        <f>L38+N38</f>
        <v>25</v>
      </c>
      <c r="L38" s="83">
        <f>16+9</f>
        <v>25</v>
      </c>
      <c r="M38" s="83"/>
      <c r="N38" s="94"/>
      <c r="O38" s="606">
        <f t="shared" si="2"/>
        <v>27</v>
      </c>
      <c r="P38" s="120">
        <v>27</v>
      </c>
      <c r="Q38" s="33"/>
      <c r="R38" s="123"/>
      <c r="S38" s="624">
        <v>27</v>
      </c>
      <c r="T38" s="166">
        <v>27</v>
      </c>
      <c r="U38" s="128" t="s">
        <v>149</v>
      </c>
      <c r="V38" s="127">
        <v>65</v>
      </c>
      <c r="W38" s="129">
        <v>65</v>
      </c>
      <c r="X38" s="77">
        <v>65</v>
      </c>
    </row>
    <row r="39" spans="1:28" s="2" customFormat="1" ht="45.75" customHeight="1">
      <c r="A39" s="319"/>
      <c r="B39" s="1117"/>
      <c r="C39" s="1174"/>
      <c r="D39" s="312" t="s">
        <v>38</v>
      </c>
      <c r="E39" s="468" t="s">
        <v>240</v>
      </c>
      <c r="F39" s="2086"/>
      <c r="G39" s="2087" t="s">
        <v>8</v>
      </c>
      <c r="H39" s="2088" t="s">
        <v>53</v>
      </c>
      <c r="I39" s="828" t="s">
        <v>77</v>
      </c>
      <c r="J39" s="310" t="s">
        <v>12</v>
      </c>
      <c r="K39" s="326">
        <f>+L39+N39</f>
        <v>88.4</v>
      </c>
      <c r="L39" s="327">
        <v>88.4</v>
      </c>
      <c r="M39" s="327"/>
      <c r="N39" s="328"/>
      <c r="O39" s="608">
        <f>P39</f>
        <v>85</v>
      </c>
      <c r="P39" s="609">
        <v>85</v>
      </c>
      <c r="Q39" s="327"/>
      <c r="R39" s="464"/>
      <c r="S39" s="465"/>
      <c r="T39" s="465"/>
      <c r="U39" s="469" t="s">
        <v>193</v>
      </c>
      <c r="V39" s="118">
        <v>10</v>
      </c>
      <c r="W39" s="109">
        <v>10</v>
      </c>
      <c r="X39" s="108">
        <v>10</v>
      </c>
    </row>
    <row r="40" spans="1:28" s="2" customFormat="1" ht="27.75" customHeight="1">
      <c r="A40" s="319"/>
      <c r="B40" s="1117"/>
      <c r="C40" s="1174"/>
      <c r="D40" s="1119"/>
      <c r="E40" s="1190" t="s">
        <v>119</v>
      </c>
      <c r="F40" s="2084"/>
      <c r="G40" s="2003"/>
      <c r="H40" s="2085"/>
      <c r="I40" s="1162" t="s">
        <v>98</v>
      </c>
      <c r="J40" s="93" t="s">
        <v>12</v>
      </c>
      <c r="K40" s="55">
        <f>L40+N40</f>
        <v>15</v>
      </c>
      <c r="L40" s="56">
        <v>15</v>
      </c>
      <c r="M40" s="56"/>
      <c r="N40" s="57"/>
      <c r="O40" s="438">
        <f t="shared" si="2"/>
        <v>15</v>
      </c>
      <c r="P40" s="439">
        <v>15</v>
      </c>
      <c r="Q40" s="56"/>
      <c r="R40" s="97"/>
      <c r="S40" s="159">
        <v>15</v>
      </c>
      <c r="T40" s="159">
        <v>15</v>
      </c>
      <c r="U40" s="383" t="s">
        <v>290</v>
      </c>
      <c r="V40" s="125">
        <v>2</v>
      </c>
      <c r="W40" s="188">
        <v>2</v>
      </c>
      <c r="X40" s="189">
        <v>2</v>
      </c>
    </row>
    <row r="41" spans="1:28" s="2" customFormat="1" ht="39.75" customHeight="1">
      <c r="A41" s="319"/>
      <c r="B41" s="1117"/>
      <c r="C41" s="1174"/>
      <c r="D41" s="312" t="s">
        <v>39</v>
      </c>
      <c r="E41" s="1190" t="s">
        <v>309</v>
      </c>
      <c r="F41" s="1197"/>
      <c r="G41" s="1182" t="s">
        <v>8</v>
      </c>
      <c r="H41" s="1198" t="s">
        <v>53</v>
      </c>
      <c r="I41" s="347" t="s">
        <v>77</v>
      </c>
      <c r="J41" s="261" t="s">
        <v>12</v>
      </c>
      <c r="K41" s="55">
        <f>+L41+N41</f>
        <v>75</v>
      </c>
      <c r="L41" s="56">
        <v>75</v>
      </c>
      <c r="M41" s="56"/>
      <c r="N41" s="57"/>
      <c r="O41" s="438">
        <f>+P41+R41</f>
        <v>172</v>
      </c>
      <c r="P41" s="439">
        <f>217-45</f>
        <v>172</v>
      </c>
      <c r="Q41" s="56"/>
      <c r="R41" s="57"/>
      <c r="S41" s="908">
        <f>167</f>
        <v>167</v>
      </c>
      <c r="T41" s="159">
        <f>167</f>
        <v>167</v>
      </c>
      <c r="U41" s="115" t="s">
        <v>260</v>
      </c>
      <c r="V41" s="470" t="s">
        <v>194</v>
      </c>
      <c r="W41" s="470" t="s">
        <v>194</v>
      </c>
      <c r="X41" s="471" t="s">
        <v>194</v>
      </c>
    </row>
    <row r="42" spans="1:28" s="2" customFormat="1" ht="38.25" customHeight="1">
      <c r="A42" s="319"/>
      <c r="B42" s="1117"/>
      <c r="C42" s="1174"/>
      <c r="D42" s="1134" t="s">
        <v>40</v>
      </c>
      <c r="E42" s="1136" t="s">
        <v>148</v>
      </c>
      <c r="F42" s="1193"/>
      <c r="G42" s="1159" t="s">
        <v>8</v>
      </c>
      <c r="H42" s="379" t="s">
        <v>53</v>
      </c>
      <c r="I42" s="385" t="s">
        <v>121</v>
      </c>
      <c r="J42" s="417" t="s">
        <v>12</v>
      </c>
      <c r="K42" s="55">
        <f>L42</f>
        <v>10.8</v>
      </c>
      <c r="L42" s="56">
        <v>10.8</v>
      </c>
      <c r="M42" s="332"/>
      <c r="N42" s="333"/>
      <c r="O42" s="438">
        <f>P42</f>
        <v>16.2</v>
      </c>
      <c r="P42" s="439">
        <v>16.2</v>
      </c>
      <c r="Q42" s="332"/>
      <c r="R42" s="334"/>
      <c r="S42" s="159">
        <v>10.8</v>
      </c>
      <c r="T42" s="159">
        <v>10.8</v>
      </c>
      <c r="U42" s="418" t="s">
        <v>291</v>
      </c>
      <c r="V42" s="127">
        <v>54</v>
      </c>
      <c r="W42" s="76">
        <v>54</v>
      </c>
      <c r="X42" s="77">
        <v>54</v>
      </c>
      <c r="Z42" s="17"/>
      <c r="AA42" s="17"/>
      <c r="AB42" s="17"/>
    </row>
    <row r="43" spans="1:28" s="2" customFormat="1" ht="15" customHeight="1" thickBot="1">
      <c r="A43" s="320"/>
      <c r="B43" s="1118"/>
      <c r="C43" s="338"/>
      <c r="D43" s="339"/>
      <c r="E43" s="339"/>
      <c r="F43" s="339"/>
      <c r="G43" s="339"/>
      <c r="H43" s="339"/>
      <c r="I43" s="1996" t="s">
        <v>101</v>
      </c>
      <c r="J43" s="2089"/>
      <c r="K43" s="340">
        <f t="shared" ref="K43:T43" si="3">SUM(K13:K42)</f>
        <v>20023.8</v>
      </c>
      <c r="L43" s="340">
        <f t="shared" si="3"/>
        <v>19938.099999999999</v>
      </c>
      <c r="M43" s="340">
        <f t="shared" si="3"/>
        <v>12775.7</v>
      </c>
      <c r="N43" s="340">
        <f t="shared" si="3"/>
        <v>85.7</v>
      </c>
      <c r="O43" s="742">
        <f>SUM(O13:O42)</f>
        <v>23720.6</v>
      </c>
      <c r="P43" s="742">
        <f t="shared" si="3"/>
        <v>23661.599999999999</v>
      </c>
      <c r="Q43" s="340">
        <f t="shared" si="3"/>
        <v>12473</v>
      </c>
      <c r="R43" s="340">
        <f t="shared" si="3"/>
        <v>59</v>
      </c>
      <c r="S43" s="340">
        <f t="shared" si="3"/>
        <v>21575.5</v>
      </c>
      <c r="T43" s="340">
        <f t="shared" si="3"/>
        <v>21431.200000000001</v>
      </c>
      <c r="U43" s="341"/>
      <c r="V43" s="342"/>
      <c r="W43" s="343"/>
      <c r="X43" s="344"/>
      <c r="Y43" s="17"/>
    </row>
    <row r="44" spans="1:28" s="2" customFormat="1" ht="25.5" customHeight="1">
      <c r="A44" s="1694" t="s">
        <v>8</v>
      </c>
      <c r="B44" s="1848" t="s">
        <v>8</v>
      </c>
      <c r="C44" s="1822" t="s">
        <v>9</v>
      </c>
      <c r="D44" s="1171"/>
      <c r="E44" s="1850" t="s">
        <v>118</v>
      </c>
      <c r="F44" s="2084"/>
      <c r="G44" s="2003" t="s">
        <v>8</v>
      </c>
      <c r="H44" s="2085" t="s">
        <v>53</v>
      </c>
      <c r="I44" s="2049" t="s">
        <v>121</v>
      </c>
      <c r="J44" s="10" t="s">
        <v>12</v>
      </c>
      <c r="K44" s="82">
        <f>L44+N44</f>
        <v>419.9</v>
      </c>
      <c r="L44" s="83">
        <v>419.9</v>
      </c>
      <c r="M44" s="83">
        <v>300.10000000000002</v>
      </c>
      <c r="N44" s="94"/>
      <c r="O44" s="120">
        <f>P44+R44</f>
        <v>449.7</v>
      </c>
      <c r="P44" s="120">
        <v>449.7</v>
      </c>
      <c r="Q44" s="120">
        <v>320.8</v>
      </c>
      <c r="R44" s="94"/>
      <c r="S44" s="121">
        <v>450</v>
      </c>
      <c r="T44" s="121">
        <v>450</v>
      </c>
      <c r="U44" s="1854" t="s">
        <v>143</v>
      </c>
      <c r="V44" s="1910">
        <v>7</v>
      </c>
      <c r="W44" s="1910">
        <v>8</v>
      </c>
      <c r="X44" s="1908">
        <v>9</v>
      </c>
    </row>
    <row r="45" spans="1:28" s="2" customFormat="1" ht="14.25" customHeight="1" thickBot="1">
      <c r="A45" s="1695"/>
      <c r="B45" s="1849"/>
      <c r="C45" s="1811"/>
      <c r="D45" s="1172"/>
      <c r="E45" s="1846"/>
      <c r="F45" s="2058"/>
      <c r="G45" s="2014"/>
      <c r="H45" s="2083"/>
      <c r="I45" s="2051"/>
      <c r="J45" s="222" t="s">
        <v>15</v>
      </c>
      <c r="K45" s="211">
        <f>K44</f>
        <v>419.9</v>
      </c>
      <c r="L45" s="212">
        <f>L44</f>
        <v>419.9</v>
      </c>
      <c r="M45" s="212">
        <f>M44</f>
        <v>300.10000000000002</v>
      </c>
      <c r="N45" s="212">
        <f>N44</f>
        <v>0</v>
      </c>
      <c r="O45" s="244">
        <f t="shared" ref="O45:T45" si="4">O44</f>
        <v>449.7</v>
      </c>
      <c r="P45" s="245">
        <f t="shared" si="4"/>
        <v>449.7</v>
      </c>
      <c r="Q45" s="245">
        <f>Q44</f>
        <v>320.8</v>
      </c>
      <c r="R45" s="212">
        <f t="shared" si="4"/>
        <v>0</v>
      </c>
      <c r="S45" s="223">
        <f t="shared" si="4"/>
        <v>450</v>
      </c>
      <c r="T45" s="223">
        <f t="shared" si="4"/>
        <v>450</v>
      </c>
      <c r="U45" s="1855"/>
      <c r="V45" s="1911"/>
      <c r="W45" s="1911"/>
      <c r="X45" s="1909"/>
    </row>
    <row r="46" spans="1:28" s="2" customFormat="1" ht="23.25" customHeight="1">
      <c r="A46" s="1694" t="s">
        <v>8</v>
      </c>
      <c r="B46" s="1848" t="s">
        <v>8</v>
      </c>
      <c r="C46" s="1822" t="s">
        <v>10</v>
      </c>
      <c r="D46" s="1171"/>
      <c r="E46" s="1850" t="s">
        <v>48</v>
      </c>
      <c r="F46" s="2084"/>
      <c r="G46" s="2003" t="s">
        <v>8</v>
      </c>
      <c r="H46" s="2085" t="s">
        <v>53</v>
      </c>
      <c r="I46" s="2049" t="s">
        <v>121</v>
      </c>
      <c r="J46" s="12" t="s">
        <v>12</v>
      </c>
      <c r="K46" s="82">
        <f>+L46+N46</f>
        <v>743.1</v>
      </c>
      <c r="L46" s="83">
        <v>743.1</v>
      </c>
      <c r="M46" s="83">
        <v>248.1</v>
      </c>
      <c r="N46" s="94"/>
      <c r="O46" s="119">
        <f>P46</f>
        <v>844.9</v>
      </c>
      <c r="P46" s="120">
        <v>844.9</v>
      </c>
      <c r="Q46" s="120">
        <v>306.89999999999998</v>
      </c>
      <c r="R46" s="49"/>
      <c r="S46" s="121">
        <v>844</v>
      </c>
      <c r="T46" s="121">
        <v>844</v>
      </c>
      <c r="U46" s="1852" t="s">
        <v>142</v>
      </c>
      <c r="V46" s="1154">
        <v>31</v>
      </c>
      <c r="W46" s="1154">
        <v>31</v>
      </c>
      <c r="X46" s="1152">
        <v>31</v>
      </c>
    </row>
    <row r="47" spans="1:28" s="2" customFormat="1" ht="15.75" customHeight="1" thickBot="1">
      <c r="A47" s="1695"/>
      <c r="B47" s="1849"/>
      <c r="C47" s="1811"/>
      <c r="D47" s="1172"/>
      <c r="E47" s="1846"/>
      <c r="F47" s="2058"/>
      <c r="G47" s="2014"/>
      <c r="H47" s="2083"/>
      <c r="I47" s="2051"/>
      <c r="J47" s="222" t="s">
        <v>15</v>
      </c>
      <c r="K47" s="211">
        <f>K46</f>
        <v>743.1</v>
      </c>
      <c r="L47" s="212">
        <f>L46</f>
        <v>743.1</v>
      </c>
      <c r="M47" s="212">
        <f>M46</f>
        <v>248.1</v>
      </c>
      <c r="N47" s="212">
        <f>N46</f>
        <v>0</v>
      </c>
      <c r="O47" s="244">
        <f>O46</f>
        <v>844.9</v>
      </c>
      <c r="P47" s="245">
        <f t="shared" ref="P47:T47" si="5">P46</f>
        <v>844.9</v>
      </c>
      <c r="Q47" s="245">
        <f t="shared" si="5"/>
        <v>306.89999999999998</v>
      </c>
      <c r="R47" s="245">
        <f t="shared" si="5"/>
        <v>0</v>
      </c>
      <c r="S47" s="223">
        <f t="shared" si="5"/>
        <v>844</v>
      </c>
      <c r="T47" s="223">
        <f t="shared" si="5"/>
        <v>844</v>
      </c>
      <c r="U47" s="1853"/>
      <c r="V47" s="1155"/>
      <c r="W47" s="1155"/>
      <c r="X47" s="1153"/>
    </row>
    <row r="48" spans="1:28" s="2" customFormat="1" ht="21.75" customHeight="1">
      <c r="A48" s="1754" t="s">
        <v>8</v>
      </c>
      <c r="B48" s="1755" t="s">
        <v>8</v>
      </c>
      <c r="C48" s="1810" t="s">
        <v>11</v>
      </c>
      <c r="D48" s="1170"/>
      <c r="E48" s="1845" t="s">
        <v>137</v>
      </c>
      <c r="F48" s="2057"/>
      <c r="G48" s="2002" t="s">
        <v>8</v>
      </c>
      <c r="H48" s="2077" t="s">
        <v>53</v>
      </c>
      <c r="I48" s="2049" t="s">
        <v>121</v>
      </c>
      <c r="J48" s="19" t="s">
        <v>12</v>
      </c>
      <c r="K48" s="59">
        <f>+L48+N48</f>
        <v>287.60000000000002</v>
      </c>
      <c r="L48" s="60">
        <v>287.60000000000002</v>
      </c>
      <c r="M48" s="60">
        <v>197.1</v>
      </c>
      <c r="N48" s="95"/>
      <c r="O48" s="1211">
        <f>P48+R48</f>
        <v>322.3</v>
      </c>
      <c r="P48" s="1211">
        <f>297.4+5.5</f>
        <v>302.89999999999998</v>
      </c>
      <c r="Q48" s="1211">
        <f>220.5+4.2</f>
        <v>224.7</v>
      </c>
      <c r="R48" s="649">
        <v>19.399999999999999</v>
      </c>
      <c r="S48" s="178">
        <v>320</v>
      </c>
      <c r="T48" s="178">
        <v>320</v>
      </c>
      <c r="U48" s="1854" t="s">
        <v>78</v>
      </c>
      <c r="V48" s="1841">
        <v>7</v>
      </c>
      <c r="W48" s="1841">
        <v>7</v>
      </c>
      <c r="X48" s="1843">
        <v>7</v>
      </c>
    </row>
    <row r="49" spans="1:31" s="2" customFormat="1" ht="17.25" customHeight="1" thickBot="1">
      <c r="A49" s="1695"/>
      <c r="B49" s="1697"/>
      <c r="C49" s="1811"/>
      <c r="D49" s="1172"/>
      <c r="E49" s="1846"/>
      <c r="F49" s="2058"/>
      <c r="G49" s="2014"/>
      <c r="H49" s="2083"/>
      <c r="I49" s="2051"/>
      <c r="J49" s="220" t="s">
        <v>15</v>
      </c>
      <c r="K49" s="209">
        <f>K48</f>
        <v>287.60000000000002</v>
      </c>
      <c r="L49" s="210">
        <f>L48</f>
        <v>287.60000000000002</v>
      </c>
      <c r="M49" s="210">
        <f>M48</f>
        <v>197.1</v>
      </c>
      <c r="N49" s="210">
        <f>N48</f>
        <v>0</v>
      </c>
      <c r="O49" s="517">
        <f t="shared" ref="O49:T49" si="6">O48</f>
        <v>322.3</v>
      </c>
      <c r="P49" s="515">
        <f t="shared" si="6"/>
        <v>302.89999999999998</v>
      </c>
      <c r="Q49" s="515">
        <f t="shared" si="6"/>
        <v>224.7</v>
      </c>
      <c r="R49" s="515">
        <f t="shared" si="6"/>
        <v>19.399999999999999</v>
      </c>
      <c r="S49" s="224">
        <f t="shared" si="6"/>
        <v>320</v>
      </c>
      <c r="T49" s="224">
        <f t="shared" si="6"/>
        <v>320</v>
      </c>
      <c r="U49" s="1855"/>
      <c r="V49" s="1842"/>
      <c r="W49" s="1842"/>
      <c r="X49" s="1844"/>
    </row>
    <row r="50" spans="1:31" s="2" customFormat="1" ht="21.75" customHeight="1">
      <c r="A50" s="1754" t="s">
        <v>8</v>
      </c>
      <c r="B50" s="1755" t="s">
        <v>8</v>
      </c>
      <c r="C50" s="1810" t="s">
        <v>32</v>
      </c>
      <c r="D50" s="1170"/>
      <c r="E50" s="1845" t="s">
        <v>157</v>
      </c>
      <c r="F50" s="2057"/>
      <c r="G50" s="2002" t="s">
        <v>8</v>
      </c>
      <c r="H50" s="2077" t="s">
        <v>53</v>
      </c>
      <c r="I50" s="1161" t="s">
        <v>98</v>
      </c>
      <c r="J50" s="10" t="s">
        <v>12</v>
      </c>
      <c r="K50" s="59">
        <f>+L50+N50</f>
        <v>28.9</v>
      </c>
      <c r="L50" s="60">
        <v>28.9</v>
      </c>
      <c r="M50" s="60"/>
      <c r="N50" s="95"/>
      <c r="O50" s="719">
        <f>+P50+R50</f>
        <v>42.4</v>
      </c>
      <c r="P50" s="720">
        <v>42.4</v>
      </c>
      <c r="Q50" s="436"/>
      <c r="R50" s="721"/>
      <c r="S50" s="121">
        <v>42</v>
      </c>
      <c r="T50" s="121">
        <v>42</v>
      </c>
      <c r="U50" s="1148"/>
      <c r="V50" s="1154"/>
      <c r="W50" s="1154"/>
      <c r="X50" s="1152"/>
      <c r="AE50" s="723"/>
    </row>
    <row r="51" spans="1:31" s="2" customFormat="1" ht="14.25" customHeight="1">
      <c r="A51" s="1768"/>
      <c r="B51" s="1771"/>
      <c r="C51" s="1774"/>
      <c r="D51" s="666"/>
      <c r="E51" s="2081"/>
      <c r="F51" s="2082"/>
      <c r="G51" s="2015"/>
      <c r="H51" s="2078"/>
      <c r="I51" s="1178"/>
      <c r="J51" s="731" t="s">
        <v>15</v>
      </c>
      <c r="K51" s="732">
        <f>K50</f>
        <v>28.9</v>
      </c>
      <c r="L51" s="733">
        <f>L50</f>
        <v>28.9</v>
      </c>
      <c r="M51" s="733">
        <f>M50</f>
        <v>0</v>
      </c>
      <c r="N51" s="733">
        <f>N50</f>
        <v>0</v>
      </c>
      <c r="O51" s="734">
        <f t="shared" ref="O51:T51" si="7">SUM(O50:O50)</f>
        <v>42.4</v>
      </c>
      <c r="P51" s="734">
        <f t="shared" si="7"/>
        <v>42.4</v>
      </c>
      <c r="Q51" s="734">
        <f t="shared" si="7"/>
        <v>0</v>
      </c>
      <c r="R51" s="734">
        <f t="shared" si="7"/>
        <v>0</v>
      </c>
      <c r="S51" s="734">
        <f t="shared" si="7"/>
        <v>42</v>
      </c>
      <c r="T51" s="734">
        <f t="shared" si="7"/>
        <v>42</v>
      </c>
      <c r="U51" s="65"/>
      <c r="V51" s="735"/>
      <c r="W51" s="109"/>
      <c r="X51" s="108"/>
    </row>
    <row r="52" spans="1:31" s="2" customFormat="1" ht="28.5" customHeight="1">
      <c r="A52" s="1115" t="s">
        <v>8</v>
      </c>
      <c r="B52" s="196" t="s">
        <v>8</v>
      </c>
      <c r="C52" s="349" t="s">
        <v>34</v>
      </c>
      <c r="D52" s="1171"/>
      <c r="E52" s="1121" t="s">
        <v>139</v>
      </c>
      <c r="F52" s="727"/>
      <c r="G52" s="728"/>
      <c r="H52" s="1189"/>
      <c r="I52" s="830"/>
      <c r="J52" s="12" t="s">
        <v>12</v>
      </c>
      <c r="K52" s="82"/>
      <c r="L52" s="83"/>
      <c r="M52" s="83"/>
      <c r="N52" s="94"/>
      <c r="O52" s="458"/>
      <c r="P52" s="120"/>
      <c r="Q52" s="729"/>
      <c r="R52" s="730"/>
      <c r="S52" s="122"/>
      <c r="T52" s="122"/>
      <c r="U52" s="65"/>
      <c r="V52" s="118"/>
      <c r="W52" s="109"/>
      <c r="X52" s="108"/>
    </row>
    <row r="53" spans="1:31" s="2" customFormat="1" ht="40.5" customHeight="1">
      <c r="A53" s="1115"/>
      <c r="B53" s="196"/>
      <c r="C53" s="349"/>
      <c r="D53" s="379" t="s">
        <v>8</v>
      </c>
      <c r="E53" s="1136" t="s">
        <v>120</v>
      </c>
      <c r="F53" s="247"/>
      <c r="G53" s="246" t="s">
        <v>8</v>
      </c>
      <c r="H53" s="248" t="s">
        <v>53</v>
      </c>
      <c r="I53" s="578" t="s">
        <v>121</v>
      </c>
      <c r="J53" s="12" t="s">
        <v>12</v>
      </c>
      <c r="K53" s="145">
        <f>L53+N53</f>
        <v>117</v>
      </c>
      <c r="L53" s="146">
        <v>117</v>
      </c>
      <c r="M53" s="573"/>
      <c r="N53" s="574"/>
      <c r="O53" s="1217">
        <f>P53+R53</f>
        <v>128.4</v>
      </c>
      <c r="P53" s="1218">
        <f>117.8+10.6</f>
        <v>128.4</v>
      </c>
      <c r="Q53" s="502"/>
      <c r="R53" s="650"/>
      <c r="S53" s="575">
        <v>117.8</v>
      </c>
      <c r="T53" s="575">
        <v>118</v>
      </c>
      <c r="U53" s="65" t="s">
        <v>116</v>
      </c>
      <c r="V53" s="118">
        <v>1</v>
      </c>
      <c r="W53" s="109">
        <v>1</v>
      </c>
      <c r="X53" s="108">
        <v>1</v>
      </c>
    </row>
    <row r="54" spans="1:31" s="2" customFormat="1" ht="78.75" customHeight="1">
      <c r="A54" s="1115"/>
      <c r="B54" s="196"/>
      <c r="C54" s="349"/>
      <c r="D54" s="592" t="s">
        <v>9</v>
      </c>
      <c r="E54" s="593" t="s">
        <v>219</v>
      </c>
      <c r="F54" s="582"/>
      <c r="G54" s="583" t="s">
        <v>8</v>
      </c>
      <c r="H54" s="584" t="s">
        <v>54</v>
      </c>
      <c r="I54" s="579" t="s">
        <v>123</v>
      </c>
      <c r="J54" s="585" t="s">
        <v>12</v>
      </c>
      <c r="K54" s="586">
        <f>L54</f>
        <v>77.400000000000006</v>
      </c>
      <c r="L54" s="587">
        <v>77.400000000000006</v>
      </c>
      <c r="M54" s="587"/>
      <c r="N54" s="588"/>
      <c r="O54" s="651">
        <f>P54+R54</f>
        <v>92</v>
      </c>
      <c r="P54" s="411">
        <v>92</v>
      </c>
      <c r="Q54" s="652"/>
      <c r="R54" s="653"/>
      <c r="S54" s="589">
        <v>92</v>
      </c>
      <c r="T54" s="589">
        <v>92</v>
      </c>
      <c r="U54" s="590" t="s">
        <v>292</v>
      </c>
      <c r="V54" s="423">
        <v>7</v>
      </c>
      <c r="W54" s="528">
        <v>7</v>
      </c>
      <c r="X54" s="424">
        <v>7</v>
      </c>
    </row>
    <row r="55" spans="1:31" s="2" customFormat="1" ht="43.5" customHeight="1">
      <c r="A55" s="1115"/>
      <c r="B55" s="196"/>
      <c r="C55" s="349"/>
      <c r="D55" s="1188" t="s">
        <v>10</v>
      </c>
      <c r="E55" s="591" t="s">
        <v>206</v>
      </c>
      <c r="F55" s="580"/>
      <c r="G55" s="581"/>
      <c r="H55" s="1188"/>
      <c r="I55" s="577"/>
      <c r="J55" s="150" t="s">
        <v>12</v>
      </c>
      <c r="K55" s="250">
        <f>L55</f>
        <v>20</v>
      </c>
      <c r="L55" s="251">
        <v>20</v>
      </c>
      <c r="M55" s="251"/>
      <c r="N55" s="353"/>
      <c r="O55" s="153">
        <f>P55</f>
        <v>15.8</v>
      </c>
      <c r="P55" s="151">
        <v>15.8</v>
      </c>
      <c r="Q55" s="151"/>
      <c r="R55" s="654"/>
      <c r="S55" s="199">
        <v>40</v>
      </c>
      <c r="T55" s="199">
        <v>40</v>
      </c>
      <c r="U55" s="164" t="s">
        <v>261</v>
      </c>
      <c r="V55" s="269">
        <v>2</v>
      </c>
      <c r="W55" s="269">
        <v>5</v>
      </c>
      <c r="X55" s="270">
        <v>5</v>
      </c>
    </row>
    <row r="56" spans="1:31" s="2" customFormat="1" ht="16.5" customHeight="1" thickBot="1">
      <c r="A56" s="1116"/>
      <c r="B56" s="1118"/>
      <c r="C56" s="338"/>
      <c r="D56" s="339"/>
      <c r="E56" s="339"/>
      <c r="F56" s="339"/>
      <c r="G56" s="339"/>
      <c r="H56" s="339"/>
      <c r="I56" s="1996" t="s">
        <v>101</v>
      </c>
      <c r="J56" s="1997"/>
      <c r="K56" s="352">
        <f>SUM(K53:K55)</f>
        <v>214.4</v>
      </c>
      <c r="L56" s="576">
        <f t="shared" ref="L56:T56" si="8">SUM(L53:L55)</f>
        <v>214.4</v>
      </c>
      <c r="M56" s="576">
        <f t="shared" si="8"/>
        <v>0</v>
      </c>
      <c r="N56" s="354">
        <f t="shared" si="8"/>
        <v>0</v>
      </c>
      <c r="O56" s="655">
        <f>SUM(O53:O55)</f>
        <v>236.2</v>
      </c>
      <c r="P56" s="655">
        <f t="shared" si="8"/>
        <v>236.2</v>
      </c>
      <c r="Q56" s="655">
        <f t="shared" si="8"/>
        <v>0</v>
      </c>
      <c r="R56" s="655">
        <f t="shared" si="8"/>
        <v>0</v>
      </c>
      <c r="S56" s="350">
        <f t="shared" si="8"/>
        <v>249.8</v>
      </c>
      <c r="T56" s="350">
        <f t="shared" si="8"/>
        <v>250</v>
      </c>
      <c r="U56" s="366"/>
      <c r="V56" s="461"/>
      <c r="W56" s="461"/>
      <c r="X56" s="367"/>
    </row>
    <row r="57" spans="1:31" s="11" customFormat="1" ht="19.5" customHeight="1">
      <c r="A57" s="1694" t="s">
        <v>8</v>
      </c>
      <c r="B57" s="1696" t="s">
        <v>8</v>
      </c>
      <c r="C57" s="1822" t="s">
        <v>35</v>
      </c>
      <c r="D57" s="87"/>
      <c r="E57" s="1833" t="s">
        <v>28</v>
      </c>
      <c r="F57" s="2069"/>
      <c r="G57" s="2079" t="s">
        <v>8</v>
      </c>
      <c r="H57" s="2080" t="s">
        <v>53</v>
      </c>
      <c r="I57" s="1998" t="s">
        <v>124</v>
      </c>
      <c r="J57" s="132" t="s">
        <v>12</v>
      </c>
      <c r="K57" s="355">
        <f>L57+N57</f>
        <v>14389.3</v>
      </c>
      <c r="L57" s="263">
        <v>4035.5</v>
      </c>
      <c r="M57" s="263"/>
      <c r="N57" s="278">
        <v>10353.799999999999</v>
      </c>
      <c r="O57" s="34">
        <f>P57+R57</f>
        <v>15330</v>
      </c>
      <c r="P57" s="1382">
        <f>4373.3-168.5</f>
        <v>4204.8</v>
      </c>
      <c r="Q57" s="1383"/>
      <c r="R57" s="1384">
        <f>10536.7+588.5</f>
        <v>11125.2</v>
      </c>
      <c r="S57" s="425">
        <v>16139.8</v>
      </c>
      <c r="T57" s="426">
        <v>13793.1</v>
      </c>
      <c r="U57" s="1852" t="s">
        <v>106</v>
      </c>
      <c r="V57" s="1154">
        <v>6</v>
      </c>
      <c r="W57" s="1154">
        <v>7</v>
      </c>
      <c r="X57" s="1152">
        <v>8</v>
      </c>
    </row>
    <row r="58" spans="1:31" s="11" customFormat="1" ht="16.5" customHeight="1" thickBot="1">
      <c r="A58" s="1695"/>
      <c r="B58" s="1697"/>
      <c r="C58" s="1811"/>
      <c r="D58" s="88"/>
      <c r="E58" s="1824"/>
      <c r="F58" s="2070"/>
      <c r="G58" s="2072"/>
      <c r="H58" s="2074"/>
      <c r="I58" s="1999"/>
      <c r="J58" s="252" t="s">
        <v>15</v>
      </c>
      <c r="K58" s="253">
        <f>SUM(K57:K57)</f>
        <v>14389.3</v>
      </c>
      <c r="L58" s="254">
        <f>SUM(L57:L57)</f>
        <v>4035.5</v>
      </c>
      <c r="M58" s="254">
        <f>SUM(M57:M57)</f>
        <v>0</v>
      </c>
      <c r="N58" s="255">
        <f>SUM(N57:N57)</f>
        <v>10353.799999999999</v>
      </c>
      <c r="O58" s="209">
        <f>O57</f>
        <v>15330</v>
      </c>
      <c r="P58" s="210">
        <f>P57</f>
        <v>4204.8</v>
      </c>
      <c r="Q58" s="210">
        <f>Q57</f>
        <v>0</v>
      </c>
      <c r="R58" s="256">
        <f>R57</f>
        <v>11125.2</v>
      </c>
      <c r="S58" s="221">
        <f t="shared" ref="S58:T58" si="9">SUM(S57:S57)</f>
        <v>16139.8</v>
      </c>
      <c r="T58" s="226">
        <f t="shared" si="9"/>
        <v>13793.1</v>
      </c>
      <c r="U58" s="1877"/>
      <c r="V58" s="1155"/>
      <c r="W58" s="1155"/>
      <c r="X58" s="1153"/>
    </row>
    <row r="59" spans="1:31" s="11" customFormat="1" ht="20.100000000000001" customHeight="1">
      <c r="A59" s="1754" t="s">
        <v>8</v>
      </c>
      <c r="B59" s="1755" t="s">
        <v>8</v>
      </c>
      <c r="C59" s="1822" t="s">
        <v>36</v>
      </c>
      <c r="D59" s="87"/>
      <c r="E59" s="1823" t="s">
        <v>81</v>
      </c>
      <c r="F59" s="2069"/>
      <c r="G59" s="2071" t="s">
        <v>8</v>
      </c>
      <c r="H59" s="2073" t="s">
        <v>53</v>
      </c>
      <c r="I59" s="2075" t="s">
        <v>121</v>
      </c>
      <c r="J59" s="156" t="s">
        <v>12</v>
      </c>
      <c r="K59" s="67">
        <f>L59+N59</f>
        <v>100</v>
      </c>
      <c r="L59" s="68">
        <v>100</v>
      </c>
      <c r="M59" s="68"/>
      <c r="N59" s="96"/>
      <c r="O59" s="140">
        <f>P59+R59</f>
        <v>100</v>
      </c>
      <c r="P59" s="141">
        <v>100</v>
      </c>
      <c r="Q59" s="142"/>
      <c r="R59" s="143"/>
      <c r="S59" s="54">
        <v>100</v>
      </c>
      <c r="T59" s="61">
        <v>100</v>
      </c>
      <c r="U59" s="62"/>
      <c r="V59" s="74"/>
      <c r="W59" s="74"/>
      <c r="X59" s="75"/>
    </row>
    <row r="60" spans="1:31" s="11" customFormat="1" ht="20.100000000000001" customHeight="1" thickBot="1">
      <c r="A60" s="1695"/>
      <c r="B60" s="1697"/>
      <c r="C60" s="1811"/>
      <c r="D60" s="88"/>
      <c r="E60" s="1824"/>
      <c r="F60" s="2070"/>
      <c r="G60" s="2072"/>
      <c r="H60" s="2074"/>
      <c r="I60" s="2076"/>
      <c r="J60" s="227" t="s">
        <v>15</v>
      </c>
      <c r="K60" s="215">
        <f>SUM(K59:K59)</f>
        <v>100</v>
      </c>
      <c r="L60" s="213">
        <f>SUM(L59:L59)</f>
        <v>100</v>
      </c>
      <c r="M60" s="213">
        <f>SUM(M59:M59)</f>
        <v>0</v>
      </c>
      <c r="N60" s="214">
        <f>SUM(N59:N59)</f>
        <v>0</v>
      </c>
      <c r="O60" s="215">
        <f>O59</f>
        <v>100</v>
      </c>
      <c r="P60" s="213">
        <f>P59</f>
        <v>100</v>
      </c>
      <c r="Q60" s="213">
        <f>Q59</f>
        <v>0</v>
      </c>
      <c r="R60" s="214">
        <f t="shared" ref="R60:T60" si="10">SUM(R59:R59)</f>
        <v>0</v>
      </c>
      <c r="S60" s="221">
        <f t="shared" si="10"/>
        <v>100</v>
      </c>
      <c r="T60" s="226">
        <f t="shared" si="10"/>
        <v>100</v>
      </c>
      <c r="U60" s="63"/>
      <c r="V60" s="78"/>
      <c r="W60" s="78"/>
      <c r="X60" s="79"/>
    </row>
    <row r="61" spans="1:31" s="2" customFormat="1" ht="15.75" customHeight="1">
      <c r="A61" s="321" t="s">
        <v>8</v>
      </c>
      <c r="B61" s="85" t="s">
        <v>8</v>
      </c>
      <c r="C61" s="356" t="s">
        <v>37</v>
      </c>
      <c r="D61" s="204"/>
      <c r="E61" s="1798" t="s">
        <v>138</v>
      </c>
      <c r="F61" s="98"/>
      <c r="G61" s="99" t="s">
        <v>8</v>
      </c>
      <c r="H61" s="1202">
        <v>1</v>
      </c>
      <c r="I61" s="2063" t="s">
        <v>125</v>
      </c>
      <c r="J61" s="144" t="s">
        <v>12</v>
      </c>
      <c r="K61" s="59"/>
      <c r="L61" s="60"/>
      <c r="M61" s="60"/>
      <c r="N61" s="95"/>
      <c r="O61" s="1096"/>
      <c r="P61" s="43"/>
      <c r="Q61" s="44"/>
      <c r="R61" s="45"/>
      <c r="S61" s="46"/>
      <c r="T61" s="179"/>
      <c r="U61" s="271"/>
      <c r="V61" s="186"/>
      <c r="W61" s="272"/>
      <c r="X61" s="1152"/>
    </row>
    <row r="62" spans="1:31" s="2" customFormat="1" ht="17.25" customHeight="1">
      <c r="A62" s="317"/>
      <c r="B62" s="86"/>
      <c r="C62" s="336"/>
      <c r="D62" s="203"/>
      <c r="E62" s="1692"/>
      <c r="F62" s="100"/>
      <c r="G62" s="101"/>
      <c r="H62" s="313"/>
      <c r="I62" s="2064"/>
      <c r="J62" s="21" t="s">
        <v>45</v>
      </c>
      <c r="K62" s="55"/>
      <c r="L62" s="56"/>
      <c r="M62" s="56"/>
      <c r="N62" s="57"/>
      <c r="O62" s="1097"/>
      <c r="P62" s="39"/>
      <c r="Q62" s="557"/>
      <c r="R62" s="53"/>
      <c r="S62" s="41"/>
      <c r="T62" s="40"/>
      <c r="U62" s="569"/>
      <c r="V62" s="187"/>
      <c r="W62" s="556"/>
      <c r="X62" s="189"/>
    </row>
    <row r="63" spans="1:31" s="2" customFormat="1" ht="18.75" customHeight="1">
      <c r="A63" s="317"/>
      <c r="B63" s="86"/>
      <c r="C63" s="336"/>
      <c r="D63" s="203"/>
      <c r="E63" s="1693"/>
      <c r="F63" s="100"/>
      <c r="G63" s="101"/>
      <c r="H63" s="313"/>
      <c r="I63" s="2064"/>
      <c r="J63" s="394" t="s">
        <v>13</v>
      </c>
      <c r="K63" s="264"/>
      <c r="L63" s="263"/>
      <c r="M63" s="263"/>
      <c r="N63" s="278"/>
      <c r="O63" s="1098"/>
      <c r="P63" s="141"/>
      <c r="Q63" s="552"/>
      <c r="R63" s="553"/>
      <c r="S63" s="554"/>
      <c r="T63" s="555"/>
      <c r="U63" s="65"/>
      <c r="V63" s="118"/>
      <c r="W63" s="130"/>
      <c r="X63" s="108"/>
    </row>
    <row r="64" spans="1:31" s="2" customFormat="1" ht="26.25" customHeight="1">
      <c r="A64" s="317"/>
      <c r="B64" s="86"/>
      <c r="C64" s="336"/>
      <c r="D64" s="2065" t="s">
        <v>8</v>
      </c>
      <c r="E64" s="1815" t="s">
        <v>310</v>
      </c>
      <c r="F64" s="100"/>
      <c r="G64" s="101"/>
      <c r="H64" s="313"/>
      <c r="I64" s="2064"/>
      <c r="J64" s="15" t="s">
        <v>12</v>
      </c>
      <c r="K64" s="326">
        <f>L64+N64</f>
        <v>120</v>
      </c>
      <c r="L64" s="327">
        <v>120</v>
      </c>
      <c r="M64" s="327"/>
      <c r="N64" s="328"/>
      <c r="O64" s="1099">
        <f>R64+P64</f>
        <v>125.4</v>
      </c>
      <c r="P64" s="559">
        <v>125.4</v>
      </c>
      <c r="Q64" s="560"/>
      <c r="R64" s="561"/>
      <c r="S64" s="562">
        <v>313.5</v>
      </c>
      <c r="T64" s="563">
        <v>313.5</v>
      </c>
      <c r="U64" s="558" t="s">
        <v>293</v>
      </c>
      <c r="V64" s="187">
        <v>100</v>
      </c>
      <c r="W64" s="556">
        <v>100</v>
      </c>
      <c r="X64" s="189">
        <v>100</v>
      </c>
    </row>
    <row r="65" spans="1:27" s="2" customFormat="1" ht="27" customHeight="1">
      <c r="A65" s="317"/>
      <c r="B65" s="86"/>
      <c r="C65" s="336"/>
      <c r="D65" s="1822"/>
      <c r="E65" s="1815"/>
      <c r="F65" s="100"/>
      <c r="G65" s="101"/>
      <c r="H65" s="313"/>
      <c r="I65" s="2064"/>
      <c r="J65" s="400" t="s">
        <v>45</v>
      </c>
      <c r="K65" s="401">
        <f>L65</f>
        <v>100</v>
      </c>
      <c r="L65" s="402">
        <v>100</v>
      </c>
      <c r="M65" s="402"/>
      <c r="N65" s="403"/>
      <c r="O65" s="1100">
        <f>P65+R65</f>
        <v>40</v>
      </c>
      <c r="P65" s="414">
        <v>40</v>
      </c>
      <c r="Q65" s="488"/>
      <c r="R65" s="564"/>
      <c r="S65" s="565">
        <v>30</v>
      </c>
      <c r="T65" s="416">
        <v>30</v>
      </c>
      <c r="U65" s="566" t="s">
        <v>102</v>
      </c>
      <c r="V65" s="567">
        <v>38</v>
      </c>
      <c r="W65" s="759">
        <v>95</v>
      </c>
      <c r="X65" s="568">
        <v>95</v>
      </c>
    </row>
    <row r="66" spans="1:27" s="2" customFormat="1" ht="13.5" customHeight="1">
      <c r="A66" s="317"/>
      <c r="B66" s="86"/>
      <c r="C66" s="336"/>
      <c r="D66" s="1774"/>
      <c r="E66" s="1815"/>
      <c r="F66" s="100"/>
      <c r="G66" s="101"/>
      <c r="H66" s="313"/>
      <c r="I66" s="2064"/>
      <c r="J66" s="20"/>
      <c r="K66" s="82"/>
      <c r="L66" s="83"/>
      <c r="M66" s="83"/>
      <c r="N66" s="94"/>
      <c r="O66" s="1101"/>
      <c r="P66" s="35"/>
      <c r="Q66" s="48"/>
      <c r="R66" s="49"/>
      <c r="S66" s="50"/>
      <c r="T66" s="37"/>
      <c r="U66" s="262" t="s">
        <v>197</v>
      </c>
      <c r="V66" s="187">
        <v>65</v>
      </c>
      <c r="W66" s="130">
        <v>40</v>
      </c>
      <c r="X66" s="189">
        <v>40</v>
      </c>
    </row>
    <row r="67" spans="1:27" s="2" customFormat="1" ht="16.5" customHeight="1">
      <c r="A67" s="317"/>
      <c r="B67" s="86"/>
      <c r="C67" s="336"/>
      <c r="D67" s="203" t="s">
        <v>9</v>
      </c>
      <c r="E67" s="1816" t="s">
        <v>51</v>
      </c>
      <c r="F67" s="100"/>
      <c r="G67" s="101"/>
      <c r="H67" s="313"/>
      <c r="I67" s="2064"/>
      <c r="J67" s="421" t="s">
        <v>12</v>
      </c>
      <c r="K67" s="387">
        <f>L67+N67</f>
        <v>142.80000000000001</v>
      </c>
      <c r="L67" s="388">
        <v>142.80000000000001</v>
      </c>
      <c r="M67" s="388"/>
      <c r="N67" s="389"/>
      <c r="O67" s="1102">
        <f>P67+R67</f>
        <v>103.5</v>
      </c>
      <c r="P67" s="388">
        <v>103.5</v>
      </c>
      <c r="Q67" s="388"/>
      <c r="R67" s="389"/>
      <c r="S67" s="419">
        <v>100</v>
      </c>
      <c r="T67" s="420">
        <v>100</v>
      </c>
      <c r="U67" s="422" t="s">
        <v>266</v>
      </c>
      <c r="V67" s="423">
        <v>19</v>
      </c>
      <c r="W67" s="760">
        <v>12</v>
      </c>
      <c r="X67" s="424">
        <v>12</v>
      </c>
    </row>
    <row r="68" spans="1:27" s="2" customFormat="1" ht="21.75" customHeight="1">
      <c r="A68" s="317"/>
      <c r="B68" s="86"/>
      <c r="C68" s="336"/>
      <c r="D68" s="203"/>
      <c r="E68" s="1817"/>
      <c r="F68" s="100"/>
      <c r="G68" s="101"/>
      <c r="H68" s="313"/>
      <c r="I68" s="116"/>
      <c r="J68" s="93" t="s">
        <v>179</v>
      </c>
      <c r="K68" s="82">
        <f>L68</f>
        <v>2.7</v>
      </c>
      <c r="L68" s="83">
        <v>2.7</v>
      </c>
      <c r="M68" s="83"/>
      <c r="N68" s="94"/>
      <c r="O68" s="1103"/>
      <c r="P68" s="83"/>
      <c r="Q68" s="83"/>
      <c r="R68" s="94"/>
      <c r="S68" s="523"/>
      <c r="T68" s="524"/>
      <c r="U68" s="525"/>
      <c r="V68" s="761"/>
      <c r="W68" s="761"/>
      <c r="X68" s="762"/>
    </row>
    <row r="69" spans="1:27" s="2" customFormat="1" ht="39" customHeight="1">
      <c r="A69" s="668"/>
      <c r="B69" s="669"/>
      <c r="C69" s="670"/>
      <c r="D69" s="249" t="s">
        <v>10</v>
      </c>
      <c r="E69" s="1137" t="s">
        <v>79</v>
      </c>
      <c r="F69" s="360"/>
      <c r="G69" s="361"/>
      <c r="H69" s="285"/>
      <c r="I69" s="671"/>
      <c r="J69" s="261" t="s">
        <v>12</v>
      </c>
      <c r="K69" s="55">
        <f>L69+N69</f>
        <v>60.6</v>
      </c>
      <c r="L69" s="56"/>
      <c r="M69" s="56"/>
      <c r="N69" s="57">
        <v>60.6</v>
      </c>
      <c r="O69" s="883">
        <f>P69+R69</f>
        <v>247</v>
      </c>
      <c r="P69" s="56"/>
      <c r="Q69" s="56"/>
      <c r="R69" s="57">
        <v>247</v>
      </c>
      <c r="S69" s="521">
        <f>23+281</f>
        <v>304</v>
      </c>
      <c r="T69" s="522">
        <v>240</v>
      </c>
      <c r="U69" s="594" t="s">
        <v>198</v>
      </c>
      <c r="V69" s="763">
        <v>5</v>
      </c>
      <c r="W69" s="763">
        <v>7</v>
      </c>
      <c r="X69" s="764">
        <v>5</v>
      </c>
    </row>
    <row r="70" spans="1:27" s="2" customFormat="1" ht="42" customHeight="1">
      <c r="A70" s="317"/>
      <c r="B70" s="86"/>
      <c r="C70" s="336"/>
      <c r="D70" s="667" t="s">
        <v>11</v>
      </c>
      <c r="E70" s="492" t="s">
        <v>199</v>
      </c>
      <c r="F70" s="360"/>
      <c r="G70" s="361"/>
      <c r="H70" s="285"/>
      <c r="I70" s="362"/>
      <c r="J70" s="93" t="s">
        <v>12</v>
      </c>
      <c r="K70" s="82">
        <f t="shared" ref="K70:K73" si="11">L70+N70</f>
        <v>5.5</v>
      </c>
      <c r="L70" s="83">
        <v>5.5</v>
      </c>
      <c r="M70" s="83"/>
      <c r="N70" s="94"/>
      <c r="O70" s="1103">
        <f t="shared" ref="O70:O75" si="12">P70+R70</f>
        <v>48</v>
      </c>
      <c r="P70" s="83">
        <v>48</v>
      </c>
      <c r="Q70" s="83"/>
      <c r="R70" s="94"/>
      <c r="S70" s="50">
        <v>10</v>
      </c>
      <c r="T70" s="37">
        <v>10</v>
      </c>
      <c r="U70" s="112" t="s">
        <v>103</v>
      </c>
      <c r="V70" s="187">
        <v>48</v>
      </c>
      <c r="W70" s="765">
        <v>10</v>
      </c>
      <c r="X70" s="766">
        <v>10</v>
      </c>
      <c r="Y70" s="526"/>
      <c r="AA70" s="17"/>
    </row>
    <row r="71" spans="1:27" s="2" customFormat="1" ht="40.5" customHeight="1">
      <c r="A71" s="317"/>
      <c r="B71" s="201"/>
      <c r="C71" s="357"/>
      <c r="D71" s="358" t="s">
        <v>32</v>
      </c>
      <c r="E71" s="359" t="s">
        <v>159</v>
      </c>
      <c r="F71" s="277"/>
      <c r="G71" s="200"/>
      <c r="H71" s="275"/>
      <c r="I71" s="570" t="s">
        <v>125</v>
      </c>
      <c r="J71" s="276" t="s">
        <v>12</v>
      </c>
      <c r="K71" s="55">
        <f t="shared" si="11"/>
        <v>43</v>
      </c>
      <c r="L71" s="56">
        <v>43</v>
      </c>
      <c r="M71" s="56"/>
      <c r="N71" s="57"/>
      <c r="O71" s="883">
        <f t="shared" si="12"/>
        <v>43</v>
      </c>
      <c r="P71" s="56">
        <v>43</v>
      </c>
      <c r="Q71" s="56"/>
      <c r="R71" s="57"/>
      <c r="S71" s="41">
        <v>43</v>
      </c>
      <c r="T71" s="40">
        <v>43</v>
      </c>
      <c r="U71" s="112" t="s">
        <v>267</v>
      </c>
      <c r="V71" s="113">
        <v>116</v>
      </c>
      <c r="W71" s="503">
        <v>116</v>
      </c>
      <c r="X71" s="507">
        <v>116</v>
      </c>
      <c r="Y71" s="526"/>
    </row>
    <row r="72" spans="1:27" s="2" customFormat="1" ht="25.5" customHeight="1">
      <c r="A72" s="317"/>
      <c r="B72" s="86"/>
      <c r="C72" s="357"/>
      <c r="D72" s="2066" t="s">
        <v>34</v>
      </c>
      <c r="E72" s="2068" t="s">
        <v>66</v>
      </c>
      <c r="F72" s="277"/>
      <c r="G72" s="200"/>
      <c r="H72" s="275"/>
      <c r="I72" s="279"/>
      <c r="J72" s="421" t="s">
        <v>12</v>
      </c>
      <c r="K72" s="387">
        <f t="shared" si="11"/>
        <v>18</v>
      </c>
      <c r="L72" s="388">
        <v>18</v>
      </c>
      <c r="M72" s="388"/>
      <c r="N72" s="389"/>
      <c r="O72" s="1104">
        <f>P72+R72</f>
        <v>17.100000000000001</v>
      </c>
      <c r="P72" s="532">
        <v>17.100000000000001</v>
      </c>
      <c r="Q72" s="533"/>
      <c r="R72" s="534"/>
      <c r="S72" s="535">
        <v>17.100000000000001</v>
      </c>
      <c r="T72" s="535">
        <v>11</v>
      </c>
      <c r="U72" s="545" t="s">
        <v>200</v>
      </c>
      <c r="V72" s="767">
        <v>31</v>
      </c>
      <c r="W72" s="767">
        <v>28</v>
      </c>
      <c r="X72" s="768">
        <v>20</v>
      </c>
      <c r="Y72" s="526"/>
    </row>
    <row r="73" spans="1:27" s="2" customFormat="1" ht="15.75" customHeight="1">
      <c r="A73" s="317"/>
      <c r="B73" s="86"/>
      <c r="C73" s="357"/>
      <c r="D73" s="2067"/>
      <c r="E73" s="2068"/>
      <c r="F73" s="283"/>
      <c r="G73" s="284"/>
      <c r="H73" s="364"/>
      <c r="I73" s="280"/>
      <c r="J73" s="167" t="s">
        <v>13</v>
      </c>
      <c r="K73" s="82">
        <f t="shared" si="11"/>
        <v>23.5</v>
      </c>
      <c r="L73" s="83">
        <v>23.5</v>
      </c>
      <c r="M73" s="83"/>
      <c r="N73" s="94"/>
      <c r="O73" s="1105">
        <f>P73+R73</f>
        <v>14</v>
      </c>
      <c r="P73" s="529">
        <v>14</v>
      </c>
      <c r="Q73" s="529"/>
      <c r="R73" s="531"/>
      <c r="S73" s="530">
        <v>14</v>
      </c>
      <c r="T73" s="530">
        <v>5</v>
      </c>
      <c r="U73" s="546" t="s">
        <v>201</v>
      </c>
      <c r="V73" s="769" t="s">
        <v>44</v>
      </c>
      <c r="W73" s="769" t="s">
        <v>44</v>
      </c>
      <c r="X73" s="770" t="s">
        <v>33</v>
      </c>
    </row>
    <row r="74" spans="1:27" s="2" customFormat="1" ht="40.5" customHeight="1">
      <c r="A74" s="317"/>
      <c r="B74" s="201"/>
      <c r="C74" s="357"/>
      <c r="D74" s="726" t="s">
        <v>35</v>
      </c>
      <c r="E74" s="359" t="s">
        <v>284</v>
      </c>
      <c r="F74" s="277"/>
      <c r="G74" s="200"/>
      <c r="H74" s="275"/>
      <c r="I74" s="279"/>
      <c r="J74" s="167" t="s">
        <v>12</v>
      </c>
      <c r="K74" s="82">
        <f>L74+N74</f>
        <v>3.5</v>
      </c>
      <c r="L74" s="83">
        <v>3.5</v>
      </c>
      <c r="M74" s="83"/>
      <c r="N74" s="94"/>
      <c r="O74" s="1103">
        <f t="shared" si="12"/>
        <v>9</v>
      </c>
      <c r="P74" s="83">
        <v>9</v>
      </c>
      <c r="Q74" s="83"/>
      <c r="R74" s="94"/>
      <c r="S74" s="50">
        <v>9</v>
      </c>
      <c r="T74" s="37">
        <v>9</v>
      </c>
      <c r="U74" s="558" t="s">
        <v>209</v>
      </c>
      <c r="V74" s="118">
        <v>30</v>
      </c>
      <c r="W74" s="765">
        <v>30</v>
      </c>
      <c r="X74" s="766">
        <v>30</v>
      </c>
      <c r="Y74" s="17"/>
      <c r="Z74" s="17"/>
    </row>
    <row r="75" spans="1:27" s="2" customFormat="1" ht="28.5" customHeight="1">
      <c r="A75" s="317"/>
      <c r="B75" s="201"/>
      <c r="C75" s="357"/>
      <c r="D75" s="2052" t="s">
        <v>36</v>
      </c>
      <c r="E75" s="1691" t="s">
        <v>203</v>
      </c>
      <c r="F75" s="277"/>
      <c r="G75" s="200"/>
      <c r="H75" s="313"/>
      <c r="I75" s="279"/>
      <c r="J75" s="421" t="s">
        <v>12</v>
      </c>
      <c r="K75" s="387">
        <f>L75+N75</f>
        <v>25</v>
      </c>
      <c r="L75" s="388">
        <v>25</v>
      </c>
      <c r="M75" s="388"/>
      <c r="N75" s="389"/>
      <c r="O75" s="1102">
        <f t="shared" si="12"/>
        <v>32</v>
      </c>
      <c r="P75" s="388">
        <v>32</v>
      </c>
      <c r="Q75" s="388"/>
      <c r="R75" s="389"/>
      <c r="S75" s="419">
        <v>20</v>
      </c>
      <c r="T75" s="420">
        <v>20</v>
      </c>
      <c r="U75" s="527" t="s">
        <v>294</v>
      </c>
      <c r="V75" s="423">
        <v>1</v>
      </c>
      <c r="W75" s="528"/>
      <c r="X75" s="424"/>
      <c r="Y75" s="17"/>
    </row>
    <row r="76" spans="1:27" s="2" customFormat="1" ht="37.5" customHeight="1">
      <c r="A76" s="317"/>
      <c r="B76" s="201"/>
      <c r="C76" s="357"/>
      <c r="D76" s="1693"/>
      <c r="E76" s="1693"/>
      <c r="F76" s="283"/>
      <c r="G76" s="284"/>
      <c r="H76" s="364"/>
      <c r="I76" s="280"/>
      <c r="J76" s="167"/>
      <c r="K76" s="82"/>
      <c r="L76" s="83"/>
      <c r="M76" s="83"/>
      <c r="N76" s="94"/>
      <c r="O76" s="1103"/>
      <c r="P76" s="83"/>
      <c r="Q76" s="83"/>
      <c r="R76" s="94"/>
      <c r="S76" s="50"/>
      <c r="T76" s="37"/>
      <c r="U76" s="112" t="s">
        <v>208</v>
      </c>
      <c r="V76" s="118">
        <v>1</v>
      </c>
      <c r="W76" s="109"/>
      <c r="X76" s="108"/>
      <c r="Y76" s="17"/>
    </row>
    <row r="77" spans="1:27" s="2" customFormat="1" ht="30" customHeight="1">
      <c r="A77" s="317"/>
      <c r="B77" s="201"/>
      <c r="C77" s="357"/>
      <c r="D77" s="1362" t="s">
        <v>37</v>
      </c>
      <c r="E77" s="1691" t="s">
        <v>202</v>
      </c>
      <c r="F77" s="1367"/>
      <c r="G77" s="1368"/>
      <c r="H77" s="1369"/>
      <c r="I77" s="775"/>
      <c r="J77" s="1370" t="s">
        <v>12</v>
      </c>
      <c r="K77" s="326"/>
      <c r="L77" s="327"/>
      <c r="M77" s="327"/>
      <c r="N77" s="328"/>
      <c r="O77" s="1371">
        <f>P77+R77</f>
        <v>134.5</v>
      </c>
      <c r="P77" s="327"/>
      <c r="Q77" s="327"/>
      <c r="R77" s="328">
        <v>134.5</v>
      </c>
      <c r="S77" s="562">
        <v>100</v>
      </c>
      <c r="T77" s="563">
        <v>100</v>
      </c>
      <c r="U77" s="1388" t="s">
        <v>295</v>
      </c>
      <c r="V77" s="528">
        <v>2</v>
      </c>
      <c r="W77" s="528"/>
      <c r="X77" s="424"/>
      <c r="Y77" s="17"/>
    </row>
    <row r="78" spans="1:27" s="2" customFormat="1" ht="27" customHeight="1">
      <c r="A78" s="317"/>
      <c r="B78" s="201"/>
      <c r="C78" s="357"/>
      <c r="D78" s="702"/>
      <c r="E78" s="2061"/>
      <c r="F78" s="277"/>
      <c r="G78" s="200"/>
      <c r="H78" s="275"/>
      <c r="I78" s="279"/>
      <c r="J78" s="1374"/>
      <c r="K78" s="264"/>
      <c r="L78" s="263"/>
      <c r="M78" s="263"/>
      <c r="N78" s="278"/>
      <c r="O78" s="355"/>
      <c r="P78" s="263"/>
      <c r="Q78" s="263"/>
      <c r="R78" s="278"/>
      <c r="S78" s="554"/>
      <c r="T78" s="555"/>
      <c r="U78" s="1389" t="s">
        <v>328</v>
      </c>
      <c r="V78" s="466">
        <v>1</v>
      </c>
      <c r="W78" s="466"/>
      <c r="X78" s="467"/>
      <c r="Y78" s="17"/>
    </row>
    <row r="79" spans="1:27" s="2" customFormat="1" ht="27" customHeight="1">
      <c r="A79" s="317"/>
      <c r="B79" s="201"/>
      <c r="C79" s="357"/>
      <c r="D79" s="1366"/>
      <c r="E79" s="2062"/>
      <c r="F79" s="283"/>
      <c r="G79" s="284"/>
      <c r="H79" s="364"/>
      <c r="I79" s="280"/>
      <c r="J79" s="1390" t="s">
        <v>12</v>
      </c>
      <c r="K79" s="34"/>
      <c r="L79" s="35"/>
      <c r="M79" s="35"/>
      <c r="N79" s="36"/>
      <c r="O79" s="1391">
        <f>P79</f>
        <v>24.2</v>
      </c>
      <c r="P79" s="35">
        <v>24.2</v>
      </c>
      <c r="Q79" s="35"/>
      <c r="R79" s="36"/>
      <c r="S79" s="50"/>
      <c r="T79" s="37"/>
      <c r="U79" s="335" t="s">
        <v>333</v>
      </c>
      <c r="V79" s="330">
        <v>60</v>
      </c>
      <c r="W79" s="496"/>
      <c r="X79" s="282"/>
      <c r="Y79" s="17"/>
    </row>
    <row r="80" spans="1:27" s="2" customFormat="1" ht="18.75" customHeight="1">
      <c r="A80" s="317"/>
      <c r="B80" s="201"/>
      <c r="C80" s="357"/>
      <c r="D80" s="363" t="s">
        <v>33</v>
      </c>
      <c r="E80" s="1402" t="s">
        <v>205</v>
      </c>
      <c r="F80" s="283"/>
      <c r="G80" s="284"/>
      <c r="H80" s="364"/>
      <c r="I80" s="280"/>
      <c r="J80" s="167" t="s">
        <v>12</v>
      </c>
      <c r="K80" s="82"/>
      <c r="L80" s="83"/>
      <c r="M80" s="83"/>
      <c r="N80" s="94"/>
      <c r="O80" s="1103"/>
      <c r="P80" s="83"/>
      <c r="Q80" s="83"/>
      <c r="R80" s="94"/>
      <c r="S80" s="50">
        <v>350</v>
      </c>
      <c r="T80" s="37"/>
      <c r="U80" s="112" t="s">
        <v>204</v>
      </c>
      <c r="V80" s="118"/>
      <c r="W80" s="109">
        <v>2</v>
      </c>
      <c r="X80" s="108"/>
      <c r="Y80" s="17"/>
    </row>
    <row r="81" spans="1:27" s="2" customFormat="1" ht="39" customHeight="1">
      <c r="A81" s="317"/>
      <c r="B81" s="201"/>
      <c r="C81" s="357"/>
      <c r="D81" s="547">
        <v>11</v>
      </c>
      <c r="E81" s="1402" t="s">
        <v>207</v>
      </c>
      <c r="F81" s="548"/>
      <c r="G81" s="549" t="s">
        <v>8</v>
      </c>
      <c r="H81" s="550">
        <v>1</v>
      </c>
      <c r="I81" s="385" t="s">
        <v>216</v>
      </c>
      <c r="J81" s="167" t="s">
        <v>12</v>
      </c>
      <c r="K81" s="82">
        <f>L81+N81</f>
        <v>54</v>
      </c>
      <c r="L81" s="83">
        <v>54</v>
      </c>
      <c r="M81" s="83"/>
      <c r="N81" s="94"/>
      <c r="O81" s="1103">
        <f>P81+R81</f>
        <v>50</v>
      </c>
      <c r="P81" s="83">
        <v>50</v>
      </c>
      <c r="Q81" s="83"/>
      <c r="R81" s="94"/>
      <c r="S81" s="551">
        <v>50</v>
      </c>
      <c r="T81" s="551">
        <v>50</v>
      </c>
      <c r="U81" s="335" t="s">
        <v>296</v>
      </c>
      <c r="V81" s="549" t="s">
        <v>217</v>
      </c>
      <c r="W81" s="740" t="s">
        <v>218</v>
      </c>
      <c r="X81" s="771" t="s">
        <v>218</v>
      </c>
      <c r="Y81" s="17"/>
      <c r="Z81" s="17"/>
      <c r="AA81" s="17"/>
    </row>
    <row r="82" spans="1:27" s="2" customFormat="1" ht="39" customHeight="1">
      <c r="A82" s="317"/>
      <c r="B82" s="201"/>
      <c r="C82" s="357"/>
      <c r="D82" s="547">
        <v>12</v>
      </c>
      <c r="E82" s="1402" t="s">
        <v>330</v>
      </c>
      <c r="F82" s="1399"/>
      <c r="G82" s="470"/>
      <c r="H82" s="1400"/>
      <c r="I82" s="1401" t="s">
        <v>125</v>
      </c>
      <c r="J82" s="276" t="s">
        <v>12</v>
      </c>
      <c r="K82" s="55"/>
      <c r="L82" s="83"/>
      <c r="M82" s="83"/>
      <c r="N82" s="94"/>
      <c r="O82" s="1391">
        <f>P82+R82</f>
        <v>27.6</v>
      </c>
      <c r="P82" s="83">
        <v>27.6</v>
      </c>
      <c r="Q82" s="83"/>
      <c r="R82" s="94"/>
      <c r="S82" s="551">
        <v>25</v>
      </c>
      <c r="T82" s="551">
        <v>25</v>
      </c>
      <c r="U82" s="335" t="s">
        <v>331</v>
      </c>
      <c r="V82" s="549" t="s">
        <v>332</v>
      </c>
      <c r="W82" s="740"/>
      <c r="X82" s="471"/>
      <c r="Y82" s="17"/>
      <c r="Z82" s="17"/>
      <c r="AA82" s="17"/>
    </row>
    <row r="83" spans="1:27" s="2" customFormat="1" ht="15" customHeight="1" thickBot="1">
      <c r="A83" s="322"/>
      <c r="B83" s="202"/>
      <c r="C83" s="339"/>
      <c r="D83" s="339"/>
      <c r="E83" s="339"/>
      <c r="F83" s="339"/>
      <c r="G83" s="339"/>
      <c r="H83" s="339"/>
      <c r="I83" s="1996" t="s">
        <v>101</v>
      </c>
      <c r="J83" s="1997"/>
      <c r="K83" s="365">
        <f>SUM(K64:K81)</f>
        <v>598.6</v>
      </c>
      <c r="L83" s="1093">
        <f>SUM(L64:L81)</f>
        <v>538</v>
      </c>
      <c r="M83" s="1093">
        <f>SUM(M64:M81)</f>
        <v>0</v>
      </c>
      <c r="N83" s="1094">
        <f>SUM(N64:N81)</f>
        <v>60.6</v>
      </c>
      <c r="O83" s="1095">
        <f>SUM(O64:O82)</f>
        <v>915.3</v>
      </c>
      <c r="P83" s="1095">
        <f t="shared" ref="P83:T83" si="13">SUM(P64:P82)</f>
        <v>533.79999999999995</v>
      </c>
      <c r="Q83" s="1095">
        <f t="shared" si="13"/>
        <v>0</v>
      </c>
      <c r="R83" s="1095">
        <f t="shared" si="13"/>
        <v>381.5</v>
      </c>
      <c r="S83" s="1095">
        <f t="shared" si="13"/>
        <v>1385.6</v>
      </c>
      <c r="T83" s="1095">
        <f t="shared" si="13"/>
        <v>956.5</v>
      </c>
      <c r="U83" s="366"/>
      <c r="V83" s="351"/>
      <c r="W83" s="351"/>
      <c r="X83" s="367"/>
      <c r="AA83" s="17"/>
    </row>
    <row r="84" spans="1:27" s="2" customFormat="1" ht="21.75" customHeight="1">
      <c r="A84" s="1754" t="s">
        <v>8</v>
      </c>
      <c r="B84" s="1755" t="s">
        <v>8</v>
      </c>
      <c r="C84" s="1810" t="s">
        <v>33</v>
      </c>
      <c r="D84" s="2053"/>
      <c r="E84" s="2055" t="s">
        <v>55</v>
      </c>
      <c r="F84" s="2057"/>
      <c r="G84" s="2002"/>
      <c r="H84" s="2059">
        <v>1</v>
      </c>
      <c r="I84" s="2024" t="s">
        <v>127</v>
      </c>
      <c r="J84" s="91" t="s">
        <v>12</v>
      </c>
      <c r="K84" s="264">
        <f>L84+N84</f>
        <v>30</v>
      </c>
      <c r="L84" s="263">
        <v>30</v>
      </c>
      <c r="M84" s="141"/>
      <c r="N84" s="412"/>
      <c r="O84" s="140">
        <f>P84+R84</f>
        <v>30</v>
      </c>
      <c r="P84" s="141">
        <v>30</v>
      </c>
      <c r="Q84" s="552"/>
      <c r="R84" s="553"/>
      <c r="S84" s="54">
        <v>30</v>
      </c>
      <c r="T84" s="92">
        <v>30</v>
      </c>
      <c r="U84" s="236" t="s">
        <v>271</v>
      </c>
      <c r="V84" s="186">
        <v>5</v>
      </c>
      <c r="W84" s="1154">
        <v>5</v>
      </c>
      <c r="X84" s="1152">
        <v>5</v>
      </c>
    </row>
    <row r="85" spans="1:27" s="2" customFormat="1" ht="30" customHeight="1" thickBot="1">
      <c r="A85" s="1695"/>
      <c r="B85" s="1697"/>
      <c r="C85" s="1811"/>
      <c r="D85" s="2054"/>
      <c r="E85" s="2056"/>
      <c r="F85" s="2058"/>
      <c r="G85" s="2014"/>
      <c r="H85" s="2060"/>
      <c r="I85" s="2018"/>
      <c r="J85" s="258" t="s">
        <v>15</v>
      </c>
      <c r="K85" s="232">
        <f>SUM(K84)</f>
        <v>30</v>
      </c>
      <c r="L85" s="232">
        <f t="shared" ref="L85:R85" si="14">SUM(L84)</f>
        <v>30</v>
      </c>
      <c r="M85" s="232">
        <f t="shared" si="14"/>
        <v>0</v>
      </c>
      <c r="N85" s="257">
        <f t="shared" si="14"/>
        <v>0</v>
      </c>
      <c r="O85" s="209">
        <f t="shared" si="14"/>
        <v>30</v>
      </c>
      <c r="P85" s="232">
        <f t="shared" si="14"/>
        <v>30</v>
      </c>
      <c r="Q85" s="232">
        <f t="shared" si="14"/>
        <v>0</v>
      </c>
      <c r="R85" s="219">
        <f t="shared" si="14"/>
        <v>0</v>
      </c>
      <c r="S85" s="221">
        <f>S84</f>
        <v>30</v>
      </c>
      <c r="T85" s="221">
        <f>T84</f>
        <v>30</v>
      </c>
      <c r="U85" s="368"/>
      <c r="V85" s="137"/>
      <c r="W85" s="1155"/>
      <c r="X85" s="1153"/>
    </row>
    <row r="86" spans="1:27" s="23" customFormat="1" ht="22.5" customHeight="1">
      <c r="A86" s="1754" t="s">
        <v>8</v>
      </c>
      <c r="B86" s="1755" t="s">
        <v>8</v>
      </c>
      <c r="C86" s="1773" t="s">
        <v>38</v>
      </c>
      <c r="D86" s="2023"/>
      <c r="E86" s="291" t="s">
        <v>152</v>
      </c>
      <c r="F86" s="2043"/>
      <c r="G86" s="2046" t="s">
        <v>11</v>
      </c>
      <c r="H86" s="1713" t="s">
        <v>54</v>
      </c>
      <c r="I86" s="2049" t="s">
        <v>126</v>
      </c>
      <c r="J86" s="303" t="s">
        <v>47</v>
      </c>
      <c r="K86" s="298">
        <f>L86</f>
        <v>946.1</v>
      </c>
      <c r="L86" s="299">
        <v>946.1</v>
      </c>
      <c r="M86" s="299"/>
      <c r="N86" s="300"/>
      <c r="O86" s="1363">
        <f>P86</f>
        <v>988.8</v>
      </c>
      <c r="P86" s="301">
        <v>988.8</v>
      </c>
      <c r="Q86" s="301"/>
      <c r="R86" s="1206"/>
      <c r="S86" s="207">
        <v>947</v>
      </c>
      <c r="T86" s="206">
        <v>947</v>
      </c>
      <c r="U86" s="296" t="s">
        <v>156</v>
      </c>
      <c r="V86" s="293">
        <v>780</v>
      </c>
      <c r="W86" s="294">
        <v>780</v>
      </c>
      <c r="X86" s="295">
        <v>780</v>
      </c>
    </row>
    <row r="87" spans="1:27" s="23" customFormat="1" ht="21" customHeight="1">
      <c r="A87" s="1694"/>
      <c r="B87" s="1696"/>
      <c r="C87" s="1801"/>
      <c r="D87" s="2042"/>
      <c r="E87" s="292" t="s">
        <v>154</v>
      </c>
      <c r="F87" s="2044"/>
      <c r="G87" s="2047"/>
      <c r="H87" s="1714"/>
      <c r="I87" s="2050"/>
      <c r="J87" s="310" t="s">
        <v>47</v>
      </c>
      <c r="K87" s="369">
        <f>L87</f>
        <v>33</v>
      </c>
      <c r="L87" s="306">
        <v>33</v>
      </c>
      <c r="M87" s="304"/>
      <c r="N87" s="305"/>
      <c r="O87" s="1364">
        <f>P87</f>
        <v>27</v>
      </c>
      <c r="P87" s="306">
        <v>27</v>
      </c>
      <c r="Q87" s="304"/>
      <c r="R87" s="1207"/>
      <c r="S87" s="308">
        <v>33</v>
      </c>
      <c r="T87" s="307">
        <v>33</v>
      </c>
      <c r="U87" s="1791" t="s">
        <v>155</v>
      </c>
      <c r="V87" s="187">
        <v>1</v>
      </c>
      <c r="W87" s="188">
        <v>1</v>
      </c>
      <c r="X87" s="189">
        <v>1</v>
      </c>
    </row>
    <row r="88" spans="1:27" s="23" customFormat="1" ht="21" customHeight="1" thickBot="1">
      <c r="A88" s="1695"/>
      <c r="B88" s="1697"/>
      <c r="C88" s="1775"/>
      <c r="D88" s="2016"/>
      <c r="E88" s="302" t="s">
        <v>153</v>
      </c>
      <c r="F88" s="2045"/>
      <c r="G88" s="2048"/>
      <c r="H88" s="1715"/>
      <c r="I88" s="2051"/>
      <c r="J88" s="258" t="s">
        <v>15</v>
      </c>
      <c r="K88" s="309">
        <f>SUM(K86:K87)</f>
        <v>979.1</v>
      </c>
      <c r="L88" s="309">
        <f t="shared" ref="L88:T88" si="15">SUM(L86:L87)</f>
        <v>979.1</v>
      </c>
      <c r="M88" s="309">
        <f t="shared" si="15"/>
        <v>0</v>
      </c>
      <c r="N88" s="1204">
        <f t="shared" si="15"/>
        <v>0</v>
      </c>
      <c r="O88" s="1208">
        <f>SUM(O86:O87)</f>
        <v>1015.8</v>
      </c>
      <c r="P88" s="309">
        <f t="shared" si="15"/>
        <v>1015.8</v>
      </c>
      <c r="Q88" s="309">
        <f t="shared" si="15"/>
        <v>0</v>
      </c>
      <c r="R88" s="1209">
        <f t="shared" si="15"/>
        <v>0</v>
      </c>
      <c r="S88" s="309">
        <f t="shared" si="15"/>
        <v>980</v>
      </c>
      <c r="T88" s="309">
        <f t="shared" si="15"/>
        <v>980</v>
      </c>
      <c r="U88" s="1792"/>
      <c r="V88" s="137"/>
      <c r="W88" s="237"/>
      <c r="X88" s="238"/>
    </row>
    <row r="89" spans="1:27" s="2" customFormat="1" ht="14.25" customHeight="1" thickBot="1">
      <c r="A89" s="1116" t="s">
        <v>8</v>
      </c>
      <c r="B89" s="1118" t="s">
        <v>8</v>
      </c>
      <c r="C89" s="1793" t="s">
        <v>16</v>
      </c>
      <c r="D89" s="1765"/>
      <c r="E89" s="1765"/>
      <c r="F89" s="1765"/>
      <c r="G89" s="1765"/>
      <c r="H89" s="1765"/>
      <c r="I89" s="1765"/>
      <c r="J89" s="1794"/>
      <c r="K89" s="42">
        <f t="shared" ref="K89:T89" si="16">K88+K85+K83+K60+K58+K56+K51+K49+K47+K45+K43</f>
        <v>37814.699999999997</v>
      </c>
      <c r="L89" s="42">
        <f t="shared" si="16"/>
        <v>27314.6</v>
      </c>
      <c r="M89" s="42">
        <f t="shared" si="16"/>
        <v>13521</v>
      </c>
      <c r="N89" s="1205">
        <f t="shared" si="16"/>
        <v>10500.1</v>
      </c>
      <c r="O89" s="42">
        <f t="shared" si="16"/>
        <v>43007.199999999997</v>
      </c>
      <c r="P89" s="42">
        <f t="shared" si="16"/>
        <v>31422.1</v>
      </c>
      <c r="Q89" s="42">
        <f t="shared" si="16"/>
        <v>13325.4</v>
      </c>
      <c r="R89" s="1210">
        <f t="shared" si="16"/>
        <v>11585.1</v>
      </c>
      <c r="S89" s="42">
        <f t="shared" si="16"/>
        <v>42116.7</v>
      </c>
      <c r="T89" s="42">
        <f t="shared" si="16"/>
        <v>39196.800000000003</v>
      </c>
      <c r="U89" s="239"/>
      <c r="V89" s="297"/>
      <c r="W89" s="297"/>
      <c r="X89" s="240"/>
    </row>
    <row r="90" spans="1:27" s="2" customFormat="1" ht="15.75" customHeight="1" thickBot="1">
      <c r="A90" s="323" t="s">
        <v>8</v>
      </c>
      <c r="B90" s="24" t="s">
        <v>9</v>
      </c>
      <c r="C90" s="1688" t="s">
        <v>65</v>
      </c>
      <c r="D90" s="1689"/>
      <c r="E90" s="1689"/>
      <c r="F90" s="1689"/>
      <c r="G90" s="1689"/>
      <c r="H90" s="1689"/>
      <c r="I90" s="1689"/>
      <c r="J90" s="1689"/>
      <c r="K90" s="1689"/>
      <c r="L90" s="1689"/>
      <c r="M90" s="1689"/>
      <c r="N90" s="1689"/>
      <c r="O90" s="1689"/>
      <c r="P90" s="1689"/>
      <c r="Q90" s="1689"/>
      <c r="R90" s="1689"/>
      <c r="S90" s="1689"/>
      <c r="T90" s="1689"/>
      <c r="U90" s="1689"/>
      <c r="V90" s="1689"/>
      <c r="W90" s="1689"/>
      <c r="X90" s="1690"/>
    </row>
    <row r="91" spans="1:27" s="2" customFormat="1" ht="29.25" customHeight="1">
      <c r="A91" s="1754" t="s">
        <v>8</v>
      </c>
      <c r="B91" s="1755" t="s">
        <v>9</v>
      </c>
      <c r="C91" s="2035" t="s">
        <v>8</v>
      </c>
      <c r="D91" s="1191"/>
      <c r="E91" s="1135" t="s">
        <v>42</v>
      </c>
      <c r="F91" s="1133"/>
      <c r="G91" s="1194" t="s">
        <v>8</v>
      </c>
      <c r="H91" s="371" t="s">
        <v>53</v>
      </c>
      <c r="I91" s="914"/>
      <c r="J91" s="661" t="s">
        <v>12</v>
      </c>
      <c r="K91" s="660">
        <f>L91+N91</f>
        <v>788.7</v>
      </c>
      <c r="L91" s="68">
        <v>568.70000000000005</v>
      </c>
      <c r="M91" s="68"/>
      <c r="N91" s="662">
        <f>10+210</f>
        <v>220</v>
      </c>
      <c r="O91" s="67"/>
      <c r="P91" s="68"/>
      <c r="Q91" s="68"/>
      <c r="R91" s="96"/>
      <c r="S91" s="265">
        <v>973.5</v>
      </c>
      <c r="T91" s="265">
        <v>1173.5</v>
      </c>
      <c r="U91" s="852"/>
      <c r="V91" s="454"/>
      <c r="W91" s="454"/>
      <c r="X91" s="455"/>
    </row>
    <row r="92" spans="1:27" s="2" customFormat="1" ht="30.75" customHeight="1">
      <c r="A92" s="1694"/>
      <c r="B92" s="1696"/>
      <c r="C92" s="2036"/>
      <c r="D92" s="584" t="s">
        <v>8</v>
      </c>
      <c r="E92" s="870" t="s">
        <v>236</v>
      </c>
      <c r="F92" s="2038" t="s">
        <v>117</v>
      </c>
      <c r="G92" s="853"/>
      <c r="H92" s="584"/>
      <c r="I92" s="2040" t="s">
        <v>213</v>
      </c>
      <c r="J92" s="854" t="s">
        <v>12</v>
      </c>
      <c r="K92" s="855"/>
      <c r="L92" s="464"/>
      <c r="M92" s="464"/>
      <c r="N92" s="464"/>
      <c r="O92" s="326">
        <f>P92+R92</f>
        <v>475</v>
      </c>
      <c r="P92" s="327">
        <v>150</v>
      </c>
      <c r="Q92" s="327"/>
      <c r="R92" s="328">
        <v>325</v>
      </c>
      <c r="S92" s="856"/>
      <c r="T92" s="856"/>
      <c r="U92" s="858" t="s">
        <v>164</v>
      </c>
      <c r="V92" s="457">
        <v>11</v>
      </c>
      <c r="W92" s="857"/>
      <c r="X92" s="859"/>
    </row>
    <row r="93" spans="1:27" s="2" customFormat="1" ht="15.75" customHeight="1">
      <c r="A93" s="1694"/>
      <c r="B93" s="1696"/>
      <c r="C93" s="2036"/>
      <c r="D93" s="1189"/>
      <c r="E93" s="445" t="s">
        <v>228</v>
      </c>
      <c r="F93" s="1797"/>
      <c r="G93" s="1203"/>
      <c r="H93" s="131"/>
      <c r="I93" s="2041"/>
      <c r="J93" s="845"/>
      <c r="K93" s="846"/>
      <c r="L93" s="841"/>
      <c r="M93" s="841"/>
      <c r="N93" s="841"/>
      <c r="O93" s="867"/>
      <c r="P93" s="868"/>
      <c r="Q93" s="868"/>
      <c r="R93" s="869"/>
      <c r="S93" s="847"/>
      <c r="T93" s="847"/>
      <c r="U93" s="849" t="s">
        <v>232</v>
      </c>
      <c r="V93" s="865">
        <v>125</v>
      </c>
      <c r="W93" s="864">
        <v>180</v>
      </c>
      <c r="X93" s="866">
        <v>250</v>
      </c>
      <c r="Y93" s="848"/>
    </row>
    <row r="94" spans="1:27" s="2" customFormat="1" ht="24.75" customHeight="1">
      <c r="A94" s="1694"/>
      <c r="B94" s="1696"/>
      <c r="C94" s="2036"/>
      <c r="D94" s="1189"/>
      <c r="E94" s="445" t="s">
        <v>229</v>
      </c>
      <c r="F94" s="1797"/>
      <c r="G94" s="1203"/>
      <c r="H94" s="131"/>
      <c r="I94" s="2041"/>
      <c r="J94" s="845"/>
      <c r="K94" s="846"/>
      <c r="L94" s="841"/>
      <c r="M94" s="841"/>
      <c r="N94" s="841"/>
      <c r="O94" s="912"/>
      <c r="P94" s="868"/>
      <c r="Q94" s="868"/>
      <c r="R94" s="913"/>
      <c r="S94" s="847"/>
      <c r="T94" s="847"/>
      <c r="U94" s="811" t="s">
        <v>233</v>
      </c>
      <c r="V94" s="865">
        <v>1</v>
      </c>
      <c r="W94" s="864"/>
      <c r="X94" s="866"/>
      <c r="Y94" s="30"/>
    </row>
    <row r="95" spans="1:27" s="2" customFormat="1" ht="15" customHeight="1">
      <c r="A95" s="1694"/>
      <c r="B95" s="1696"/>
      <c r="C95" s="2036"/>
      <c r="D95" s="1189"/>
      <c r="E95" s="445" t="s">
        <v>230</v>
      </c>
      <c r="F95" s="1797"/>
      <c r="G95" s="1203"/>
      <c r="H95" s="131"/>
      <c r="I95" s="829"/>
      <c r="J95" s="845"/>
      <c r="K95" s="846"/>
      <c r="L95" s="841"/>
      <c r="M95" s="841"/>
      <c r="N95" s="841"/>
      <c r="O95" s="867"/>
      <c r="P95" s="868"/>
      <c r="Q95" s="868"/>
      <c r="R95" s="869"/>
      <c r="S95" s="847"/>
      <c r="T95" s="847"/>
      <c r="U95" s="811" t="s">
        <v>234</v>
      </c>
      <c r="V95" s="865">
        <v>1</v>
      </c>
      <c r="W95" s="864"/>
      <c r="X95" s="866"/>
      <c r="Y95" s="30"/>
    </row>
    <row r="96" spans="1:27" s="2" customFormat="1" ht="30" customHeight="1">
      <c r="A96" s="1694"/>
      <c r="B96" s="1696"/>
      <c r="C96" s="2036"/>
      <c r="D96" s="1189"/>
      <c r="E96" s="492" t="s">
        <v>231</v>
      </c>
      <c r="F96" s="2039"/>
      <c r="G96" s="498"/>
      <c r="H96" s="499"/>
      <c r="I96" s="830"/>
      <c r="J96" s="872"/>
      <c r="K96" s="873"/>
      <c r="L96" s="84"/>
      <c r="M96" s="84"/>
      <c r="N96" s="84"/>
      <c r="O96" s="915"/>
      <c r="P96" s="916"/>
      <c r="Q96" s="916"/>
      <c r="R96" s="917"/>
      <c r="S96" s="798"/>
      <c r="T96" s="798"/>
      <c r="U96" s="918" t="s">
        <v>144</v>
      </c>
      <c r="V96" s="861">
        <v>439</v>
      </c>
      <c r="W96" s="862"/>
      <c r="X96" s="863"/>
      <c r="Y96" s="30"/>
    </row>
    <row r="97" spans="1:26" s="2" customFormat="1" ht="26.25" customHeight="1">
      <c r="A97" s="1694"/>
      <c r="B97" s="1696"/>
      <c r="C97" s="2036"/>
      <c r="D97" s="584" t="s">
        <v>9</v>
      </c>
      <c r="E97" s="876" t="s">
        <v>237</v>
      </c>
      <c r="F97" s="851"/>
      <c r="G97" s="1203"/>
      <c r="H97" s="131"/>
      <c r="I97" s="2040" t="s">
        <v>213</v>
      </c>
      <c r="J97" s="845" t="s">
        <v>12</v>
      </c>
      <c r="K97" s="846"/>
      <c r="L97" s="841"/>
      <c r="M97" s="841"/>
      <c r="N97" s="841"/>
      <c r="O97" s="909">
        <f>P97+R97</f>
        <v>793.3</v>
      </c>
      <c r="P97" s="263">
        <v>793.3</v>
      </c>
      <c r="Q97" s="910"/>
      <c r="R97" s="911"/>
      <c r="S97" s="847"/>
      <c r="T97" s="847"/>
      <c r="U97" s="860"/>
      <c r="V97" s="457"/>
      <c r="W97" s="857"/>
      <c r="X97" s="859"/>
      <c r="Y97" s="30"/>
    </row>
    <row r="98" spans="1:26" s="2" customFormat="1" ht="27.75" customHeight="1">
      <c r="A98" s="1694"/>
      <c r="B98" s="1696"/>
      <c r="C98" s="2036"/>
      <c r="D98" s="1189"/>
      <c r="E98" s="445" t="s">
        <v>241</v>
      </c>
      <c r="F98" s="1796" t="s">
        <v>117</v>
      </c>
      <c r="G98" s="1203"/>
      <c r="H98" s="131"/>
      <c r="I98" s="2041"/>
      <c r="J98" s="845"/>
      <c r="K98" s="846"/>
      <c r="L98" s="841"/>
      <c r="M98" s="841"/>
      <c r="N98" s="841"/>
      <c r="O98" s="919"/>
      <c r="P98" s="922"/>
      <c r="Q98" s="648"/>
      <c r="R98" s="920"/>
      <c r="S98" s="847"/>
      <c r="T98" s="847"/>
      <c r="U98" s="811"/>
      <c r="V98" s="865"/>
      <c r="W98" s="864"/>
      <c r="X98" s="866"/>
      <c r="Y98" s="30"/>
    </row>
    <row r="99" spans="1:26" s="2" customFormat="1" ht="27" customHeight="1">
      <c r="A99" s="1694"/>
      <c r="B99" s="1696"/>
      <c r="C99" s="2036"/>
      <c r="D99" s="1189"/>
      <c r="E99" s="445" t="s">
        <v>311</v>
      </c>
      <c r="F99" s="1797"/>
      <c r="G99" s="1203"/>
      <c r="H99" s="131"/>
      <c r="I99" s="2041"/>
      <c r="J99" s="845"/>
      <c r="K99" s="846"/>
      <c r="L99" s="841"/>
      <c r="M99" s="841"/>
      <c r="N99" s="841"/>
      <c r="O99" s="919"/>
      <c r="P99" s="923"/>
      <c r="Q99" s="648"/>
      <c r="R99" s="920"/>
      <c r="S99" s="847"/>
      <c r="T99" s="847"/>
      <c r="U99" s="811"/>
      <c r="V99" s="865"/>
      <c r="W99" s="864"/>
      <c r="X99" s="866"/>
      <c r="Y99" s="30"/>
    </row>
    <row r="100" spans="1:26" s="2" customFormat="1" ht="32.25" customHeight="1">
      <c r="A100" s="1694"/>
      <c r="B100" s="1696"/>
      <c r="C100" s="2036"/>
      <c r="D100" s="1189"/>
      <c r="E100" s="871" t="s">
        <v>312</v>
      </c>
      <c r="F100" s="1797"/>
      <c r="G100" s="1203"/>
      <c r="H100" s="131"/>
      <c r="I100" s="829"/>
      <c r="J100" s="845"/>
      <c r="K100" s="846"/>
      <c r="L100" s="841"/>
      <c r="M100" s="841"/>
      <c r="N100" s="841"/>
      <c r="O100" s="919"/>
      <c r="P100" s="924"/>
      <c r="Q100" s="648"/>
      <c r="R100" s="920"/>
      <c r="S100" s="847"/>
      <c r="T100" s="847"/>
      <c r="U100" s="811" t="s">
        <v>235</v>
      </c>
      <c r="V100" s="865">
        <v>439</v>
      </c>
      <c r="W100" s="864"/>
      <c r="X100" s="866"/>
      <c r="Y100" s="30"/>
    </row>
    <row r="101" spans="1:26" s="2" customFormat="1" ht="16.5" customHeight="1">
      <c r="A101" s="1694"/>
      <c r="B101" s="1696"/>
      <c r="C101" s="2036"/>
      <c r="D101" s="1189"/>
      <c r="E101" s="445" t="s">
        <v>189</v>
      </c>
      <c r="F101" s="1797"/>
      <c r="G101" s="1203"/>
      <c r="H101" s="131"/>
      <c r="I101" s="829"/>
      <c r="J101" s="845"/>
      <c r="K101" s="846"/>
      <c r="L101" s="841"/>
      <c r="M101" s="841"/>
      <c r="N101" s="841"/>
      <c r="O101" s="919"/>
      <c r="P101" s="924"/>
      <c r="Q101" s="648"/>
      <c r="R101" s="920"/>
      <c r="S101" s="847"/>
      <c r="T101" s="847"/>
      <c r="U101" s="811"/>
      <c r="V101" s="865"/>
      <c r="W101" s="864"/>
      <c r="X101" s="866"/>
    </row>
    <row r="102" spans="1:26" s="2" customFormat="1" ht="43.5" customHeight="1">
      <c r="A102" s="1694"/>
      <c r="B102" s="1696"/>
      <c r="C102" s="2036"/>
      <c r="D102" s="1189"/>
      <c r="E102" s="871" t="s">
        <v>242</v>
      </c>
      <c r="F102" s="1797"/>
      <c r="G102" s="1203"/>
      <c r="H102" s="131"/>
      <c r="I102" s="829"/>
      <c r="J102" s="845"/>
      <c r="K102" s="846"/>
      <c r="L102" s="841"/>
      <c r="M102" s="841"/>
      <c r="N102" s="841"/>
      <c r="O102" s="919"/>
      <c r="P102" s="924"/>
      <c r="Q102" s="648"/>
      <c r="R102" s="920"/>
      <c r="S102" s="847"/>
      <c r="T102" s="847"/>
      <c r="U102" s="811"/>
      <c r="V102" s="865"/>
      <c r="W102" s="864"/>
      <c r="X102" s="866"/>
    </row>
    <row r="103" spans="1:26" s="2" customFormat="1" ht="40.5" customHeight="1">
      <c r="A103" s="1694"/>
      <c r="B103" s="1696"/>
      <c r="C103" s="2036"/>
      <c r="D103" s="1189"/>
      <c r="E103" s="445" t="s">
        <v>243</v>
      </c>
      <c r="F103" s="1797"/>
      <c r="G103" s="1203"/>
      <c r="H103" s="131"/>
      <c r="I103" s="829"/>
      <c r="J103" s="845"/>
      <c r="K103" s="846"/>
      <c r="L103" s="841"/>
      <c r="M103" s="841"/>
      <c r="N103" s="841"/>
      <c r="O103" s="919"/>
      <c r="P103" s="923"/>
      <c r="Q103" s="648"/>
      <c r="R103" s="920"/>
      <c r="S103" s="847"/>
      <c r="T103" s="847"/>
      <c r="U103" s="811"/>
      <c r="V103" s="865"/>
      <c r="W103" s="864"/>
      <c r="X103" s="866"/>
    </row>
    <row r="104" spans="1:26" s="2" customFormat="1" ht="25.5" customHeight="1">
      <c r="A104" s="1694"/>
      <c r="B104" s="1696"/>
      <c r="C104" s="2036"/>
      <c r="D104" s="497"/>
      <c r="E104" s="492" t="s">
        <v>188</v>
      </c>
      <c r="F104" s="1127"/>
      <c r="G104" s="498"/>
      <c r="H104" s="499"/>
      <c r="I104" s="830"/>
      <c r="J104" s="872"/>
      <c r="K104" s="873"/>
      <c r="L104" s="84"/>
      <c r="M104" s="84"/>
      <c r="N104" s="84"/>
      <c r="O104" s="875"/>
      <c r="P104" s="925"/>
      <c r="Q104" s="862"/>
      <c r="R104" s="921"/>
      <c r="S104" s="798"/>
      <c r="T104" s="798"/>
      <c r="U104" s="874"/>
      <c r="V104" s="496"/>
      <c r="W104" s="496"/>
      <c r="X104" s="282"/>
    </row>
    <row r="105" spans="1:26" s="2" customFormat="1" ht="60.75" customHeight="1">
      <c r="A105" s="1694"/>
      <c r="B105" s="1696"/>
      <c r="C105" s="2036"/>
      <c r="D105" s="902" t="s">
        <v>10</v>
      </c>
      <c r="E105" s="877" t="s">
        <v>253</v>
      </c>
      <c r="F105" s="900" t="s">
        <v>117</v>
      </c>
      <c r="G105" s="901"/>
      <c r="H105" s="902"/>
      <c r="I105" s="903" t="s">
        <v>213</v>
      </c>
      <c r="J105" s="904"/>
      <c r="K105" s="884"/>
      <c r="L105" s="97"/>
      <c r="M105" s="97"/>
      <c r="N105" s="97"/>
      <c r="O105" s="55"/>
      <c r="P105" s="56"/>
      <c r="Q105" s="56"/>
      <c r="R105" s="57"/>
      <c r="S105" s="905"/>
      <c r="T105" s="905"/>
      <c r="U105" s="906"/>
      <c r="V105" s="129"/>
      <c r="W105" s="129"/>
      <c r="X105" s="177"/>
    </row>
    <row r="106" spans="1:26" s="2" customFormat="1" ht="15.75" customHeight="1" thickBot="1">
      <c r="A106" s="1695"/>
      <c r="B106" s="1697"/>
      <c r="C106" s="2037"/>
      <c r="D106" s="339"/>
      <c r="E106" s="339"/>
      <c r="F106" s="659"/>
      <c r="G106" s="339"/>
      <c r="H106" s="339"/>
      <c r="I106" s="1996" t="s">
        <v>101</v>
      </c>
      <c r="J106" s="1997"/>
      <c r="K106" s="365">
        <f>SUM(K91:K105)</f>
        <v>788.7</v>
      </c>
      <c r="L106" s="365">
        <f>SUM(L91:L105)</f>
        <v>568.70000000000005</v>
      </c>
      <c r="M106" s="365">
        <f>SUM(M91:M105)</f>
        <v>0</v>
      </c>
      <c r="N106" s="663">
        <f>SUM(N91:N105)</f>
        <v>220</v>
      </c>
      <c r="O106" s="365">
        <f t="shared" ref="O106:T106" si="17">O97+O92+O91</f>
        <v>1268.3</v>
      </c>
      <c r="P106" s="365">
        <f t="shared" si="17"/>
        <v>943.3</v>
      </c>
      <c r="Q106" s="365">
        <f t="shared" si="17"/>
        <v>0</v>
      </c>
      <c r="R106" s="365">
        <f t="shared" si="17"/>
        <v>325</v>
      </c>
      <c r="S106" s="365">
        <f t="shared" si="17"/>
        <v>973.5</v>
      </c>
      <c r="T106" s="365">
        <f t="shared" si="17"/>
        <v>1173.5</v>
      </c>
      <c r="U106" s="850"/>
      <c r="V106" s="461"/>
      <c r="W106" s="461"/>
      <c r="X106" s="367"/>
    </row>
    <row r="107" spans="1:26" s="11" customFormat="1" ht="18" customHeight="1">
      <c r="A107" s="1115" t="s">
        <v>8</v>
      </c>
      <c r="B107" s="1117" t="s">
        <v>9</v>
      </c>
      <c r="C107" s="161" t="s">
        <v>9</v>
      </c>
      <c r="D107" s="133"/>
      <c r="E107" s="1781" t="s">
        <v>160</v>
      </c>
      <c r="F107" s="1784"/>
      <c r="G107" s="2034" t="s">
        <v>8</v>
      </c>
      <c r="H107" s="1787" t="s">
        <v>54</v>
      </c>
      <c r="I107" s="2032" t="s">
        <v>128</v>
      </c>
      <c r="J107" s="150" t="s">
        <v>12</v>
      </c>
      <c r="K107" s="372">
        <f>L107+N107</f>
        <v>90.5</v>
      </c>
      <c r="L107" s="149">
        <v>90.5</v>
      </c>
      <c r="M107" s="149">
        <v>7.9</v>
      </c>
      <c r="N107" s="429"/>
      <c r="O107" s="431">
        <f>P107+R107</f>
        <v>84.3</v>
      </c>
      <c r="P107" s="741">
        <v>84.3</v>
      </c>
      <c r="Q107" s="741">
        <v>5.6</v>
      </c>
      <c r="R107" s="184"/>
      <c r="S107" s="185"/>
      <c r="T107" s="452"/>
      <c r="U107" s="599" t="s">
        <v>165</v>
      </c>
      <c r="V107" s="446">
        <v>3</v>
      </c>
      <c r="W107" s="447"/>
      <c r="X107" s="448"/>
    </row>
    <row r="108" spans="1:26" s="11" customFormat="1" ht="17.25" customHeight="1">
      <c r="A108" s="1115"/>
      <c r="B108" s="1117"/>
      <c r="C108" s="161"/>
      <c r="D108" s="133"/>
      <c r="E108" s="1781"/>
      <c r="F108" s="1784"/>
      <c r="G108" s="2034"/>
      <c r="H108" s="1787"/>
      <c r="I108" s="2032"/>
      <c r="J108" s="150" t="s">
        <v>113</v>
      </c>
      <c r="K108" s="372">
        <f>L108+N108</f>
        <v>595</v>
      </c>
      <c r="L108" s="149"/>
      <c r="M108" s="149"/>
      <c r="N108" s="429">
        <v>595</v>
      </c>
      <c r="O108" s="148">
        <f>P108+R108</f>
        <v>595</v>
      </c>
      <c r="P108" s="149"/>
      <c r="Q108" s="149"/>
      <c r="R108" s="1386">
        <v>595</v>
      </c>
      <c r="S108" s="176"/>
      <c r="T108" s="452"/>
      <c r="U108" s="1790" t="s">
        <v>210</v>
      </c>
      <c r="V108" s="602" t="s">
        <v>53</v>
      </c>
      <c r="W108" s="600"/>
      <c r="X108" s="601"/>
      <c r="Z108" s="1219"/>
    </row>
    <row r="109" spans="1:26" s="11" customFormat="1" ht="18.75" customHeight="1" thickBot="1">
      <c r="A109" s="1116"/>
      <c r="B109" s="1118"/>
      <c r="C109" s="162"/>
      <c r="D109" s="135"/>
      <c r="E109" s="1782"/>
      <c r="F109" s="1785"/>
      <c r="G109" s="2030"/>
      <c r="H109" s="1788"/>
      <c r="I109" s="2033"/>
      <c r="J109" s="373" t="s">
        <v>15</v>
      </c>
      <c r="K109" s="216">
        <f>K108+K107</f>
        <v>685.5</v>
      </c>
      <c r="L109" s="216">
        <f t="shared" ref="L109:T109" si="18">L108+L107</f>
        <v>90.5</v>
      </c>
      <c r="M109" s="216">
        <f t="shared" si="18"/>
        <v>7.9</v>
      </c>
      <c r="N109" s="430">
        <f t="shared" si="18"/>
        <v>595</v>
      </c>
      <c r="O109" s="260">
        <f>O108+O107</f>
        <v>679.3</v>
      </c>
      <c r="P109" s="216">
        <f t="shared" si="18"/>
        <v>84.3</v>
      </c>
      <c r="Q109" s="216">
        <f t="shared" si="18"/>
        <v>5.6</v>
      </c>
      <c r="R109" s="432">
        <f t="shared" si="18"/>
        <v>595</v>
      </c>
      <c r="S109" s="231">
        <f t="shared" si="18"/>
        <v>0</v>
      </c>
      <c r="T109" s="216">
        <f t="shared" si="18"/>
        <v>0</v>
      </c>
      <c r="U109" s="1710"/>
      <c r="V109" s="449"/>
      <c r="W109" s="450"/>
      <c r="X109" s="451"/>
    </row>
    <row r="110" spans="1:26" s="11" customFormat="1" ht="18.75" customHeight="1">
      <c r="A110" s="1129" t="s">
        <v>8</v>
      </c>
      <c r="B110" s="1130" t="s">
        <v>9</v>
      </c>
      <c r="C110" s="160" t="s">
        <v>10</v>
      </c>
      <c r="D110" s="134"/>
      <c r="E110" s="1780" t="s">
        <v>161</v>
      </c>
      <c r="F110" s="1783" t="s">
        <v>109</v>
      </c>
      <c r="G110" s="2028" t="s">
        <v>8</v>
      </c>
      <c r="H110" s="1786" t="s">
        <v>53</v>
      </c>
      <c r="I110" s="2031" t="s">
        <v>129</v>
      </c>
      <c r="J110" s="124" t="s">
        <v>112</v>
      </c>
      <c r="K110" s="182"/>
      <c r="L110" s="170"/>
      <c r="M110" s="170"/>
      <c r="N110" s="171"/>
      <c r="O110" s="144">
        <f>+P110+R110</f>
        <v>2.1</v>
      </c>
      <c r="P110" s="500">
        <v>2.1</v>
      </c>
      <c r="Q110" s="500">
        <v>1.6</v>
      </c>
      <c r="R110" s="506"/>
      <c r="S110" s="185"/>
      <c r="T110" s="453"/>
      <c r="U110" s="1763" t="s">
        <v>141</v>
      </c>
      <c r="V110" s="286">
        <v>30</v>
      </c>
      <c r="W110" s="287"/>
      <c r="X110" s="288"/>
    </row>
    <row r="111" spans="1:26" s="11" customFormat="1" ht="17.25" customHeight="1">
      <c r="A111" s="1115"/>
      <c r="B111" s="1117"/>
      <c r="C111" s="161"/>
      <c r="D111" s="133"/>
      <c r="E111" s="1781"/>
      <c r="F111" s="1784"/>
      <c r="G111" s="2029"/>
      <c r="H111" s="1787"/>
      <c r="I111" s="2032"/>
      <c r="J111" s="150" t="s">
        <v>14</v>
      </c>
      <c r="K111" s="153"/>
      <c r="L111" s="151"/>
      <c r="M111" s="151"/>
      <c r="N111" s="152"/>
      <c r="O111" s="501">
        <f>+P111+R111</f>
        <v>12</v>
      </c>
      <c r="P111" s="502">
        <v>12</v>
      </c>
      <c r="Q111" s="503">
        <v>9.1999999999999993</v>
      </c>
      <c r="R111" s="507"/>
      <c r="S111" s="154"/>
      <c r="T111" s="452"/>
      <c r="U111" s="1789"/>
      <c r="V111" s="639"/>
      <c r="W111" s="640"/>
      <c r="X111" s="641"/>
    </row>
    <row r="112" spans="1:26" s="11" customFormat="1" ht="19.5" customHeight="1" thickBot="1">
      <c r="A112" s="1116"/>
      <c r="B112" s="1118"/>
      <c r="C112" s="162"/>
      <c r="D112" s="135"/>
      <c r="E112" s="1782"/>
      <c r="F112" s="1785"/>
      <c r="G112" s="2030"/>
      <c r="H112" s="1788"/>
      <c r="I112" s="2033"/>
      <c r="J112" s="228" t="s">
        <v>15</v>
      </c>
      <c r="K112" s="216">
        <f>SUM(K110)</f>
        <v>0</v>
      </c>
      <c r="L112" s="217">
        <f t="shared" ref="L112:N112" si="19">SUM(L110)</f>
        <v>0</v>
      </c>
      <c r="M112" s="217">
        <f t="shared" si="19"/>
        <v>0</v>
      </c>
      <c r="N112" s="259">
        <f t="shared" si="19"/>
        <v>0</v>
      </c>
      <c r="O112" s="230">
        <f>O111+O110</f>
        <v>14.1</v>
      </c>
      <c r="P112" s="217">
        <f t="shared" ref="P112:R112" si="20">P111+P110</f>
        <v>14.1</v>
      </c>
      <c r="Q112" s="217">
        <f t="shared" si="20"/>
        <v>10.8</v>
      </c>
      <c r="R112" s="218">
        <f t="shared" si="20"/>
        <v>0</v>
      </c>
      <c r="S112" s="229">
        <f t="shared" ref="S112:T112" si="21">SUM(S110)</f>
        <v>0</v>
      </c>
      <c r="T112" s="432">
        <f t="shared" si="21"/>
        <v>0</v>
      </c>
      <c r="U112" s="643"/>
      <c r="V112" s="449"/>
      <c r="W112" s="450"/>
      <c r="X112" s="644"/>
    </row>
    <row r="113" spans="1:24" s="2" customFormat="1" ht="24.75" customHeight="1">
      <c r="A113" s="1767" t="s">
        <v>8</v>
      </c>
      <c r="B113" s="1770" t="s">
        <v>9</v>
      </c>
      <c r="C113" s="1773" t="s">
        <v>11</v>
      </c>
      <c r="D113" s="2025"/>
      <c r="E113" s="1757" t="s">
        <v>29</v>
      </c>
      <c r="F113" s="1777" t="s">
        <v>134</v>
      </c>
      <c r="G113" s="2023" t="s">
        <v>8</v>
      </c>
      <c r="H113" s="1713" t="s">
        <v>53</v>
      </c>
      <c r="I113" s="2024" t="s">
        <v>129</v>
      </c>
      <c r="J113" s="10" t="s">
        <v>12</v>
      </c>
      <c r="K113" s="508"/>
      <c r="L113" s="472"/>
      <c r="M113" s="472"/>
      <c r="N113" s="509"/>
      <c r="O113" s="510">
        <v>117.3</v>
      </c>
      <c r="P113" s="500">
        <v>42.3</v>
      </c>
      <c r="Q113" s="500">
        <v>3</v>
      </c>
      <c r="R113" s="506">
        <v>75</v>
      </c>
      <c r="S113" s="121"/>
      <c r="T113" s="165"/>
      <c r="U113" s="1763" t="s">
        <v>196</v>
      </c>
      <c r="V113" s="286">
        <v>1</v>
      </c>
      <c r="W113" s="1142"/>
      <c r="X113" s="1144"/>
    </row>
    <row r="114" spans="1:24" s="2" customFormat="1" ht="32.25" customHeight="1">
      <c r="A114" s="1768"/>
      <c r="B114" s="1771"/>
      <c r="C114" s="1774"/>
      <c r="D114" s="2026"/>
      <c r="E114" s="1776"/>
      <c r="F114" s="1778"/>
      <c r="G114" s="2015"/>
      <c r="H114" s="1753"/>
      <c r="I114" s="2017"/>
      <c r="J114" s="14" t="s">
        <v>14</v>
      </c>
      <c r="K114" s="511"/>
      <c r="L114" s="439"/>
      <c r="M114" s="439"/>
      <c r="N114" s="512"/>
      <c r="O114" s="513">
        <v>665.1</v>
      </c>
      <c r="P114" s="503">
        <v>240.1</v>
      </c>
      <c r="Q114" s="503">
        <v>22.7</v>
      </c>
      <c r="R114" s="507">
        <v>425</v>
      </c>
      <c r="S114" s="614"/>
      <c r="T114" s="615"/>
      <c r="U114" s="1764"/>
      <c r="V114" s="642"/>
      <c r="W114" s="188"/>
      <c r="X114" s="189"/>
    </row>
    <row r="115" spans="1:24" s="2" customFormat="1" ht="27" customHeight="1" thickBot="1">
      <c r="A115" s="1769"/>
      <c r="B115" s="1772"/>
      <c r="C115" s="1775"/>
      <c r="D115" s="2027"/>
      <c r="E115" s="1759"/>
      <c r="F115" s="1779"/>
      <c r="G115" s="2016"/>
      <c r="H115" s="1715"/>
      <c r="I115" s="2018"/>
      <c r="J115" s="374" t="s">
        <v>15</v>
      </c>
      <c r="K115" s="514">
        <f>SUM(K113:K114)</f>
        <v>0</v>
      </c>
      <c r="L115" s="515">
        <f t="shared" ref="L115:R115" si="22">SUM(L113:L114)</f>
        <v>0</v>
      </c>
      <c r="M115" s="515">
        <f t="shared" si="22"/>
        <v>0</v>
      </c>
      <c r="N115" s="516">
        <f t="shared" si="22"/>
        <v>0</v>
      </c>
      <c r="O115" s="517">
        <f>SUM(O113:O114)</f>
        <v>782.4</v>
      </c>
      <c r="P115" s="518">
        <f t="shared" si="22"/>
        <v>282.39999999999998</v>
      </c>
      <c r="Q115" s="518">
        <f t="shared" si="22"/>
        <v>25.7</v>
      </c>
      <c r="R115" s="519">
        <f t="shared" si="22"/>
        <v>500</v>
      </c>
      <c r="S115" s="224"/>
      <c r="T115" s="518"/>
      <c r="U115" s="645"/>
      <c r="V115" s="1155"/>
      <c r="W115" s="1155"/>
      <c r="X115" s="646"/>
    </row>
    <row r="116" spans="1:24" s="2" customFormat="1" ht="16.5" customHeight="1" thickBot="1">
      <c r="A116" s="323" t="s">
        <v>8</v>
      </c>
      <c r="B116" s="9" t="s">
        <v>9</v>
      </c>
      <c r="C116" s="1683" t="s">
        <v>16</v>
      </c>
      <c r="D116" s="1684"/>
      <c r="E116" s="1684"/>
      <c r="F116" s="1684"/>
      <c r="G116" s="1684"/>
      <c r="H116" s="1684"/>
      <c r="I116" s="1765"/>
      <c r="J116" s="1765"/>
      <c r="K116" s="47">
        <f>K115+K112+K109+K106</f>
        <v>1474.2</v>
      </c>
      <c r="L116" s="47">
        <f t="shared" ref="L116:T116" si="23">L115+L106+L109+L112</f>
        <v>659.2</v>
      </c>
      <c r="M116" s="47">
        <f t="shared" si="23"/>
        <v>7.9</v>
      </c>
      <c r="N116" s="47">
        <f t="shared" si="23"/>
        <v>815</v>
      </c>
      <c r="O116" s="47">
        <f>O115+O106+O109+O112</f>
        <v>2744.1</v>
      </c>
      <c r="P116" s="47">
        <f t="shared" si="23"/>
        <v>1324.1</v>
      </c>
      <c r="Q116" s="47">
        <f t="shared" si="23"/>
        <v>42.1</v>
      </c>
      <c r="R116" s="47">
        <f t="shared" si="23"/>
        <v>1420</v>
      </c>
      <c r="S116" s="505">
        <f t="shared" si="23"/>
        <v>973.5</v>
      </c>
      <c r="T116" s="504">
        <f t="shared" si="23"/>
        <v>1173.5</v>
      </c>
      <c r="U116" s="233"/>
      <c r="V116" s="234"/>
      <c r="W116" s="234"/>
      <c r="X116" s="235"/>
    </row>
    <row r="117" spans="1:24" s="2" customFormat="1" ht="15" customHeight="1" thickBot="1">
      <c r="A117" s="1129" t="s">
        <v>8</v>
      </c>
      <c r="B117" s="155" t="s">
        <v>10</v>
      </c>
      <c r="C117" s="1688" t="s">
        <v>41</v>
      </c>
      <c r="D117" s="1689"/>
      <c r="E117" s="1689"/>
      <c r="F117" s="1689"/>
      <c r="G117" s="1689"/>
      <c r="H117" s="1689"/>
      <c r="I117" s="1689"/>
      <c r="J117" s="1689"/>
      <c r="K117" s="1689"/>
      <c r="L117" s="1689"/>
      <c r="M117" s="1689"/>
      <c r="N117" s="1689"/>
      <c r="O117" s="1766"/>
      <c r="P117" s="1766"/>
      <c r="Q117" s="1766"/>
      <c r="R117" s="1766"/>
      <c r="S117" s="1689"/>
      <c r="T117" s="1689"/>
      <c r="U117" s="1689"/>
      <c r="V117" s="1689"/>
      <c r="W117" s="1689"/>
      <c r="X117" s="1690"/>
    </row>
    <row r="118" spans="1:24" s="11" customFormat="1" ht="26.25" customHeight="1">
      <c r="A118" s="1754" t="s">
        <v>8</v>
      </c>
      <c r="B118" s="1755" t="s">
        <v>10</v>
      </c>
      <c r="C118" s="1756" t="s">
        <v>8</v>
      </c>
      <c r="D118" s="1187"/>
      <c r="E118" s="1757" t="s">
        <v>63</v>
      </c>
      <c r="F118" s="1760" t="s">
        <v>107</v>
      </c>
      <c r="G118" s="2019" t="s">
        <v>8</v>
      </c>
      <c r="H118" s="1713" t="s">
        <v>53</v>
      </c>
      <c r="I118" s="2024" t="s">
        <v>75</v>
      </c>
      <c r="J118" s="10" t="s">
        <v>12</v>
      </c>
      <c r="K118" s="435">
        <f>L118+N118</f>
        <v>39.9</v>
      </c>
      <c r="L118" s="436">
        <v>39.9</v>
      </c>
      <c r="M118" s="436">
        <v>4.0999999999999996</v>
      </c>
      <c r="N118" s="437"/>
      <c r="O118" s="431">
        <f>P118+R118</f>
        <v>16.5</v>
      </c>
      <c r="P118" s="183">
        <v>16.5</v>
      </c>
      <c r="Q118" s="603"/>
      <c r="R118" s="616"/>
      <c r="S118" s="617"/>
      <c r="T118" s="618"/>
      <c r="U118" s="1148" t="s">
        <v>69</v>
      </c>
      <c r="V118" s="1142">
        <v>220</v>
      </c>
      <c r="W118" s="1142"/>
      <c r="X118" s="1144"/>
    </row>
    <row r="119" spans="1:24" s="11" customFormat="1" ht="21" customHeight="1">
      <c r="A119" s="1694"/>
      <c r="B119" s="1696"/>
      <c r="C119" s="1698"/>
      <c r="D119" s="1175"/>
      <c r="E119" s="1758"/>
      <c r="F119" s="1761"/>
      <c r="G119" s="2020"/>
      <c r="H119" s="1714"/>
      <c r="I119" s="2017"/>
      <c r="J119" s="22" t="s">
        <v>14</v>
      </c>
      <c r="K119" s="438">
        <f>L119</f>
        <v>206.1</v>
      </c>
      <c r="L119" s="439">
        <v>206.1</v>
      </c>
      <c r="M119" s="439">
        <v>9.9</v>
      </c>
      <c r="N119" s="440"/>
      <c r="O119" s="148">
        <f>P119+R119</f>
        <v>93.1</v>
      </c>
      <c r="P119" s="149">
        <v>93.1</v>
      </c>
      <c r="Q119" s="604"/>
      <c r="R119" s="619"/>
      <c r="S119" s="620"/>
      <c r="T119" s="621"/>
      <c r="U119" s="595"/>
      <c r="V119" s="648"/>
      <c r="W119" s="126"/>
      <c r="X119" s="241"/>
    </row>
    <row r="120" spans="1:24" s="11" customFormat="1" ht="21" customHeight="1" thickBot="1">
      <c r="A120" s="1695"/>
      <c r="B120" s="1697"/>
      <c r="C120" s="1699"/>
      <c r="D120" s="1176"/>
      <c r="E120" s="1759"/>
      <c r="F120" s="1762"/>
      <c r="G120" s="2021"/>
      <c r="H120" s="1715"/>
      <c r="I120" s="2018"/>
      <c r="J120" s="258" t="s">
        <v>15</v>
      </c>
      <c r="K120" s="518">
        <f t="shared" ref="K120:N120" si="24">K119+K118</f>
        <v>246</v>
      </c>
      <c r="L120" s="515">
        <f t="shared" si="24"/>
        <v>246</v>
      </c>
      <c r="M120" s="515">
        <f t="shared" si="24"/>
        <v>14</v>
      </c>
      <c r="N120" s="605">
        <f t="shared" si="24"/>
        <v>0</v>
      </c>
      <c r="O120" s="517">
        <f>O119+O118</f>
        <v>109.6</v>
      </c>
      <c r="P120" s="515">
        <f>P119+P118</f>
        <v>109.6</v>
      </c>
      <c r="Q120" s="515">
        <f t="shared" ref="Q120:T120" si="25">Q119+Q118</f>
        <v>0</v>
      </c>
      <c r="R120" s="605">
        <f t="shared" si="25"/>
        <v>0</v>
      </c>
      <c r="S120" s="518">
        <f t="shared" si="25"/>
        <v>0</v>
      </c>
      <c r="T120" s="514">
        <f t="shared" si="25"/>
        <v>0</v>
      </c>
      <c r="U120" s="647"/>
      <c r="V120" s="1143"/>
      <c r="W120" s="1143"/>
      <c r="X120" s="1145"/>
    </row>
    <row r="121" spans="1:24" s="2" customFormat="1" ht="27.75" customHeight="1">
      <c r="A121" s="1694" t="s">
        <v>8</v>
      </c>
      <c r="B121" s="1696" t="s">
        <v>10</v>
      </c>
      <c r="C121" s="1698" t="s">
        <v>9</v>
      </c>
      <c r="D121" s="1175"/>
      <c r="E121" s="1749" t="s">
        <v>162</v>
      </c>
      <c r="F121" s="1751"/>
      <c r="G121" s="2015" t="s">
        <v>8</v>
      </c>
      <c r="H121" s="1753" t="s">
        <v>53</v>
      </c>
      <c r="I121" s="2017" t="s">
        <v>76</v>
      </c>
      <c r="J121" s="22" t="s">
        <v>14</v>
      </c>
      <c r="K121" s="608">
        <f>L121+N121</f>
        <v>4</v>
      </c>
      <c r="L121" s="609">
        <v>4</v>
      </c>
      <c r="M121" s="610"/>
      <c r="N121" s="611"/>
      <c r="O121" s="612">
        <f>P121+R121</f>
        <v>3</v>
      </c>
      <c r="P121" s="613">
        <v>3</v>
      </c>
      <c r="Q121" s="503"/>
      <c r="R121" s="507"/>
      <c r="S121" s="165"/>
      <c r="T121" s="376"/>
      <c r="U121" s="1148" t="s">
        <v>273</v>
      </c>
      <c r="V121" s="1154">
        <v>1</v>
      </c>
      <c r="W121" s="1154"/>
      <c r="X121" s="1152"/>
    </row>
    <row r="122" spans="1:24" s="2" customFormat="1" ht="25.5" customHeight="1" thickBot="1">
      <c r="A122" s="1695"/>
      <c r="B122" s="1697"/>
      <c r="C122" s="1699"/>
      <c r="D122" s="1176"/>
      <c r="E122" s="1750"/>
      <c r="F122" s="1752"/>
      <c r="G122" s="2016"/>
      <c r="H122" s="1715"/>
      <c r="I122" s="2018"/>
      <c r="J122" s="220" t="s">
        <v>15</v>
      </c>
      <c r="K122" s="518">
        <f>L122+N122</f>
        <v>4</v>
      </c>
      <c r="L122" s="515">
        <f>L121</f>
        <v>4</v>
      </c>
      <c r="M122" s="515"/>
      <c r="N122" s="605"/>
      <c r="O122" s="517">
        <f>P122+R122</f>
        <v>3</v>
      </c>
      <c r="P122" s="515">
        <f>P121</f>
        <v>3</v>
      </c>
      <c r="Q122" s="515"/>
      <c r="R122" s="605"/>
      <c r="S122" s="516"/>
      <c r="T122" s="514"/>
      <c r="U122" s="1149"/>
      <c r="V122" s="1143"/>
      <c r="W122" s="1143"/>
      <c r="X122" s="1145"/>
    </row>
    <row r="123" spans="1:24" s="2" customFormat="1" ht="13.5" thickBot="1">
      <c r="A123" s="323" t="s">
        <v>8</v>
      </c>
      <c r="B123" s="9" t="s">
        <v>10</v>
      </c>
      <c r="C123" s="1683" t="s">
        <v>16</v>
      </c>
      <c r="D123" s="1684"/>
      <c r="E123" s="1684"/>
      <c r="F123" s="1684"/>
      <c r="G123" s="1684"/>
      <c r="H123" s="1684"/>
      <c r="I123" s="1684"/>
      <c r="J123" s="1684"/>
      <c r="K123" s="47">
        <f t="shared" ref="K123:T123" si="26">K122+K120</f>
        <v>250</v>
      </c>
      <c r="L123" s="47">
        <f t="shared" si="26"/>
        <v>250</v>
      </c>
      <c r="M123" s="47">
        <f t="shared" si="26"/>
        <v>14</v>
      </c>
      <c r="N123" s="47">
        <f t="shared" si="26"/>
        <v>0</v>
      </c>
      <c r="O123" s="47">
        <f t="shared" si="26"/>
        <v>112.6</v>
      </c>
      <c r="P123" s="47">
        <f t="shared" si="26"/>
        <v>112.6</v>
      </c>
      <c r="Q123" s="47">
        <f t="shared" si="26"/>
        <v>0</v>
      </c>
      <c r="R123" s="47">
        <f t="shared" si="26"/>
        <v>0</v>
      </c>
      <c r="S123" s="47">
        <f t="shared" si="26"/>
        <v>0</v>
      </c>
      <c r="T123" s="47">
        <f t="shared" si="26"/>
        <v>0</v>
      </c>
      <c r="U123" s="1685"/>
      <c r="V123" s="1686"/>
      <c r="W123" s="1686"/>
      <c r="X123" s="1687"/>
    </row>
    <row r="124" spans="1:24" s="2" customFormat="1" ht="15.75" customHeight="1" thickBot="1">
      <c r="A124" s="323" t="s">
        <v>8</v>
      </c>
      <c r="B124" s="24" t="s">
        <v>11</v>
      </c>
      <c r="C124" s="1688" t="s">
        <v>64</v>
      </c>
      <c r="D124" s="1689"/>
      <c r="E124" s="1689"/>
      <c r="F124" s="1689"/>
      <c r="G124" s="1689"/>
      <c r="H124" s="1689"/>
      <c r="I124" s="1689"/>
      <c r="J124" s="1689"/>
      <c r="K124" s="2022"/>
      <c r="L124" s="2022"/>
      <c r="M124" s="2022"/>
      <c r="N124" s="2022"/>
      <c r="O124" s="2022"/>
      <c r="P124" s="2022"/>
      <c r="Q124" s="2022"/>
      <c r="R124" s="2022"/>
      <c r="S124" s="1689"/>
      <c r="T124" s="1689"/>
      <c r="U124" s="1689"/>
      <c r="V124" s="1689"/>
      <c r="W124" s="1689"/>
      <c r="X124" s="1690"/>
    </row>
    <row r="125" spans="1:24" s="2" customFormat="1" ht="41.25" customHeight="1">
      <c r="A125" s="1129" t="s">
        <v>8</v>
      </c>
      <c r="B125" s="1130" t="s">
        <v>11</v>
      </c>
      <c r="C125" s="571" t="s">
        <v>8</v>
      </c>
      <c r="D125" s="1187"/>
      <c r="E125" s="370" t="s">
        <v>136</v>
      </c>
      <c r="F125" s="536"/>
      <c r="G125" s="539" t="s">
        <v>8</v>
      </c>
      <c r="H125" s="542" t="s">
        <v>53</v>
      </c>
      <c r="I125" s="1161" t="s">
        <v>135</v>
      </c>
      <c r="J125" s="144" t="s">
        <v>12</v>
      </c>
      <c r="K125" s="59"/>
      <c r="L125" s="60"/>
      <c r="M125" s="60"/>
      <c r="N125" s="95"/>
      <c r="O125" s="746"/>
      <c r="P125" s="190"/>
      <c r="Q125" s="191"/>
      <c r="R125" s="192"/>
      <c r="S125" s="163"/>
      <c r="T125" s="51"/>
      <c r="U125" s="441"/>
      <c r="V125" s="442"/>
      <c r="W125" s="136"/>
      <c r="X125" s="158"/>
    </row>
    <row r="126" spans="1:24" s="2" customFormat="1" ht="26.25" customHeight="1">
      <c r="A126" s="1115"/>
      <c r="B126" s="1117"/>
      <c r="C126" s="572"/>
      <c r="D126" s="1126" t="s">
        <v>8</v>
      </c>
      <c r="E126" s="1137" t="s">
        <v>190</v>
      </c>
      <c r="F126" s="537"/>
      <c r="G126" s="540"/>
      <c r="H126" s="543"/>
      <c r="I126" s="1162"/>
      <c r="J126" s="20" t="s">
        <v>12</v>
      </c>
      <c r="K126" s="511">
        <f>L126</f>
        <v>516.9</v>
      </c>
      <c r="L126" s="439">
        <v>516.9</v>
      </c>
      <c r="M126" s="439"/>
      <c r="N126" s="440"/>
      <c r="O126" s="879">
        <f>P126</f>
        <v>800.7</v>
      </c>
      <c r="P126" s="1381">
        <f>408.3+392.4</f>
        <v>800.7</v>
      </c>
      <c r="Q126" s="881"/>
      <c r="R126" s="882"/>
      <c r="S126" s="622"/>
      <c r="T126" s="376"/>
      <c r="U126" s="495" t="s">
        <v>276</v>
      </c>
      <c r="V126" s="281">
        <v>542.25</v>
      </c>
      <c r="W126" s="496"/>
      <c r="X126" s="282"/>
    </row>
    <row r="127" spans="1:24" s="2" customFormat="1" ht="27.75" customHeight="1">
      <c r="A127" s="1131"/>
      <c r="B127" s="1132"/>
      <c r="C127" s="725"/>
      <c r="D127" s="1188" t="s">
        <v>9</v>
      </c>
      <c r="E127" s="1137" t="s">
        <v>214</v>
      </c>
      <c r="F127" s="538"/>
      <c r="G127" s="541"/>
      <c r="H127" s="544"/>
      <c r="I127" s="520"/>
      <c r="J127" s="20" t="s">
        <v>12</v>
      </c>
      <c r="K127" s="511">
        <f>L127+N127</f>
        <v>159.1</v>
      </c>
      <c r="L127" s="439">
        <v>159.1</v>
      </c>
      <c r="M127" s="439"/>
      <c r="N127" s="440"/>
      <c r="O127" s="879">
        <f>P127+R127</f>
        <v>181</v>
      </c>
      <c r="P127" s="880"/>
      <c r="Q127" s="881"/>
      <c r="R127" s="882">
        <v>181</v>
      </c>
      <c r="S127" s="622"/>
      <c r="T127" s="376"/>
      <c r="U127" s="128" t="s">
        <v>297</v>
      </c>
      <c r="V127" s="205">
        <v>268</v>
      </c>
      <c r="W127" s="129"/>
      <c r="X127" s="177"/>
    </row>
    <row r="128" spans="1:24" s="2" customFormat="1" ht="22.5" customHeight="1">
      <c r="A128" s="1115"/>
      <c r="B128" s="1117"/>
      <c r="C128" s="572"/>
      <c r="D128" s="1128" t="s">
        <v>10</v>
      </c>
      <c r="E128" s="724" t="s">
        <v>192</v>
      </c>
      <c r="F128" s="537"/>
      <c r="G128" s="540"/>
      <c r="H128" s="543"/>
      <c r="I128" s="1162"/>
      <c r="J128" s="20" t="s">
        <v>12</v>
      </c>
      <c r="K128" s="511"/>
      <c r="L128" s="439"/>
      <c r="M128" s="439"/>
      <c r="N128" s="440"/>
      <c r="O128" s="747">
        <f>R128</f>
        <v>286.5</v>
      </c>
      <c r="P128" s="193"/>
      <c r="Q128" s="194"/>
      <c r="R128" s="195">
        <v>286.5</v>
      </c>
      <c r="S128" s="622"/>
      <c r="T128" s="376"/>
      <c r="U128" s="495" t="s">
        <v>298</v>
      </c>
      <c r="V128" s="281">
        <v>691</v>
      </c>
      <c r="W128" s="126"/>
      <c r="X128" s="241"/>
    </row>
    <row r="129" spans="1:24" s="2" customFormat="1" ht="24.75" customHeight="1">
      <c r="A129" s="1115"/>
      <c r="B129" s="1117"/>
      <c r="C129" s="572"/>
      <c r="D129" s="1175" t="s">
        <v>11</v>
      </c>
      <c r="E129" s="1691" t="s">
        <v>191</v>
      </c>
      <c r="F129" s="537"/>
      <c r="G129" s="540"/>
      <c r="H129" s="543"/>
      <c r="I129" s="1162"/>
      <c r="J129" s="394" t="s">
        <v>12</v>
      </c>
      <c r="K129" s="511"/>
      <c r="L129" s="439"/>
      <c r="M129" s="439"/>
      <c r="N129" s="440"/>
      <c r="O129" s="438">
        <f t="shared" ref="O129:O131" si="27">+P129+R129</f>
        <v>12</v>
      </c>
      <c r="P129" s="439">
        <v>12</v>
      </c>
      <c r="Q129" s="194"/>
      <c r="R129" s="195"/>
      <c r="S129" s="623"/>
      <c r="T129" s="624"/>
      <c r="U129" s="383" t="s">
        <v>299</v>
      </c>
      <c r="V129" s="457">
        <v>245</v>
      </c>
      <c r="W129" s="102"/>
      <c r="X129" s="103"/>
    </row>
    <row r="130" spans="1:24" s="2" customFormat="1" ht="27.75" customHeight="1">
      <c r="A130" s="1115"/>
      <c r="B130" s="1117"/>
      <c r="C130" s="572"/>
      <c r="D130" s="1175"/>
      <c r="E130" s="1692"/>
      <c r="F130" s="537"/>
      <c r="G130" s="540"/>
      <c r="H130" s="543"/>
      <c r="I130" s="1162"/>
      <c r="J130" s="400" t="s">
        <v>12</v>
      </c>
      <c r="K130" s="511"/>
      <c r="L130" s="439"/>
      <c r="M130" s="439"/>
      <c r="N130" s="440"/>
      <c r="O130" s="438">
        <f t="shared" si="27"/>
        <v>21</v>
      </c>
      <c r="P130" s="439">
        <v>21</v>
      </c>
      <c r="Q130" s="194"/>
      <c r="R130" s="195"/>
      <c r="S130" s="625"/>
      <c r="T130" s="491"/>
      <c r="U130" s="434" t="s">
        <v>300</v>
      </c>
      <c r="V130" s="427">
        <v>300</v>
      </c>
      <c r="W130" s="459"/>
      <c r="X130" s="460"/>
    </row>
    <row r="131" spans="1:24" s="2" customFormat="1" ht="25.5" customHeight="1">
      <c r="A131" s="1115"/>
      <c r="B131" s="1117"/>
      <c r="C131" s="572"/>
      <c r="D131" s="1188"/>
      <c r="E131" s="1693"/>
      <c r="F131" s="537"/>
      <c r="G131" s="540"/>
      <c r="H131" s="543"/>
      <c r="I131" s="1162"/>
      <c r="J131" s="20" t="s">
        <v>12</v>
      </c>
      <c r="K131" s="511"/>
      <c r="L131" s="439"/>
      <c r="M131" s="439"/>
      <c r="N131" s="440"/>
      <c r="O131" s="438">
        <f t="shared" si="27"/>
        <v>36</v>
      </c>
      <c r="P131" s="439">
        <f>30+6</f>
        <v>36</v>
      </c>
      <c r="Q131" s="194"/>
      <c r="R131" s="195"/>
      <c r="S131" s="622"/>
      <c r="T131" s="376"/>
      <c r="U131" s="495" t="s">
        <v>301</v>
      </c>
      <c r="V131" s="281">
        <v>700</v>
      </c>
      <c r="W131" s="496"/>
      <c r="X131" s="282"/>
    </row>
    <row r="132" spans="1:24" s="2" customFormat="1" ht="38.25" customHeight="1">
      <c r="A132" s="1115"/>
      <c r="B132" s="1117"/>
      <c r="C132" s="572"/>
      <c r="D132" s="1128" t="s">
        <v>32</v>
      </c>
      <c r="E132" s="926" t="s">
        <v>244</v>
      </c>
      <c r="F132" s="537"/>
      <c r="G132" s="540"/>
      <c r="H132" s="543"/>
      <c r="I132" s="1162"/>
      <c r="J132" s="20" t="s">
        <v>12</v>
      </c>
      <c r="K132" s="511"/>
      <c r="L132" s="439"/>
      <c r="M132" s="439"/>
      <c r="N132" s="440"/>
      <c r="O132" s="747">
        <f>P132</f>
        <v>47.3</v>
      </c>
      <c r="P132" s="193">
        <v>47.3</v>
      </c>
      <c r="Q132" s="194"/>
      <c r="R132" s="195"/>
      <c r="S132" s="622"/>
      <c r="T132" s="376"/>
      <c r="U132" s="495" t="s">
        <v>302</v>
      </c>
      <c r="V132" s="281">
        <v>431</v>
      </c>
      <c r="W132" s="496"/>
      <c r="X132" s="282"/>
    </row>
    <row r="133" spans="1:24" s="2" customFormat="1" ht="40.5" customHeight="1">
      <c r="A133" s="1115"/>
      <c r="B133" s="1117"/>
      <c r="C133" s="572"/>
      <c r="D133" s="1188" t="s">
        <v>34</v>
      </c>
      <c r="E133" s="1138" t="s">
        <v>245</v>
      </c>
      <c r="F133" s="538"/>
      <c r="G133" s="541"/>
      <c r="H133" s="544"/>
      <c r="I133" s="520"/>
      <c r="J133" s="20" t="s">
        <v>12</v>
      </c>
      <c r="K133" s="511">
        <f>L133</f>
        <v>38.6</v>
      </c>
      <c r="L133" s="439">
        <v>38.6</v>
      </c>
      <c r="M133" s="439"/>
      <c r="N133" s="440"/>
      <c r="O133" s="747">
        <f>P133+R133</f>
        <v>69.7</v>
      </c>
      <c r="P133" s="193">
        <v>0</v>
      </c>
      <c r="Q133" s="194"/>
      <c r="R133" s="195">
        <v>69.7</v>
      </c>
      <c r="S133" s="622"/>
      <c r="T133" s="376"/>
      <c r="U133" s="495" t="s">
        <v>303</v>
      </c>
      <c r="V133" s="281">
        <v>309</v>
      </c>
      <c r="W133" s="496"/>
      <c r="X133" s="282"/>
    </row>
    <row r="134" spans="1:24" s="2" customFormat="1" ht="15" customHeight="1" thickBot="1">
      <c r="A134" s="322"/>
      <c r="B134" s="202"/>
      <c r="C134" s="339"/>
      <c r="D134" s="339"/>
      <c r="E134" s="339"/>
      <c r="F134" s="339"/>
      <c r="G134" s="339"/>
      <c r="H134" s="339"/>
      <c r="I134" s="1996"/>
      <c r="J134" s="1997"/>
      <c r="K134" s="743">
        <f t="shared" ref="K134:T134" si="28">SUM(K126:K133)</f>
        <v>714.6</v>
      </c>
      <c r="L134" s="744">
        <f t="shared" si="28"/>
        <v>714.6</v>
      </c>
      <c r="M134" s="744">
        <f t="shared" si="28"/>
        <v>0</v>
      </c>
      <c r="N134" s="745">
        <f t="shared" si="28"/>
        <v>0</v>
      </c>
      <c r="O134" s="748">
        <f t="shared" si="28"/>
        <v>1454.2</v>
      </c>
      <c r="P134" s="744">
        <f t="shared" si="28"/>
        <v>917</v>
      </c>
      <c r="Q134" s="744">
        <f t="shared" si="28"/>
        <v>0</v>
      </c>
      <c r="R134" s="745">
        <f t="shared" si="28"/>
        <v>537.20000000000005</v>
      </c>
      <c r="S134" s="626">
        <f t="shared" si="28"/>
        <v>0</v>
      </c>
      <c r="T134" s="626">
        <f t="shared" si="28"/>
        <v>0</v>
      </c>
      <c r="U134" s="366"/>
      <c r="V134" s="461"/>
      <c r="W134" s="461"/>
      <c r="X134" s="367"/>
    </row>
    <row r="135" spans="1:24" s="2" customFormat="1" ht="20.25" customHeight="1">
      <c r="A135" s="1694" t="s">
        <v>8</v>
      </c>
      <c r="B135" s="1696" t="s">
        <v>11</v>
      </c>
      <c r="C135" s="1698" t="s">
        <v>9</v>
      </c>
      <c r="D135" s="1175"/>
      <c r="E135" s="1700" t="s">
        <v>111</v>
      </c>
      <c r="F135" s="1703" t="s">
        <v>74</v>
      </c>
      <c r="G135" s="2003" t="s">
        <v>8</v>
      </c>
      <c r="H135" s="1705" t="s">
        <v>54</v>
      </c>
      <c r="I135" s="1998" t="s">
        <v>128</v>
      </c>
      <c r="J135" s="111" t="s">
        <v>12</v>
      </c>
      <c r="K135" s="606">
        <f>L135+N135</f>
        <v>74.900000000000006</v>
      </c>
      <c r="L135" s="120"/>
      <c r="M135" s="120"/>
      <c r="N135" s="627">
        <v>74.900000000000006</v>
      </c>
      <c r="O135" s="458">
        <f>P135+R135</f>
        <v>74.900000000000006</v>
      </c>
      <c r="P135" s="120"/>
      <c r="Q135" s="120"/>
      <c r="R135" s="607">
        <v>74.900000000000006</v>
      </c>
      <c r="S135" s="628">
        <v>16.100000000000001</v>
      </c>
      <c r="T135" s="165"/>
      <c r="U135" s="290" t="s">
        <v>151</v>
      </c>
      <c r="V135" s="772">
        <v>1</v>
      </c>
      <c r="W135" s="1193"/>
      <c r="X135" s="289"/>
    </row>
    <row r="136" spans="1:24" s="2" customFormat="1" ht="16.5" customHeight="1">
      <c r="A136" s="1694"/>
      <c r="B136" s="1696"/>
      <c r="C136" s="1698"/>
      <c r="D136" s="1175"/>
      <c r="E136" s="1701"/>
      <c r="F136" s="1703"/>
      <c r="G136" s="2003"/>
      <c r="H136" s="1705"/>
      <c r="I136" s="1998"/>
      <c r="J136" s="111" t="s">
        <v>112</v>
      </c>
      <c r="K136" s="606">
        <f>L136+N136</f>
        <v>290.89999999999998</v>
      </c>
      <c r="L136" s="120"/>
      <c r="M136" s="120"/>
      <c r="N136" s="627">
        <v>290.89999999999998</v>
      </c>
      <c r="O136" s="458">
        <f>P136+R136</f>
        <v>290.89999999999998</v>
      </c>
      <c r="P136" s="120"/>
      <c r="Q136" s="120"/>
      <c r="R136" s="607">
        <v>290.89999999999998</v>
      </c>
      <c r="S136" s="629">
        <v>442.3</v>
      </c>
      <c r="T136" s="165"/>
      <c r="U136" s="1707" t="s">
        <v>211</v>
      </c>
      <c r="V136" s="773">
        <v>40</v>
      </c>
      <c r="W136" s="638">
        <v>100</v>
      </c>
      <c r="X136" s="598"/>
    </row>
    <row r="137" spans="1:24" s="2" customFormat="1" ht="17.25" customHeight="1" thickBot="1">
      <c r="A137" s="1695"/>
      <c r="B137" s="1697"/>
      <c r="C137" s="1699"/>
      <c r="D137" s="1176"/>
      <c r="E137" s="1702"/>
      <c r="F137" s="1704"/>
      <c r="G137" s="2014"/>
      <c r="H137" s="1706"/>
      <c r="I137" s="1999"/>
      <c r="J137" s="220" t="s">
        <v>15</v>
      </c>
      <c r="K137" s="518">
        <f>K136+K135</f>
        <v>365.8</v>
      </c>
      <c r="L137" s="518">
        <f t="shared" ref="L137:T137" si="29">L136+L135</f>
        <v>0</v>
      </c>
      <c r="M137" s="518">
        <f t="shared" si="29"/>
        <v>0</v>
      </c>
      <c r="N137" s="516">
        <f t="shared" si="29"/>
        <v>365.8</v>
      </c>
      <c r="O137" s="517">
        <f>O136+O135</f>
        <v>365.8</v>
      </c>
      <c r="P137" s="518">
        <f t="shared" si="29"/>
        <v>0</v>
      </c>
      <c r="Q137" s="518">
        <f t="shared" si="29"/>
        <v>0</v>
      </c>
      <c r="R137" s="519">
        <f t="shared" si="29"/>
        <v>365.8</v>
      </c>
      <c r="S137" s="224">
        <f>S136+S135</f>
        <v>458.4</v>
      </c>
      <c r="T137" s="518">
        <f t="shared" si="29"/>
        <v>0</v>
      </c>
      <c r="U137" s="1708"/>
      <c r="V137" s="274"/>
      <c r="W137" s="274"/>
      <c r="X137" s="1156"/>
    </row>
    <row r="138" spans="1:24" s="2" customFormat="1" ht="15.75" customHeight="1">
      <c r="A138" s="1754" t="s">
        <v>8</v>
      </c>
      <c r="B138" s="1755" t="s">
        <v>11</v>
      </c>
      <c r="C138" s="1810" t="s">
        <v>10</v>
      </c>
      <c r="D138" s="1187"/>
      <c r="E138" s="1700" t="s">
        <v>104</v>
      </c>
      <c r="F138" s="2001"/>
      <c r="G138" s="2002" t="s">
        <v>8</v>
      </c>
      <c r="H138" s="2004" t="s">
        <v>54</v>
      </c>
      <c r="I138" s="2005" t="s">
        <v>128</v>
      </c>
      <c r="J138" s="10" t="s">
        <v>12</v>
      </c>
      <c r="K138" s="435">
        <f>L138+N138</f>
        <v>4.0999999999999996</v>
      </c>
      <c r="L138" s="436">
        <v>2.7</v>
      </c>
      <c r="M138" s="436">
        <v>0.5</v>
      </c>
      <c r="N138" s="437">
        <v>1.4</v>
      </c>
      <c r="O138" s="168"/>
      <c r="P138" s="169"/>
      <c r="Q138" s="170"/>
      <c r="R138" s="171"/>
      <c r="S138" s="672"/>
      <c r="T138" s="376"/>
      <c r="U138" s="273"/>
      <c r="V138" s="266"/>
      <c r="W138" s="267"/>
      <c r="X138" s="268"/>
    </row>
    <row r="139" spans="1:24" s="2" customFormat="1" ht="15" customHeight="1">
      <c r="A139" s="1694"/>
      <c r="B139" s="1696"/>
      <c r="C139" s="1822"/>
      <c r="D139" s="1175"/>
      <c r="E139" s="1701"/>
      <c r="F139" s="1703"/>
      <c r="G139" s="2003"/>
      <c r="H139" s="1705"/>
      <c r="I139" s="1998"/>
      <c r="J139" s="12" t="s">
        <v>14</v>
      </c>
      <c r="K139" s="438">
        <f>L139+N139</f>
        <v>36.299999999999997</v>
      </c>
      <c r="L139" s="439">
        <v>23.7</v>
      </c>
      <c r="M139" s="439">
        <v>4.3</v>
      </c>
      <c r="N139" s="440">
        <v>12.6</v>
      </c>
      <c r="O139" s="172"/>
      <c r="P139" s="173"/>
      <c r="Q139" s="174"/>
      <c r="R139" s="175"/>
      <c r="S139" s="672"/>
      <c r="T139" s="376"/>
      <c r="U139" s="2006"/>
      <c r="V139" s="2008"/>
      <c r="W139" s="2010"/>
      <c r="X139" s="2012"/>
    </row>
    <row r="140" spans="1:24" s="2" customFormat="1" ht="16.5" customHeight="1" thickBot="1">
      <c r="A140" s="1115"/>
      <c r="B140" s="1117"/>
      <c r="C140" s="1119"/>
      <c r="D140" s="1175"/>
      <c r="E140" s="1701"/>
      <c r="F140" s="1122"/>
      <c r="G140" s="1160"/>
      <c r="H140" s="1123"/>
      <c r="I140" s="1169"/>
      <c r="J140" s="375" t="s">
        <v>15</v>
      </c>
      <c r="K140" s="630">
        <f>SUM(K138:K139)</f>
        <v>40.4</v>
      </c>
      <c r="L140" s="631">
        <f t="shared" ref="L140:N140" si="30">SUM(L138:L139)</f>
        <v>26.4</v>
      </c>
      <c r="M140" s="631">
        <f t="shared" si="30"/>
        <v>4.8</v>
      </c>
      <c r="N140" s="632">
        <f t="shared" si="30"/>
        <v>14</v>
      </c>
      <c r="O140" s="630"/>
      <c r="P140" s="631"/>
      <c r="Q140" s="631"/>
      <c r="R140" s="633"/>
      <c r="S140" s="673"/>
      <c r="T140" s="634"/>
      <c r="U140" s="2007"/>
      <c r="V140" s="2009"/>
      <c r="W140" s="2011"/>
      <c r="X140" s="2013"/>
    </row>
    <row r="141" spans="1:24" s="2" customFormat="1" ht="15.75" customHeight="1" thickBot="1">
      <c r="A141" s="323" t="s">
        <v>8</v>
      </c>
      <c r="B141" s="9" t="s">
        <v>11</v>
      </c>
      <c r="C141" s="1683" t="s">
        <v>16</v>
      </c>
      <c r="D141" s="1684"/>
      <c r="E141" s="1684"/>
      <c r="F141" s="1684"/>
      <c r="G141" s="1684"/>
      <c r="H141" s="1684"/>
      <c r="I141" s="1684"/>
      <c r="J141" s="1684"/>
      <c r="K141" s="13">
        <f>K140+K137+K134</f>
        <v>1120.8</v>
      </c>
      <c r="L141" s="13">
        <f t="shared" ref="L141:R141" si="31">L140+L137+L134</f>
        <v>741</v>
      </c>
      <c r="M141" s="13">
        <f t="shared" si="31"/>
        <v>4.8</v>
      </c>
      <c r="N141" s="13">
        <f t="shared" si="31"/>
        <v>379.8</v>
      </c>
      <c r="O141" s="13">
        <f t="shared" si="31"/>
        <v>1820</v>
      </c>
      <c r="P141" s="13">
        <f t="shared" si="31"/>
        <v>917</v>
      </c>
      <c r="Q141" s="13">
        <f t="shared" si="31"/>
        <v>0</v>
      </c>
      <c r="R141" s="13">
        <f t="shared" si="31"/>
        <v>903</v>
      </c>
      <c r="S141" s="674">
        <f>S140+S137+S134</f>
        <v>458.4</v>
      </c>
      <c r="T141" s="13">
        <f>T140+T137+T134</f>
        <v>0</v>
      </c>
      <c r="U141" s="1685"/>
      <c r="V141" s="1686"/>
      <c r="W141" s="1686"/>
      <c r="X141" s="1687"/>
    </row>
    <row r="142" spans="1:24" s="11" customFormat="1" ht="15.75" customHeight="1" thickBot="1">
      <c r="A142" s="323" t="s">
        <v>8</v>
      </c>
      <c r="B142" s="1727" t="s">
        <v>18</v>
      </c>
      <c r="C142" s="1728"/>
      <c r="D142" s="1728"/>
      <c r="E142" s="1728"/>
      <c r="F142" s="1728"/>
      <c r="G142" s="1728"/>
      <c r="H142" s="1728"/>
      <c r="I142" s="1728"/>
      <c r="J142" s="1729"/>
      <c r="K142" s="635">
        <f t="shared" ref="K142:T142" si="32">K141+K123+K116+K89</f>
        <v>40659.699999999997</v>
      </c>
      <c r="L142" s="635">
        <f t="shared" si="32"/>
        <v>28964.799999999999</v>
      </c>
      <c r="M142" s="635">
        <f t="shared" si="32"/>
        <v>13547.7</v>
      </c>
      <c r="N142" s="635">
        <f t="shared" si="32"/>
        <v>11694.9</v>
      </c>
      <c r="O142" s="635">
        <f t="shared" si="32"/>
        <v>47683.9</v>
      </c>
      <c r="P142" s="635">
        <f t="shared" si="32"/>
        <v>33775.800000000003</v>
      </c>
      <c r="Q142" s="635">
        <f t="shared" si="32"/>
        <v>13367.5</v>
      </c>
      <c r="R142" s="635">
        <f t="shared" si="32"/>
        <v>13908.1</v>
      </c>
      <c r="S142" s="675">
        <f t="shared" si="32"/>
        <v>43548.6</v>
      </c>
      <c r="T142" s="635">
        <f t="shared" si="32"/>
        <v>40370.300000000003</v>
      </c>
      <c r="U142" s="1730"/>
      <c r="V142" s="1731"/>
      <c r="W142" s="1731"/>
      <c r="X142" s="1732"/>
    </row>
    <row r="143" spans="1:24" s="11" customFormat="1" ht="15.75" customHeight="1" thickBot="1">
      <c r="A143" s="104" t="s">
        <v>10</v>
      </c>
      <c r="B143" s="1733" t="s">
        <v>17</v>
      </c>
      <c r="C143" s="1733"/>
      <c r="D143" s="1733"/>
      <c r="E143" s="1733"/>
      <c r="F143" s="1733"/>
      <c r="G143" s="1733"/>
      <c r="H143" s="1733"/>
      <c r="I143" s="1733"/>
      <c r="J143" s="1734"/>
      <c r="K143" s="636">
        <f t="shared" ref="K143:T143" si="33">K142</f>
        <v>40659.699999999997</v>
      </c>
      <c r="L143" s="636">
        <f t="shared" si="33"/>
        <v>28964.799999999999</v>
      </c>
      <c r="M143" s="636">
        <f t="shared" si="33"/>
        <v>13547.7</v>
      </c>
      <c r="N143" s="637">
        <f t="shared" si="33"/>
        <v>11694.9</v>
      </c>
      <c r="O143" s="636">
        <f t="shared" si="33"/>
        <v>47683.9</v>
      </c>
      <c r="P143" s="636">
        <f t="shared" si="33"/>
        <v>33775.800000000003</v>
      </c>
      <c r="Q143" s="636">
        <f t="shared" si="33"/>
        <v>13367.5</v>
      </c>
      <c r="R143" s="637">
        <f t="shared" si="33"/>
        <v>13908.1</v>
      </c>
      <c r="S143" s="637">
        <f>S142</f>
        <v>43548.6</v>
      </c>
      <c r="T143" s="636">
        <f t="shared" si="33"/>
        <v>40370.300000000003</v>
      </c>
      <c r="U143" s="1735"/>
      <c r="V143" s="1736"/>
      <c r="W143" s="1736"/>
      <c r="X143" s="1737"/>
    </row>
    <row r="144" spans="1:24" s="110" customFormat="1" ht="29.25" customHeight="1">
      <c r="A144" s="2000"/>
      <c r="B144" s="2000"/>
      <c r="C144" s="2000"/>
      <c r="D144" s="2000"/>
      <c r="E144" s="2000"/>
      <c r="F144" s="2000"/>
      <c r="G144" s="2000"/>
      <c r="H144" s="2000"/>
      <c r="I144" s="2000"/>
      <c r="J144" s="2000"/>
      <c r="K144" s="2000"/>
      <c r="L144" s="2000"/>
      <c r="M144" s="2000"/>
      <c r="N144" s="2000"/>
      <c r="O144" s="2000"/>
      <c r="P144" s="2000"/>
      <c r="Q144" s="2000"/>
      <c r="R144" s="2000"/>
      <c r="S144" s="2000"/>
      <c r="T144" s="2000"/>
      <c r="U144" s="2000"/>
      <c r="V144" s="2000"/>
      <c r="W144" s="2000"/>
      <c r="X144" s="2000"/>
    </row>
    <row r="145" spans="1:24" s="110" customFormat="1" ht="14.25" customHeight="1">
      <c r="A145" s="1744"/>
      <c r="B145" s="1744"/>
      <c r="C145" s="1744"/>
      <c r="D145" s="1744"/>
      <c r="E145" s="1744"/>
      <c r="F145" s="1744"/>
      <c r="G145" s="1744"/>
      <c r="H145" s="1744"/>
      <c r="I145" s="1744"/>
      <c r="J145" s="1744"/>
      <c r="K145" s="1744"/>
      <c r="L145" s="1744"/>
      <c r="M145" s="1744"/>
      <c r="N145" s="1744"/>
      <c r="O145" s="1744"/>
      <c r="P145" s="1744"/>
      <c r="Q145" s="1744"/>
      <c r="R145" s="1744"/>
      <c r="S145" s="1744"/>
      <c r="T145" s="1744"/>
      <c r="U145" s="1744"/>
      <c r="V145" s="1744"/>
      <c r="W145" s="1744"/>
      <c r="X145" s="1744"/>
    </row>
    <row r="146" spans="1:24" s="11" customFormat="1" ht="15.75" customHeight="1">
      <c r="A146" s="26"/>
      <c r="B146" s="7"/>
      <c r="C146" s="1745" t="s">
        <v>23</v>
      </c>
      <c r="D146" s="1745"/>
      <c r="E146" s="1745"/>
      <c r="F146" s="1745"/>
      <c r="G146" s="1745"/>
      <c r="H146" s="1745"/>
      <c r="I146" s="1745"/>
      <c r="J146" s="1745"/>
      <c r="K146" s="1745"/>
      <c r="L146" s="1745"/>
      <c r="M146" s="1745"/>
      <c r="N146" s="1745"/>
      <c r="O146" s="1745"/>
      <c r="P146" s="1745"/>
      <c r="Q146" s="1745"/>
      <c r="R146" s="1745"/>
      <c r="S146" s="1745"/>
      <c r="T146" s="1745"/>
      <c r="U146" s="18"/>
      <c r="V146" s="80"/>
      <c r="W146" s="80"/>
      <c r="X146" s="80"/>
    </row>
    <row r="147" spans="1:24" s="11" customFormat="1" ht="13.5" thickBot="1">
      <c r="A147" s="26"/>
      <c r="B147" s="25"/>
      <c r="C147" s="25"/>
      <c r="D147" s="25"/>
      <c r="E147" s="25"/>
      <c r="F147" s="31"/>
      <c r="G147" s="25"/>
      <c r="H147" s="90"/>
      <c r="I147" s="25"/>
      <c r="P147" s="18"/>
      <c r="S147" s="16"/>
      <c r="T147" s="16"/>
      <c r="U147" s="18"/>
      <c r="V147" s="80"/>
      <c r="W147" s="80"/>
      <c r="X147" s="80"/>
    </row>
    <row r="148" spans="1:24" s="11" customFormat="1" ht="42.75" customHeight="1" thickBot="1">
      <c r="A148" s="2"/>
      <c r="B148" s="2"/>
      <c r="C148" s="1746" t="s">
        <v>19</v>
      </c>
      <c r="D148" s="1747"/>
      <c r="E148" s="1747"/>
      <c r="F148" s="1747"/>
      <c r="G148" s="1747"/>
      <c r="H148" s="1747"/>
      <c r="I148" s="1747"/>
      <c r="J148" s="1748"/>
      <c r="K148" s="1993" t="s">
        <v>170</v>
      </c>
      <c r="L148" s="1994"/>
      <c r="M148" s="1994"/>
      <c r="N148" s="1995"/>
      <c r="O148" s="1993" t="s">
        <v>171</v>
      </c>
      <c r="P148" s="1994"/>
      <c r="Q148" s="1994"/>
      <c r="R148" s="1995"/>
      <c r="S148" s="69" t="s">
        <v>175</v>
      </c>
      <c r="T148" s="69" t="s">
        <v>176</v>
      </c>
      <c r="V148" s="80"/>
      <c r="W148" s="80"/>
      <c r="X148" s="80"/>
    </row>
    <row r="149" spans="1:24" s="11" customFormat="1">
      <c r="A149" s="2"/>
      <c r="B149" s="2"/>
      <c r="C149" s="1738" t="s">
        <v>24</v>
      </c>
      <c r="D149" s="1986"/>
      <c r="E149" s="1739"/>
      <c r="F149" s="1739"/>
      <c r="G149" s="1739"/>
      <c r="H149" s="1739"/>
      <c r="I149" s="1740"/>
      <c r="J149" s="1740"/>
      <c r="K149" s="1987">
        <f>K150+K155+K156+K157</f>
        <v>40022.400000000001</v>
      </c>
      <c r="L149" s="1988"/>
      <c r="M149" s="1988"/>
      <c r="N149" s="1989"/>
      <c r="O149" s="1987">
        <f>O150+O155+O156+O157</f>
        <v>46577.7</v>
      </c>
      <c r="P149" s="1988"/>
      <c r="Q149" s="1988"/>
      <c r="R149" s="1989"/>
      <c r="S149" s="1164">
        <f>S150+S155+S156+S157</f>
        <v>43076.3</v>
      </c>
      <c r="T149" s="138">
        <f>T150+T155+T156+T157</f>
        <v>40340.300000000003</v>
      </c>
      <c r="U149" s="32"/>
      <c r="V149" s="71"/>
      <c r="W149" s="71"/>
      <c r="X149" s="71"/>
    </row>
    <row r="150" spans="1:24" s="11" customFormat="1">
      <c r="A150" s="2"/>
      <c r="B150" s="2"/>
      <c r="C150" s="1741" t="s">
        <v>31</v>
      </c>
      <c r="D150" s="1742"/>
      <c r="E150" s="1742"/>
      <c r="F150" s="1742"/>
      <c r="G150" s="1742"/>
      <c r="H150" s="1742"/>
      <c r="I150" s="1742"/>
      <c r="J150" s="1743"/>
      <c r="K150" s="1990">
        <f>K151+K152+K153+K154</f>
        <v>35883.9</v>
      </c>
      <c r="L150" s="1991"/>
      <c r="M150" s="1991"/>
      <c r="N150" s="1992"/>
      <c r="O150" s="1990">
        <f>O151+O152+O153+O154</f>
        <v>42488.1</v>
      </c>
      <c r="P150" s="1991"/>
      <c r="Q150" s="1991"/>
      <c r="R150" s="1992"/>
      <c r="S150" s="1167">
        <f>S151+S152+S153+S154</f>
        <v>39558.300000000003</v>
      </c>
      <c r="T150" s="242">
        <f>T151+T152+T153+T154</f>
        <v>36831.300000000003</v>
      </c>
      <c r="U150" s="32"/>
      <c r="V150" s="71"/>
      <c r="W150" s="71"/>
      <c r="X150" s="71"/>
    </row>
    <row r="151" spans="1:24" s="11" customFormat="1">
      <c r="A151" s="2"/>
      <c r="B151" s="2"/>
      <c r="C151" s="1677" t="s">
        <v>56</v>
      </c>
      <c r="D151" s="1973"/>
      <c r="E151" s="1678"/>
      <c r="F151" s="1678"/>
      <c r="G151" s="1678"/>
      <c r="H151" s="1678"/>
      <c r="I151" s="1679"/>
      <c r="J151" s="1679"/>
      <c r="K151" s="1964">
        <f>SUMIF(J11:J143,"SB",K11:K143)</f>
        <v>35643.699999999997</v>
      </c>
      <c r="L151" s="1965"/>
      <c r="M151" s="1965"/>
      <c r="N151" s="1966"/>
      <c r="O151" s="1964">
        <f>SUMIF(J12:J143,"SB",O12:O143)</f>
        <v>42394.6</v>
      </c>
      <c r="P151" s="1965"/>
      <c r="Q151" s="1965"/>
      <c r="R151" s="1966"/>
      <c r="S151" s="1166">
        <f>SUMIF(J13:J143,"sb",S13:S143)</f>
        <v>39465.699999999997</v>
      </c>
      <c r="T151" s="70">
        <f>SUMIF(J13:J143,"sb",T13:T143)</f>
        <v>36738.699999999997</v>
      </c>
      <c r="U151" s="66"/>
      <c r="V151" s="81"/>
      <c r="W151" s="81"/>
      <c r="X151" s="81"/>
    </row>
    <row r="152" spans="1:24" s="11" customFormat="1" ht="14.25" customHeight="1">
      <c r="A152" s="2"/>
      <c r="B152" s="2"/>
      <c r="C152" s="1680" t="s">
        <v>131</v>
      </c>
      <c r="D152" s="1681"/>
      <c r="E152" s="1681"/>
      <c r="F152" s="1681"/>
      <c r="G152" s="1681"/>
      <c r="H152" s="1681"/>
      <c r="I152" s="1681"/>
      <c r="J152" s="1682"/>
      <c r="K152" s="1964">
        <f>SUMIF(J11:J144,"SB(VR)",K11:K144)</f>
        <v>81</v>
      </c>
      <c r="L152" s="1965"/>
      <c r="M152" s="1965"/>
      <c r="N152" s="1966"/>
      <c r="O152" s="1964">
        <f>SUMIF(J12:J143,"SB(VR)",O12:O143)</f>
        <v>81.900000000000006</v>
      </c>
      <c r="P152" s="1965"/>
      <c r="Q152" s="1965"/>
      <c r="R152" s="1966"/>
      <c r="S152" s="1166">
        <f>SUMIF(J12:J141,"sb(VR)",S12:S141)</f>
        <v>81</v>
      </c>
      <c r="T152" s="70">
        <f>SUMIF(J12:J141,"sb(VR)",T12:T141)</f>
        <v>81</v>
      </c>
      <c r="U152" s="66"/>
      <c r="V152" s="81"/>
      <c r="W152" s="81"/>
      <c r="X152" s="81"/>
    </row>
    <row r="153" spans="1:24" s="2" customFormat="1">
      <c r="C153" s="1668" t="s">
        <v>60</v>
      </c>
      <c r="D153" s="1985"/>
      <c r="E153" s="1669"/>
      <c r="F153" s="1669"/>
      <c r="G153" s="1669"/>
      <c r="H153" s="1669"/>
      <c r="I153" s="1670"/>
      <c r="J153" s="1670"/>
      <c r="K153" s="1964">
        <f>SUMIF(J10:J140,"SB(SP)",K10:K140)</f>
        <v>40.5</v>
      </c>
      <c r="L153" s="1965"/>
      <c r="M153" s="1965"/>
      <c r="N153" s="1966"/>
      <c r="O153" s="1964">
        <f>SUMIF(J12:J143,"SB(SP)",O12:O143)</f>
        <v>11.6</v>
      </c>
      <c r="P153" s="1965"/>
      <c r="Q153" s="1965"/>
      <c r="R153" s="1966"/>
      <c r="S153" s="1166">
        <f>SUMIF(J12:J143,"SB(Sp)",S12:S143)</f>
        <v>11.6</v>
      </c>
      <c r="T153" s="70">
        <f>SUMIF(J12:J143,"SB(Sp)",T12:T143)</f>
        <v>11.6</v>
      </c>
      <c r="U153" s="17"/>
      <c r="V153" s="73"/>
      <c r="W153" s="73"/>
      <c r="X153" s="73"/>
    </row>
    <row r="154" spans="1:24" s="2" customFormat="1">
      <c r="C154" s="1677" t="s">
        <v>212</v>
      </c>
      <c r="D154" s="1973"/>
      <c r="E154" s="1678"/>
      <c r="F154" s="1678"/>
      <c r="G154" s="1678"/>
      <c r="H154" s="1678"/>
      <c r="I154" s="1679"/>
      <c r="J154" s="1679"/>
      <c r="K154" s="1964">
        <f>SUMIF(J11:J141,"SB(L)",K11:K141)</f>
        <v>118.7</v>
      </c>
      <c r="L154" s="1965"/>
      <c r="M154" s="1965"/>
      <c r="N154" s="1966"/>
      <c r="O154" s="1967">
        <f>SUMIF(J10:J140,"SB(L)",O10:O140)</f>
        <v>0</v>
      </c>
      <c r="P154" s="1968"/>
      <c r="Q154" s="1968"/>
      <c r="R154" s="1969"/>
      <c r="S154" s="1166">
        <f>SUMIF(J10:J140,"sb(L)",S10:S140)</f>
        <v>0</v>
      </c>
      <c r="T154" s="70">
        <f>SUMIF(J10:J138,"SB(L)",T10:T138)</f>
        <v>0</v>
      </c>
      <c r="V154" s="73"/>
      <c r="W154" s="73"/>
      <c r="X154" s="73"/>
    </row>
    <row r="155" spans="1:24" s="11" customFormat="1">
      <c r="A155" s="2"/>
      <c r="B155" s="2"/>
      <c r="C155" s="1982" t="s">
        <v>49</v>
      </c>
      <c r="D155" s="1983"/>
      <c r="E155" s="1983"/>
      <c r="F155" s="1983"/>
      <c r="G155" s="1983"/>
      <c r="H155" s="1983"/>
      <c r="I155" s="1983"/>
      <c r="J155" s="1984"/>
      <c r="K155" s="1975">
        <f>SUMIF(J11:J143,"SB(VB)",K11:K143)</f>
        <v>3520</v>
      </c>
      <c r="L155" s="1976"/>
      <c r="M155" s="1976"/>
      <c r="N155" s="1977"/>
      <c r="O155" s="1975">
        <f>SUMIF(J11:J143,"SB(VB)",O11:O143)</f>
        <v>3480.6</v>
      </c>
      <c r="P155" s="1976"/>
      <c r="Q155" s="1976"/>
      <c r="R155" s="1977"/>
      <c r="S155" s="1167">
        <f>SUMIF(J13:J137,J14,S13:S137)</f>
        <v>3504</v>
      </c>
      <c r="T155" s="242">
        <f>SUMIF(J13:J137,J14,T13:T137)</f>
        <v>3504</v>
      </c>
      <c r="U155" s="18"/>
      <c r="V155" s="80"/>
      <c r="W155" s="80"/>
      <c r="X155" s="80"/>
    </row>
    <row r="156" spans="1:24" s="11" customFormat="1">
      <c r="A156" s="2"/>
      <c r="B156" s="2"/>
      <c r="C156" s="1982" t="s">
        <v>114</v>
      </c>
      <c r="D156" s="1983"/>
      <c r="E156" s="1983"/>
      <c r="F156" s="1983"/>
      <c r="G156" s="1983"/>
      <c r="H156" s="1983"/>
      <c r="I156" s="1983"/>
      <c r="J156" s="1984"/>
      <c r="K156" s="1975">
        <f>SUMIF(J13:J143,"SB(P)",K13:K143)</f>
        <v>595</v>
      </c>
      <c r="L156" s="1976"/>
      <c r="M156" s="1976"/>
      <c r="N156" s="1977"/>
      <c r="O156" s="1975">
        <f>SUMIF(J11:J143,"SB(P)",O11:O143)</f>
        <v>595</v>
      </c>
      <c r="P156" s="1976"/>
      <c r="Q156" s="1976"/>
      <c r="R156" s="1977"/>
      <c r="S156" s="1167">
        <f>SUMIF(J14:J141,"sb(P)",S14:S141)</f>
        <v>0</v>
      </c>
      <c r="T156" s="242">
        <f>SUMIF(J14:J141,"sb(P)",T14:T141)</f>
        <v>0</v>
      </c>
      <c r="U156" s="18"/>
      <c r="V156" s="80"/>
      <c r="W156" s="80"/>
      <c r="X156" s="80"/>
    </row>
    <row r="157" spans="1:24" s="2" customFormat="1">
      <c r="C157" s="1721" t="s">
        <v>147</v>
      </c>
      <c r="D157" s="1974"/>
      <c r="E157" s="1722"/>
      <c r="F157" s="1722"/>
      <c r="G157" s="1722"/>
      <c r="H157" s="1722"/>
      <c r="I157" s="1723"/>
      <c r="J157" s="1723"/>
      <c r="K157" s="1975">
        <f>SUMIF(J11:J143,"PF",K11:K143)</f>
        <v>23.5</v>
      </c>
      <c r="L157" s="1976"/>
      <c r="M157" s="1976"/>
      <c r="N157" s="1977"/>
      <c r="O157" s="1975">
        <f>SUMIF(J12:J143,"PF",O12:O143)</f>
        <v>14</v>
      </c>
      <c r="P157" s="1976"/>
      <c r="Q157" s="1976"/>
      <c r="R157" s="1977"/>
      <c r="S157" s="1167">
        <f>SUMIF(J13:J137,"pf",S13:S137)</f>
        <v>14</v>
      </c>
      <c r="T157" s="242">
        <f>SUMIF(J13:J137,"pf",T13:T137)</f>
        <v>5</v>
      </c>
      <c r="U157" s="17"/>
      <c r="V157" s="73"/>
      <c r="W157" s="73"/>
      <c r="X157" s="73"/>
    </row>
    <row r="158" spans="1:24" s="2" customFormat="1">
      <c r="C158" s="1724" t="s">
        <v>25</v>
      </c>
      <c r="D158" s="1978"/>
      <c r="E158" s="1725"/>
      <c r="F158" s="1725"/>
      <c r="G158" s="1725"/>
      <c r="H158" s="1725"/>
      <c r="I158" s="1726"/>
      <c r="J158" s="1726"/>
      <c r="K158" s="1979">
        <f>K159+K160+K162</f>
        <v>637.29999999999995</v>
      </c>
      <c r="L158" s="1980"/>
      <c r="M158" s="1980"/>
      <c r="N158" s="1981"/>
      <c r="O158" s="1979">
        <f>O159+O160+O162+O161</f>
        <v>1106.2</v>
      </c>
      <c r="P158" s="1980"/>
      <c r="Q158" s="1980"/>
      <c r="R158" s="1981"/>
      <c r="S158" s="1165">
        <f>S159+S160+S161+S162</f>
        <v>472.3</v>
      </c>
      <c r="T158" s="774">
        <f>SUM(T159:T162)</f>
        <v>30</v>
      </c>
      <c r="U158" s="17"/>
      <c r="V158" s="73"/>
      <c r="W158" s="73"/>
      <c r="X158" s="73"/>
    </row>
    <row r="159" spans="1:24" s="2" customFormat="1">
      <c r="C159" s="1719" t="s">
        <v>57</v>
      </c>
      <c r="D159" s="1720"/>
      <c r="E159" s="1720"/>
      <c r="F159" s="1720"/>
      <c r="G159" s="1720"/>
      <c r="H159" s="1720"/>
      <c r="I159" s="1720"/>
      <c r="J159" s="1720"/>
      <c r="K159" s="1970">
        <f>SUMIF(J13:J143,"ES",K13:K143)</f>
        <v>246.4</v>
      </c>
      <c r="L159" s="1971"/>
      <c r="M159" s="1971"/>
      <c r="N159" s="1972"/>
      <c r="O159" s="1970">
        <f>SUMIF(J11:J143,"ES",O11:O143)</f>
        <v>773.2</v>
      </c>
      <c r="P159" s="1971"/>
      <c r="Q159" s="1971"/>
      <c r="R159" s="1972"/>
      <c r="S159" s="1166">
        <f>SUMIF(J13:J137,"es",S13:S137)</f>
        <v>0</v>
      </c>
      <c r="T159" s="70">
        <f>SUMIF(J13:J137,"es",T13:T137)</f>
        <v>0</v>
      </c>
      <c r="V159" s="73"/>
      <c r="W159" s="73"/>
      <c r="X159" s="73"/>
    </row>
    <row r="160" spans="1:24" s="2" customFormat="1">
      <c r="C160" s="1677" t="s">
        <v>58</v>
      </c>
      <c r="D160" s="1973"/>
      <c r="E160" s="1678"/>
      <c r="F160" s="1678"/>
      <c r="G160" s="1678"/>
      <c r="H160" s="1678"/>
      <c r="I160" s="1679"/>
      <c r="J160" s="1679"/>
      <c r="K160" s="1964">
        <f>SUMIF(J13:J143,"LRVB",K13:K143)</f>
        <v>290.89999999999998</v>
      </c>
      <c r="L160" s="1965"/>
      <c r="M160" s="1965"/>
      <c r="N160" s="1966"/>
      <c r="O160" s="1964">
        <f>SUMIF(J12:J143,"LRVB",O12:O143)</f>
        <v>293</v>
      </c>
      <c r="P160" s="1965"/>
      <c r="Q160" s="1965"/>
      <c r="R160" s="1966"/>
      <c r="S160" s="1166">
        <f>SUMIF(J13:J137,"lrvb",S13:S137)</f>
        <v>442.3</v>
      </c>
      <c r="T160" s="70">
        <f>SUMIF(J13:J137,"lrvb",T13:T137)</f>
        <v>0</v>
      </c>
      <c r="V160" s="73"/>
      <c r="W160" s="73"/>
      <c r="X160" s="73"/>
    </row>
    <row r="161" spans="3:24" s="2" customFormat="1">
      <c r="C161" s="1674" t="s">
        <v>215</v>
      </c>
      <c r="D161" s="1962"/>
      <c r="E161" s="1962"/>
      <c r="F161" s="1962"/>
      <c r="G161" s="1962"/>
      <c r="H161" s="1962"/>
      <c r="I161" s="1962"/>
      <c r="J161" s="1963"/>
      <c r="K161" s="1964">
        <f>SUMIF(J14:J144,"Kt",K14:K144)</f>
        <v>0</v>
      </c>
      <c r="L161" s="1965"/>
      <c r="M161" s="1965"/>
      <c r="N161" s="1966"/>
      <c r="O161" s="1964">
        <f>SUMIF(J13:J144,"Kt",O13:O144)</f>
        <v>0</v>
      </c>
      <c r="P161" s="1965"/>
      <c r="Q161" s="1965"/>
      <c r="R161" s="1966"/>
      <c r="S161" s="1166">
        <f>SUMIF(J14:J138,"Kt",S14:S138)</f>
        <v>0</v>
      </c>
      <c r="T161" s="70">
        <f>SUMIF(J14:J138,"Kt",T14:T138)</f>
        <v>0</v>
      </c>
      <c r="V161" s="73"/>
      <c r="W161" s="73"/>
      <c r="X161" s="73"/>
    </row>
    <row r="162" spans="3:24" s="2" customFormat="1">
      <c r="C162" s="1674" t="s">
        <v>46</v>
      </c>
      <c r="D162" s="1675"/>
      <c r="E162" s="1675"/>
      <c r="F162" s="1675"/>
      <c r="G162" s="1675"/>
      <c r="H162" s="1675"/>
      <c r="I162" s="1675"/>
      <c r="J162" s="1676"/>
      <c r="K162" s="1967">
        <f>SUMIF(J13:J143,"KPP",K13:K143)</f>
        <v>100</v>
      </c>
      <c r="L162" s="1968"/>
      <c r="M162" s="1968"/>
      <c r="N162" s="1969"/>
      <c r="O162" s="1967">
        <f>SUMIF(J12:J143,"KPP",O12:O143)</f>
        <v>40</v>
      </c>
      <c r="P162" s="1968"/>
      <c r="Q162" s="1968"/>
      <c r="R162" s="1969"/>
      <c r="S162" s="1166">
        <f>SUMIF(J13:J137,"kpp",S13:S137)</f>
        <v>30</v>
      </c>
      <c r="T162" s="70">
        <f>SUMIF(J13:J137,"kpp",T13:T137)</f>
        <v>30</v>
      </c>
      <c r="U162" s="198"/>
      <c r="V162" s="73"/>
      <c r="W162" s="73"/>
      <c r="X162" s="73"/>
    </row>
    <row r="163" spans="3:24" s="2" customFormat="1" ht="13.5" thickBot="1">
      <c r="C163" s="1716" t="s">
        <v>26</v>
      </c>
      <c r="D163" s="1717"/>
      <c r="E163" s="1717"/>
      <c r="F163" s="1717"/>
      <c r="G163" s="1717"/>
      <c r="H163" s="1717"/>
      <c r="I163" s="1717"/>
      <c r="J163" s="1718"/>
      <c r="K163" s="1957">
        <f>K158+K149</f>
        <v>40659.699999999997</v>
      </c>
      <c r="L163" s="1958"/>
      <c r="M163" s="1958"/>
      <c r="N163" s="1959"/>
      <c r="O163" s="1957">
        <f>O158+O149</f>
        <v>47683.9</v>
      </c>
      <c r="P163" s="1958"/>
      <c r="Q163" s="1958"/>
      <c r="R163" s="1959"/>
      <c r="S163" s="1163">
        <f>S149+S158</f>
        <v>43548.6</v>
      </c>
      <c r="T163" s="243">
        <f>T158+T149</f>
        <v>40370.300000000003</v>
      </c>
      <c r="U163" s="198"/>
      <c r="V163" s="73"/>
      <c r="W163" s="73"/>
      <c r="X163" s="73"/>
    </row>
    <row r="164" spans="3:24">
      <c r="E164" s="1"/>
      <c r="F164" s="1"/>
      <c r="H164" s="1"/>
      <c r="J164" s="5"/>
      <c r="K164" s="5"/>
      <c r="L164" s="5"/>
      <c r="M164" s="6"/>
      <c r="N164" s="5"/>
      <c r="O164" s="1088" t="s">
        <v>287</v>
      </c>
      <c r="P164" s="1960">
        <f>O163/3.4528*1000</f>
        <v>13810212</v>
      </c>
      <c r="Q164" s="1961"/>
      <c r="R164" s="1199"/>
      <c r="S164" s="1199">
        <f>S163/3.4528*1000</f>
        <v>12612546</v>
      </c>
      <c r="T164" s="1199">
        <f>T163/3.4528*1000</f>
        <v>11692047</v>
      </c>
      <c r="V164" s="1"/>
      <c r="W164" s="1"/>
      <c r="X164" s="1"/>
    </row>
    <row r="166" spans="3:24">
      <c r="P166" s="5"/>
    </row>
    <row r="167" spans="3:24" ht="11.25">
      <c r="E167" s="1"/>
      <c r="F167" s="1"/>
      <c r="H167" s="1"/>
      <c r="J167" s="4"/>
      <c r="K167" s="29"/>
      <c r="M167" s="3"/>
      <c r="N167" s="4"/>
      <c r="O167" s="3"/>
      <c r="P167" s="29"/>
      <c r="Q167" s="29"/>
      <c r="R167" s="29"/>
      <c r="V167" s="1"/>
      <c r="W167" s="1"/>
      <c r="X167" s="1"/>
    </row>
    <row r="168" spans="3:24" ht="11.25">
      <c r="E168" s="1"/>
      <c r="F168" s="1"/>
      <c r="H168" s="1"/>
      <c r="J168" s="5"/>
      <c r="K168" s="5"/>
      <c r="M168" s="6"/>
      <c r="N168" s="5"/>
      <c r="O168" s="6"/>
      <c r="P168" s="5"/>
      <c r="Q168" s="5"/>
      <c r="R168" s="5"/>
      <c r="V168" s="1"/>
      <c r="W168" s="1"/>
      <c r="X168" s="1"/>
    </row>
    <row r="169" spans="3:24" ht="11.25">
      <c r="E169" s="1"/>
      <c r="F169" s="1"/>
      <c r="H169" s="1"/>
      <c r="M169" s="6"/>
      <c r="O169" s="6"/>
      <c r="V169" s="1"/>
      <c r="W169" s="1"/>
      <c r="X169" s="1"/>
    </row>
    <row r="170" spans="3:24" ht="11.25">
      <c r="E170" s="1"/>
      <c r="F170" s="1"/>
      <c r="H170" s="1"/>
      <c r="J170" s="5"/>
      <c r="K170" s="5"/>
      <c r="M170" s="6"/>
      <c r="N170" s="5"/>
      <c r="O170" s="6"/>
      <c r="P170" s="5"/>
      <c r="Q170" s="5"/>
      <c r="R170" s="5"/>
      <c r="V170" s="1"/>
      <c r="W170" s="1"/>
      <c r="X170" s="1"/>
    </row>
    <row r="172" spans="3:24" ht="11.25">
      <c r="E172" s="1"/>
      <c r="F172" s="1"/>
      <c r="H172" s="1"/>
      <c r="J172" s="4"/>
      <c r="V172" s="1"/>
      <c r="W172" s="1"/>
      <c r="X172" s="1"/>
    </row>
    <row r="173" spans="3:24" ht="11.25">
      <c r="E173" s="1"/>
      <c r="F173" s="1"/>
      <c r="H173" s="1"/>
      <c r="J173" s="5"/>
      <c r="V173" s="1"/>
      <c r="W173" s="1"/>
      <c r="X173" s="1"/>
    </row>
    <row r="175" spans="3:24" ht="11.25">
      <c r="E175" s="1"/>
      <c r="F175" s="1"/>
      <c r="H175" s="1"/>
      <c r="J175" s="5"/>
      <c r="V175" s="1"/>
      <c r="W175" s="1"/>
      <c r="X175" s="1"/>
    </row>
  </sheetData>
  <mergeCells count="289">
    <mergeCell ref="A1:X1"/>
    <mergeCell ref="K2:O2"/>
    <mergeCell ref="A3:X3"/>
    <mergeCell ref="T4:X4"/>
    <mergeCell ref="A5:A7"/>
    <mergeCell ref="B5:B7"/>
    <mergeCell ref="C5:C7"/>
    <mergeCell ref="D5:D7"/>
    <mergeCell ref="E5:E7"/>
    <mergeCell ref="F5:F7"/>
    <mergeCell ref="O6:O7"/>
    <mergeCell ref="P6:Q6"/>
    <mergeCell ref="R6:R7"/>
    <mergeCell ref="U6:U7"/>
    <mergeCell ref="G5:G7"/>
    <mergeCell ref="H5:H7"/>
    <mergeCell ref="I5:I7"/>
    <mergeCell ref="J5:J7"/>
    <mergeCell ref="K5:N5"/>
    <mergeCell ref="O5:R5"/>
    <mergeCell ref="W13:W14"/>
    <mergeCell ref="X13:X14"/>
    <mergeCell ref="A16:A17"/>
    <mergeCell ref="B16:B17"/>
    <mergeCell ref="C16:C17"/>
    <mergeCell ref="E16:E19"/>
    <mergeCell ref="F16:F17"/>
    <mergeCell ref="G16:G17"/>
    <mergeCell ref="V6:X6"/>
    <mergeCell ref="A8:X8"/>
    <mergeCell ref="A9:X9"/>
    <mergeCell ref="B10:X10"/>
    <mergeCell ref="C11:X11"/>
    <mergeCell ref="E13:E14"/>
    <mergeCell ref="F13:F14"/>
    <mergeCell ref="G13:G14"/>
    <mergeCell ref="H13:H14"/>
    <mergeCell ref="I13:I15"/>
    <mergeCell ref="S5:S7"/>
    <mergeCell ref="T5:T7"/>
    <mergeCell ref="U5:X5"/>
    <mergeCell ref="K6:K7"/>
    <mergeCell ref="L6:M6"/>
    <mergeCell ref="N6:N7"/>
    <mergeCell ref="H16:H17"/>
    <mergeCell ref="A22:A29"/>
    <mergeCell ref="B22:B29"/>
    <mergeCell ref="C22:C29"/>
    <mergeCell ref="F22:F29"/>
    <mergeCell ref="G22:G29"/>
    <mergeCell ref="H22:H29"/>
    <mergeCell ref="U13:U14"/>
    <mergeCell ref="V13:V14"/>
    <mergeCell ref="I22:I24"/>
    <mergeCell ref="E25:E28"/>
    <mergeCell ref="E34:E35"/>
    <mergeCell ref="I34:I35"/>
    <mergeCell ref="A37:A38"/>
    <mergeCell ref="B37:B38"/>
    <mergeCell ref="C37:C38"/>
    <mergeCell ref="E37:E38"/>
    <mergeCell ref="F37:F38"/>
    <mergeCell ref="G37:G38"/>
    <mergeCell ref="H37:H38"/>
    <mergeCell ref="F39:F40"/>
    <mergeCell ref="G39:G40"/>
    <mergeCell ref="H39:H40"/>
    <mergeCell ref="I43:J43"/>
    <mergeCell ref="A44:A45"/>
    <mergeCell ref="B44:B45"/>
    <mergeCell ref="C44:C45"/>
    <mergeCell ref="E44:E45"/>
    <mergeCell ref="F44:F45"/>
    <mergeCell ref="X44:X45"/>
    <mergeCell ref="A46:A47"/>
    <mergeCell ref="B46:B47"/>
    <mergeCell ref="C46:C47"/>
    <mergeCell ref="E46:E47"/>
    <mergeCell ref="F46:F47"/>
    <mergeCell ref="G46:G47"/>
    <mergeCell ref="H46:H47"/>
    <mergeCell ref="I46:I47"/>
    <mergeCell ref="U46:U47"/>
    <mergeCell ref="G44:G45"/>
    <mergeCell ref="H44:H45"/>
    <mergeCell ref="I44:I45"/>
    <mergeCell ref="U44:U45"/>
    <mergeCell ref="V44:V45"/>
    <mergeCell ref="W44:W45"/>
    <mergeCell ref="H48:H49"/>
    <mergeCell ref="I48:I49"/>
    <mergeCell ref="U48:U49"/>
    <mergeCell ref="V48:V49"/>
    <mergeCell ref="W48:W49"/>
    <mergeCell ref="X48:X49"/>
    <mergeCell ref="A48:A49"/>
    <mergeCell ref="B48:B49"/>
    <mergeCell ref="C48:C49"/>
    <mergeCell ref="E48:E49"/>
    <mergeCell ref="F48:F49"/>
    <mergeCell ref="G48:G49"/>
    <mergeCell ref="H50:H51"/>
    <mergeCell ref="I56:J56"/>
    <mergeCell ref="A57:A58"/>
    <mergeCell ref="B57:B58"/>
    <mergeCell ref="C57:C58"/>
    <mergeCell ref="E57:E58"/>
    <mergeCell ref="F57:F58"/>
    <mergeCell ref="G57:G58"/>
    <mergeCell ref="H57:H58"/>
    <mergeCell ref="I57:I58"/>
    <mergeCell ref="A50:A51"/>
    <mergeCell ref="B50:B51"/>
    <mergeCell ref="C50:C51"/>
    <mergeCell ref="E50:E51"/>
    <mergeCell ref="F50:F51"/>
    <mergeCell ref="G50:G51"/>
    <mergeCell ref="E61:E63"/>
    <mergeCell ref="I61:I67"/>
    <mergeCell ref="D64:D66"/>
    <mergeCell ref="E64:E66"/>
    <mergeCell ref="E67:E68"/>
    <mergeCell ref="D72:D73"/>
    <mergeCell ref="E72:E73"/>
    <mergeCell ref="U57:U58"/>
    <mergeCell ref="A59:A60"/>
    <mergeCell ref="B59:B60"/>
    <mergeCell ref="C59:C60"/>
    <mergeCell ref="E59:E60"/>
    <mergeCell ref="F59:F60"/>
    <mergeCell ref="G59:G60"/>
    <mergeCell ref="H59:H60"/>
    <mergeCell ref="I59:I60"/>
    <mergeCell ref="D75:D76"/>
    <mergeCell ref="E75:E76"/>
    <mergeCell ref="I83:J83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E77:E79"/>
    <mergeCell ref="A86:A88"/>
    <mergeCell ref="B86:B88"/>
    <mergeCell ref="C86:C88"/>
    <mergeCell ref="D86:D88"/>
    <mergeCell ref="F86:F88"/>
    <mergeCell ref="G86:G88"/>
    <mergeCell ref="H86:H88"/>
    <mergeCell ref="I86:I88"/>
    <mergeCell ref="U87:U88"/>
    <mergeCell ref="I106:J106"/>
    <mergeCell ref="E107:E109"/>
    <mergeCell ref="F107:F109"/>
    <mergeCell ref="G107:G109"/>
    <mergeCell ref="H107:H109"/>
    <mergeCell ref="I107:I109"/>
    <mergeCell ref="C89:J89"/>
    <mergeCell ref="C90:X90"/>
    <mergeCell ref="A91:A106"/>
    <mergeCell ref="B91:B106"/>
    <mergeCell ref="C91:C106"/>
    <mergeCell ref="F92:F96"/>
    <mergeCell ref="I92:I94"/>
    <mergeCell ref="I97:I99"/>
    <mergeCell ref="F98:F103"/>
    <mergeCell ref="A113:A115"/>
    <mergeCell ref="B113:B115"/>
    <mergeCell ref="C113:C115"/>
    <mergeCell ref="D113:D115"/>
    <mergeCell ref="E113:E115"/>
    <mergeCell ref="F113:F115"/>
    <mergeCell ref="U108:U109"/>
    <mergeCell ref="E110:E112"/>
    <mergeCell ref="F110:F112"/>
    <mergeCell ref="G110:G112"/>
    <mergeCell ref="H110:H112"/>
    <mergeCell ref="I110:I112"/>
    <mergeCell ref="U110:U111"/>
    <mergeCell ref="C123:J123"/>
    <mergeCell ref="U123:X123"/>
    <mergeCell ref="C124:X124"/>
    <mergeCell ref="E129:E131"/>
    <mergeCell ref="G113:G115"/>
    <mergeCell ref="H113:H115"/>
    <mergeCell ref="I113:I115"/>
    <mergeCell ref="U113:U114"/>
    <mergeCell ref="C116:J116"/>
    <mergeCell ref="C117:X117"/>
    <mergeCell ref="H118:H120"/>
    <mergeCell ref="I118:I120"/>
    <mergeCell ref="A121:A122"/>
    <mergeCell ref="B121:B122"/>
    <mergeCell ref="C121:C122"/>
    <mergeCell ref="E121:E122"/>
    <mergeCell ref="F121:F122"/>
    <mergeCell ref="G121:G122"/>
    <mergeCell ref="H121:H122"/>
    <mergeCell ref="I121:I122"/>
    <mergeCell ref="A118:A120"/>
    <mergeCell ref="B118:B120"/>
    <mergeCell ref="C118:C120"/>
    <mergeCell ref="E118:E120"/>
    <mergeCell ref="F118:F120"/>
    <mergeCell ref="G118:G120"/>
    <mergeCell ref="I134:J134"/>
    <mergeCell ref="A135:A137"/>
    <mergeCell ref="B135:B137"/>
    <mergeCell ref="C135:C137"/>
    <mergeCell ref="E135:E137"/>
    <mergeCell ref="F135:F137"/>
    <mergeCell ref="I135:I137"/>
    <mergeCell ref="U136:U137"/>
    <mergeCell ref="A144:X144"/>
    <mergeCell ref="A138:A139"/>
    <mergeCell ref="B138:B139"/>
    <mergeCell ref="C138:C139"/>
    <mergeCell ref="E138:E140"/>
    <mergeCell ref="F138:F139"/>
    <mergeCell ref="G138:G139"/>
    <mergeCell ref="H138:H139"/>
    <mergeCell ref="I138:I139"/>
    <mergeCell ref="U139:U140"/>
    <mergeCell ref="V139:V140"/>
    <mergeCell ref="W139:W140"/>
    <mergeCell ref="X139:X140"/>
    <mergeCell ref="G135:G137"/>
    <mergeCell ref="H135:H137"/>
    <mergeCell ref="A145:X145"/>
    <mergeCell ref="C146:T146"/>
    <mergeCell ref="C148:J148"/>
    <mergeCell ref="K148:N148"/>
    <mergeCell ref="O148:R148"/>
    <mergeCell ref="C141:J141"/>
    <mergeCell ref="U141:X141"/>
    <mergeCell ref="B142:J142"/>
    <mergeCell ref="U142:X142"/>
    <mergeCell ref="B143:J143"/>
    <mergeCell ref="U143:X143"/>
    <mergeCell ref="C151:J151"/>
    <mergeCell ref="K151:N151"/>
    <mergeCell ref="O151:R151"/>
    <mergeCell ref="C152:J152"/>
    <mergeCell ref="K152:N152"/>
    <mergeCell ref="O152:R152"/>
    <mergeCell ref="C149:J149"/>
    <mergeCell ref="K149:N149"/>
    <mergeCell ref="O149:R149"/>
    <mergeCell ref="C150:J150"/>
    <mergeCell ref="K150:N150"/>
    <mergeCell ref="O150:R150"/>
    <mergeCell ref="C155:J155"/>
    <mergeCell ref="K155:N155"/>
    <mergeCell ref="O155:R155"/>
    <mergeCell ref="C156:J156"/>
    <mergeCell ref="K156:N156"/>
    <mergeCell ref="O156:R156"/>
    <mergeCell ref="C153:J153"/>
    <mergeCell ref="K153:N153"/>
    <mergeCell ref="O153:R153"/>
    <mergeCell ref="C154:J154"/>
    <mergeCell ref="K154:N154"/>
    <mergeCell ref="O154:R154"/>
    <mergeCell ref="C159:J159"/>
    <mergeCell ref="K159:N159"/>
    <mergeCell ref="O159:R159"/>
    <mergeCell ref="C160:J160"/>
    <mergeCell ref="K160:N160"/>
    <mergeCell ref="O160:R160"/>
    <mergeCell ref="C157:J157"/>
    <mergeCell ref="K157:N157"/>
    <mergeCell ref="O157:R157"/>
    <mergeCell ref="C158:J158"/>
    <mergeCell ref="K158:N158"/>
    <mergeCell ref="O158:R158"/>
    <mergeCell ref="C163:J163"/>
    <mergeCell ref="K163:N163"/>
    <mergeCell ref="O163:R163"/>
    <mergeCell ref="P164:Q164"/>
    <mergeCell ref="C161:J161"/>
    <mergeCell ref="K161:N161"/>
    <mergeCell ref="O161:R161"/>
    <mergeCell ref="C162:J162"/>
    <mergeCell ref="K162:N162"/>
    <mergeCell ref="O162:R162"/>
  </mergeCells>
  <printOptions horizontalCentered="1"/>
  <pageMargins left="0" right="0" top="0.39370078740157483" bottom="0" header="0" footer="0"/>
  <pageSetup paperSize="9" scale="70" orientation="landscape" r:id="rId1"/>
  <rowBreaks count="4" manualBreakCount="4">
    <brk id="56" max="27" man="1"/>
    <brk id="85" max="27" man="1"/>
    <brk id="106" max="27" man="1"/>
    <brk id="134" max="2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76"/>
  <sheetViews>
    <sheetView view="pageBreakPreview" zoomScaleNormal="100" zoomScaleSheetLayoutView="100" workbookViewId="0">
      <selection activeCell="Y12" sqref="Y12"/>
    </sheetView>
  </sheetViews>
  <sheetFormatPr defaultRowHeight="12.75"/>
  <cols>
    <col min="1" max="4" width="2.85546875" style="1" customWidth="1"/>
    <col min="5" max="5" width="37.85546875" style="2" customWidth="1"/>
    <col min="6" max="6" width="3.42578125" style="30" customWidth="1"/>
    <col min="7" max="7" width="5.28515625" style="1" customWidth="1"/>
    <col min="8" max="8" width="2.85546875" style="8" customWidth="1"/>
    <col min="9" max="9" width="10.5703125" style="1" customWidth="1"/>
    <col min="10" max="10" width="7.28515625" style="1" customWidth="1"/>
    <col min="11" max="11" width="10" style="1" customWidth="1"/>
    <col min="12" max="12" width="26" style="1" customWidth="1"/>
    <col min="13" max="13" width="6.140625" style="72" customWidth="1"/>
    <col min="14" max="16384" width="9.140625" style="1"/>
  </cols>
  <sheetData>
    <row r="1" spans="1:13" s="11" customFormat="1" ht="18.75" customHeight="1">
      <c r="A1" s="2"/>
      <c r="B1" s="2"/>
      <c r="C1" s="2"/>
      <c r="D1" s="2"/>
      <c r="E1" s="2"/>
      <c r="F1" s="2"/>
      <c r="G1" s="2"/>
      <c r="H1" s="1246"/>
      <c r="I1" s="1246"/>
      <c r="J1" s="1247"/>
      <c r="K1" s="2187" t="s">
        <v>373</v>
      </c>
      <c r="L1" s="2188"/>
      <c r="M1" s="2188"/>
    </row>
    <row r="2" spans="1:13" s="11" customFormat="1" ht="15" customHeight="1">
      <c r="A2" s="2"/>
      <c r="B2" s="2"/>
      <c r="C2" s="2"/>
      <c r="D2" s="2"/>
      <c r="E2" s="2"/>
      <c r="F2" s="2"/>
      <c r="G2" s="2"/>
      <c r="H2" s="1246"/>
      <c r="I2" s="1246"/>
      <c r="J2" s="1247"/>
      <c r="K2" s="2188"/>
      <c r="L2" s="2188"/>
      <c r="M2" s="2188"/>
    </row>
    <row r="3" spans="1:13" s="11" customFormat="1" ht="18" customHeight="1">
      <c r="A3" s="2"/>
      <c r="B3" s="2"/>
      <c r="C3" s="2"/>
      <c r="D3" s="2"/>
      <c r="E3" s="2"/>
      <c r="F3" s="2"/>
      <c r="G3" s="2"/>
      <c r="H3" s="1246"/>
      <c r="I3" s="1246"/>
      <c r="J3" s="1247"/>
      <c r="K3" s="2188"/>
      <c r="L3" s="2188"/>
      <c r="M3" s="2188"/>
    </row>
    <row r="4" spans="1:13" s="11" customFormat="1" ht="15" customHeight="1">
      <c r="A4" s="2"/>
      <c r="B4" s="2"/>
      <c r="C4" s="2"/>
      <c r="D4" s="2"/>
      <c r="E4" s="2"/>
      <c r="F4" s="2"/>
      <c r="G4" s="2"/>
      <c r="H4" s="1246"/>
      <c r="I4" s="1246"/>
      <c r="J4" s="1247"/>
      <c r="K4" s="1588"/>
      <c r="L4" s="1588"/>
      <c r="M4" s="1588"/>
    </row>
    <row r="5" spans="1:13" s="11" customFormat="1" ht="15" customHeight="1">
      <c r="A5" s="2"/>
      <c r="B5" s="2"/>
      <c r="C5" s="2"/>
      <c r="D5" s="2"/>
      <c r="E5" s="2"/>
      <c r="F5" s="2"/>
      <c r="G5" s="2"/>
      <c r="H5" s="1246"/>
      <c r="I5" s="1246"/>
      <c r="J5" s="1247"/>
      <c r="K5" s="1588"/>
      <c r="L5" s="1588"/>
      <c r="M5" s="1588"/>
    </row>
    <row r="6" spans="1:13" s="2" customFormat="1" ht="15" customHeight="1">
      <c r="A6" s="2111" t="s">
        <v>317</v>
      </c>
      <c r="B6" s="2111"/>
      <c r="C6" s="2111"/>
      <c r="D6" s="2111"/>
      <c r="E6" s="2111"/>
      <c r="F6" s="2111"/>
      <c r="G6" s="2111"/>
      <c r="H6" s="2111"/>
      <c r="I6" s="2111"/>
      <c r="J6" s="2111"/>
      <c r="K6" s="2111"/>
      <c r="L6" s="2111"/>
      <c r="M6" s="2111"/>
    </row>
    <row r="7" spans="1:13" s="2" customFormat="1" ht="15">
      <c r="A7" s="1587"/>
      <c r="B7" s="1587"/>
      <c r="C7" s="1587"/>
      <c r="D7" s="1587"/>
      <c r="E7" s="2193" t="s">
        <v>374</v>
      </c>
      <c r="F7" s="2194"/>
      <c r="G7" s="2194"/>
      <c r="H7" s="2194"/>
      <c r="I7" s="2194"/>
      <c r="J7" s="2194"/>
      <c r="K7" s="2194"/>
      <c r="L7" s="2194"/>
      <c r="M7" s="1587"/>
    </row>
    <row r="8" spans="1:13" s="2" customFormat="1" ht="32.25" customHeight="1">
      <c r="A8" s="2111" t="s">
        <v>59</v>
      </c>
      <c r="B8" s="2111"/>
      <c r="C8" s="2111"/>
      <c r="D8" s="2111"/>
      <c r="E8" s="2111"/>
      <c r="F8" s="2111"/>
      <c r="G8" s="2111"/>
      <c r="H8" s="2111"/>
      <c r="I8" s="2111"/>
      <c r="J8" s="2111"/>
      <c r="K8" s="2111"/>
      <c r="L8" s="2111"/>
      <c r="M8" s="2111"/>
    </row>
    <row r="9" spans="1:13" s="2" customFormat="1" ht="18" customHeight="1" thickBot="1">
      <c r="F9" s="30"/>
      <c r="H9" s="89"/>
      <c r="L9" s="2195" t="s">
        <v>287</v>
      </c>
      <c r="M9" s="2195"/>
    </row>
    <row r="10" spans="1:13" s="11" customFormat="1" ht="70.5" customHeight="1">
      <c r="A10" s="1879" t="s">
        <v>166</v>
      </c>
      <c r="B10" s="1882" t="s">
        <v>1</v>
      </c>
      <c r="C10" s="1882" t="s">
        <v>2</v>
      </c>
      <c r="D10" s="1882" t="s">
        <v>167</v>
      </c>
      <c r="E10" s="1885" t="s">
        <v>21</v>
      </c>
      <c r="F10" s="1888" t="s">
        <v>3</v>
      </c>
      <c r="G10" s="1882" t="s">
        <v>318</v>
      </c>
      <c r="H10" s="1912" t="s">
        <v>4</v>
      </c>
      <c r="I10" s="2115" t="s">
        <v>169</v>
      </c>
      <c r="J10" s="1915" t="s">
        <v>5</v>
      </c>
      <c r="K10" s="2174" t="s">
        <v>316</v>
      </c>
      <c r="L10" s="2177" t="s">
        <v>319</v>
      </c>
      <c r="M10" s="2178"/>
    </row>
    <row r="11" spans="1:13" s="11" customFormat="1" ht="15" customHeight="1">
      <c r="A11" s="1880"/>
      <c r="B11" s="1883"/>
      <c r="C11" s="1883"/>
      <c r="D11" s="1883"/>
      <c r="E11" s="1886"/>
      <c r="F11" s="1889"/>
      <c r="G11" s="2205"/>
      <c r="H11" s="1913"/>
      <c r="I11" s="2116"/>
      <c r="J11" s="1916"/>
      <c r="K11" s="2175"/>
      <c r="L11" s="1894" t="s">
        <v>21</v>
      </c>
      <c r="M11" s="1248" t="s">
        <v>259</v>
      </c>
    </row>
    <row r="12" spans="1:13" s="11" customFormat="1" ht="14.25" customHeight="1" thickBot="1">
      <c r="A12" s="1881"/>
      <c r="B12" s="1884"/>
      <c r="C12" s="1884"/>
      <c r="D12" s="1884"/>
      <c r="E12" s="1887"/>
      <c r="F12" s="1890"/>
      <c r="G12" s="2206"/>
      <c r="H12" s="1914"/>
      <c r="I12" s="2117"/>
      <c r="J12" s="1917"/>
      <c r="K12" s="2176"/>
      <c r="L12" s="1895"/>
      <c r="M12" s="597" t="s">
        <v>68</v>
      </c>
    </row>
    <row r="13" spans="1:13" s="2" customFormat="1" ht="13.5" customHeight="1">
      <c r="A13" s="1899" t="s">
        <v>30</v>
      </c>
      <c r="B13" s="1900"/>
      <c r="C13" s="1900"/>
      <c r="D13" s="1900"/>
      <c r="E13" s="1900"/>
      <c r="F13" s="1900"/>
      <c r="G13" s="1900"/>
      <c r="H13" s="1900"/>
      <c r="I13" s="1900"/>
      <c r="J13" s="1900"/>
      <c r="K13" s="1900"/>
      <c r="L13" s="1900"/>
      <c r="M13" s="1901"/>
    </row>
    <row r="14" spans="1:13" s="2" customFormat="1" ht="15.75" customHeight="1">
      <c r="A14" s="1856" t="s">
        <v>62</v>
      </c>
      <c r="B14" s="1857"/>
      <c r="C14" s="1857"/>
      <c r="D14" s="1857"/>
      <c r="E14" s="1857"/>
      <c r="F14" s="1857"/>
      <c r="G14" s="1857"/>
      <c r="H14" s="1857"/>
      <c r="I14" s="1857"/>
      <c r="J14" s="1857"/>
      <c r="K14" s="1857"/>
      <c r="L14" s="1857"/>
      <c r="M14" s="1858"/>
    </row>
    <row r="15" spans="1:13" s="2" customFormat="1" ht="26.25" customHeight="1">
      <c r="A15" s="315" t="s">
        <v>8</v>
      </c>
      <c r="B15" s="1859" t="s">
        <v>50</v>
      </c>
      <c r="C15" s="1859"/>
      <c r="D15" s="1859"/>
      <c r="E15" s="1859"/>
      <c r="F15" s="1859"/>
      <c r="G15" s="1859"/>
      <c r="H15" s="1859"/>
      <c r="I15" s="1859"/>
      <c r="J15" s="1859"/>
      <c r="K15" s="1859"/>
      <c r="L15" s="1859"/>
      <c r="M15" s="1860"/>
    </row>
    <row r="16" spans="1:13" s="2" customFormat="1" ht="21.75" customHeight="1">
      <c r="A16" s="316" t="s">
        <v>8</v>
      </c>
      <c r="B16" s="208" t="s">
        <v>8</v>
      </c>
      <c r="C16" s="1861" t="s">
        <v>52</v>
      </c>
      <c r="D16" s="1862"/>
      <c r="E16" s="1862"/>
      <c r="F16" s="1862"/>
      <c r="G16" s="1862"/>
      <c r="H16" s="1862"/>
      <c r="I16" s="1862"/>
      <c r="J16" s="1862"/>
      <c r="K16" s="1862"/>
      <c r="L16" s="1862"/>
      <c r="M16" s="1863"/>
    </row>
    <row r="17" spans="1:16" s="11" customFormat="1" ht="18.75" customHeight="1">
      <c r="A17" s="317" t="s">
        <v>8</v>
      </c>
      <c r="B17" s="86" t="s">
        <v>8</v>
      </c>
      <c r="C17" s="336" t="s">
        <v>8</v>
      </c>
      <c r="D17" s="1529"/>
      <c r="E17" s="1530" t="s">
        <v>80</v>
      </c>
      <c r="F17" s="1278"/>
      <c r="G17" s="1530"/>
      <c r="H17" s="1278"/>
      <c r="I17" s="1538"/>
      <c r="J17" s="111"/>
      <c r="K17" s="551"/>
      <c r="L17" s="860"/>
      <c r="M17" s="1476"/>
    </row>
    <row r="18" spans="1:16" s="11" customFormat="1" ht="22.5" customHeight="1">
      <c r="A18" s="318"/>
      <c r="B18" s="139"/>
      <c r="C18" s="337"/>
      <c r="D18" s="312" t="s">
        <v>8</v>
      </c>
      <c r="E18" s="1711" t="s">
        <v>334</v>
      </c>
      <c r="F18" s="2179"/>
      <c r="G18" s="2169" t="s">
        <v>341</v>
      </c>
      <c r="H18" s="2181" t="s">
        <v>53</v>
      </c>
      <c r="I18" s="2183" t="s">
        <v>121</v>
      </c>
      <c r="J18" s="585" t="s">
        <v>12</v>
      </c>
      <c r="K18" s="1294">
        <v>4622348</v>
      </c>
      <c r="L18" s="1791" t="s">
        <v>140</v>
      </c>
      <c r="M18" s="2186">
        <v>439.5</v>
      </c>
    </row>
    <row r="19" spans="1:16" s="11" customFormat="1" ht="13.5" customHeight="1">
      <c r="A19" s="317"/>
      <c r="B19" s="86"/>
      <c r="C19" s="336"/>
      <c r="D19" s="1529"/>
      <c r="E19" s="2099"/>
      <c r="F19" s="2180"/>
      <c r="G19" s="2170"/>
      <c r="H19" s="2182"/>
      <c r="I19" s="2050"/>
      <c r="J19" s="1273" t="s">
        <v>47</v>
      </c>
      <c r="K19" s="1457">
        <v>713867</v>
      </c>
      <c r="L19" s="2185"/>
      <c r="M19" s="2101"/>
    </row>
    <row r="20" spans="1:16" s="11" customFormat="1" ht="15" customHeight="1">
      <c r="A20" s="317"/>
      <c r="B20" s="793"/>
      <c r="C20" s="794"/>
      <c r="D20" s="1529"/>
      <c r="E20" s="1552" t="s">
        <v>335</v>
      </c>
      <c r="F20" s="1585"/>
      <c r="G20" s="1591"/>
      <c r="H20" s="1561"/>
      <c r="I20" s="2184"/>
      <c r="J20" s="456" t="s">
        <v>12</v>
      </c>
      <c r="K20" s="1293">
        <v>98269</v>
      </c>
      <c r="L20" s="1593"/>
      <c r="M20" s="1584"/>
    </row>
    <row r="21" spans="1:16" s="2" customFormat="1" ht="14.25" customHeight="1">
      <c r="A21" s="1694"/>
      <c r="B21" s="1848"/>
      <c r="C21" s="2036"/>
      <c r="D21" s="312" t="s">
        <v>9</v>
      </c>
      <c r="E21" s="1711" t="s">
        <v>177</v>
      </c>
      <c r="F21" s="2102"/>
      <c r="G21" s="2169" t="s">
        <v>341</v>
      </c>
      <c r="H21" s="2093" t="s">
        <v>53</v>
      </c>
      <c r="I21" s="1271" t="s">
        <v>98</v>
      </c>
      <c r="J21" s="22" t="s">
        <v>12</v>
      </c>
      <c r="K21" s="1456">
        <v>488023</v>
      </c>
      <c r="L21" s="329"/>
      <c r="M21" s="181"/>
    </row>
    <row r="22" spans="1:16" s="2" customFormat="1" ht="14.25" customHeight="1">
      <c r="A22" s="1694"/>
      <c r="B22" s="1848"/>
      <c r="C22" s="2036"/>
      <c r="D22" s="1529"/>
      <c r="E22" s="1850"/>
      <c r="F22" s="2103"/>
      <c r="G22" s="2170"/>
      <c r="H22" s="2026"/>
      <c r="I22" s="1529"/>
      <c r="J22" s="1274" t="s">
        <v>61</v>
      </c>
      <c r="K22" s="1461">
        <v>3360</v>
      </c>
      <c r="L22" s="1598"/>
      <c r="M22" s="189"/>
    </row>
    <row r="23" spans="1:16" s="2" customFormat="1" ht="29.25" customHeight="1">
      <c r="A23" s="1525"/>
      <c r="B23" s="1551"/>
      <c r="C23" s="1564"/>
      <c r="D23" s="1529"/>
      <c r="E23" s="1850"/>
      <c r="F23" s="1339"/>
      <c r="G23" s="2170"/>
      <c r="H23" s="1570"/>
      <c r="I23" s="1529"/>
      <c r="J23" s="1274" t="s">
        <v>178</v>
      </c>
      <c r="K23" s="1461">
        <v>3181</v>
      </c>
      <c r="L23" s="1598"/>
      <c r="M23" s="189"/>
    </row>
    <row r="24" spans="1:16" s="2" customFormat="1" ht="50.25" customHeight="1">
      <c r="A24" s="1525"/>
      <c r="B24" s="1551"/>
      <c r="C24" s="1564"/>
      <c r="D24" s="1529"/>
      <c r="E24" s="1850"/>
      <c r="F24" s="1585"/>
      <c r="G24" s="2171"/>
      <c r="H24" s="1561"/>
      <c r="I24" s="1529"/>
      <c r="J24" s="456"/>
      <c r="K24" s="1293"/>
      <c r="L24" s="1598"/>
      <c r="M24" s="189"/>
    </row>
    <row r="25" spans="1:16" s="2" customFormat="1" ht="17.25" customHeight="1">
      <c r="A25" s="1525"/>
      <c r="B25" s="1527"/>
      <c r="C25" s="1597"/>
      <c r="D25" s="312" t="s">
        <v>10</v>
      </c>
      <c r="E25" s="1531" t="s">
        <v>43</v>
      </c>
      <c r="F25" s="410"/>
      <c r="G25" s="1467" t="s">
        <v>340</v>
      </c>
      <c r="H25" s="1581" t="s">
        <v>53</v>
      </c>
      <c r="I25" s="1595" t="s">
        <v>98</v>
      </c>
      <c r="J25" s="14" t="s">
        <v>12</v>
      </c>
      <c r="K25" s="1458">
        <f>95/3.4528*1000</f>
        <v>27514</v>
      </c>
      <c r="L25" s="329"/>
      <c r="M25" s="181"/>
    </row>
    <row r="26" spans="1:16" s="2" customFormat="1" ht="25.5" customHeight="1">
      <c r="A26" s="1525"/>
      <c r="B26" s="1527"/>
      <c r="C26" s="1597"/>
      <c r="D26" s="1542" t="s">
        <v>11</v>
      </c>
      <c r="E26" s="1545" t="s">
        <v>239</v>
      </c>
      <c r="F26" s="378" t="s">
        <v>320</v>
      </c>
      <c r="G26" s="1341" t="s">
        <v>337</v>
      </c>
      <c r="H26" s="379" t="s">
        <v>53</v>
      </c>
      <c r="I26" s="1268" t="s">
        <v>75</v>
      </c>
      <c r="J26" s="14" t="s">
        <v>12</v>
      </c>
      <c r="K26" s="1458">
        <f>(15+28+5+2)/3.4528*1000</f>
        <v>14481</v>
      </c>
      <c r="L26" s="117" t="s">
        <v>288</v>
      </c>
      <c r="M26" s="77" t="s">
        <v>186</v>
      </c>
    </row>
    <row r="27" spans="1:16" s="2" customFormat="1" ht="39.75" customHeight="1">
      <c r="A27" s="1694"/>
      <c r="B27" s="1848"/>
      <c r="C27" s="2036"/>
      <c r="D27" s="1529" t="s">
        <v>32</v>
      </c>
      <c r="E27" s="1530" t="s">
        <v>146</v>
      </c>
      <c r="F27" s="2092"/>
      <c r="G27" s="2172" t="s">
        <v>336</v>
      </c>
      <c r="H27" s="2026" t="s">
        <v>53</v>
      </c>
      <c r="I27" s="2050" t="s">
        <v>129</v>
      </c>
      <c r="J27" s="456"/>
      <c r="K27" s="1293"/>
      <c r="L27" s="397"/>
      <c r="M27" s="399"/>
    </row>
    <row r="28" spans="1:16" s="2" customFormat="1" ht="39" customHeight="1">
      <c r="A28" s="1694"/>
      <c r="B28" s="1848"/>
      <c r="C28" s="2036"/>
      <c r="D28" s="1529"/>
      <c r="E28" s="393" t="s">
        <v>305</v>
      </c>
      <c r="F28" s="2092"/>
      <c r="G28" s="2165"/>
      <c r="H28" s="2026"/>
      <c r="I28" s="2050"/>
      <c r="J28" s="1274" t="s">
        <v>12</v>
      </c>
      <c r="K28" s="1460">
        <v>2028</v>
      </c>
      <c r="L28" s="407" t="s">
        <v>183</v>
      </c>
      <c r="M28" s="409">
        <v>1</v>
      </c>
    </row>
    <row r="29" spans="1:16" s="2" customFormat="1" ht="12.75" customHeight="1">
      <c r="A29" s="1694"/>
      <c r="B29" s="1848"/>
      <c r="C29" s="2036"/>
      <c r="D29" s="1529"/>
      <c r="E29" s="393" t="s">
        <v>184</v>
      </c>
      <c r="F29" s="2092"/>
      <c r="G29" s="2165"/>
      <c r="H29" s="2026"/>
      <c r="I29" s="2050"/>
      <c r="J29" s="1274" t="s">
        <v>12</v>
      </c>
      <c r="K29" s="1461">
        <f>150/3.4528*1000</f>
        <v>43443</v>
      </c>
      <c r="L29" s="656" t="s">
        <v>132</v>
      </c>
      <c r="M29" s="428">
        <v>70</v>
      </c>
      <c r="P29" s="812"/>
    </row>
    <row r="30" spans="1:16" s="2" customFormat="1" ht="24.75" customHeight="1">
      <c r="A30" s="1694"/>
      <c r="B30" s="1848"/>
      <c r="C30" s="2036"/>
      <c r="D30" s="1529"/>
      <c r="E30" s="2097" t="s">
        <v>115</v>
      </c>
      <c r="F30" s="2092"/>
      <c r="G30" s="2165"/>
      <c r="H30" s="2026"/>
      <c r="I30" s="1529"/>
      <c r="J30" s="1275" t="s">
        <v>12</v>
      </c>
      <c r="K30" s="1459">
        <f>120/3.4528*1000</f>
        <v>34754</v>
      </c>
      <c r="L30" s="1255" t="s">
        <v>375</v>
      </c>
      <c r="M30" s="800">
        <v>10</v>
      </c>
    </row>
    <row r="31" spans="1:16" s="2" customFormat="1" ht="16.5" customHeight="1">
      <c r="A31" s="1694"/>
      <c r="B31" s="1848"/>
      <c r="C31" s="2036"/>
      <c r="D31" s="1529"/>
      <c r="E31" s="2098"/>
      <c r="F31" s="2092"/>
      <c r="G31" s="2165"/>
      <c r="H31" s="2026"/>
      <c r="I31" s="1529"/>
      <c r="J31" s="1108"/>
      <c r="K31" s="1293"/>
      <c r="L31" s="1256" t="s">
        <v>224</v>
      </c>
      <c r="M31" s="1477">
        <v>2</v>
      </c>
    </row>
    <row r="32" spans="1:16" s="2" customFormat="1" ht="40.5" customHeight="1">
      <c r="A32" s="1694"/>
      <c r="B32" s="1848"/>
      <c r="C32" s="2036"/>
      <c r="D32" s="1529"/>
      <c r="E32" s="2098"/>
      <c r="F32" s="2092"/>
      <c r="G32" s="2165"/>
      <c r="H32" s="2026"/>
      <c r="I32" s="1529"/>
      <c r="J32" s="1108"/>
      <c r="K32" s="1293"/>
      <c r="L32" s="1257" t="s">
        <v>289</v>
      </c>
      <c r="M32" s="1478">
        <v>300</v>
      </c>
    </row>
    <row r="33" spans="1:15" s="2" customFormat="1" ht="39" customHeight="1">
      <c r="A33" s="1694"/>
      <c r="B33" s="1848"/>
      <c r="C33" s="2036"/>
      <c r="D33" s="1529"/>
      <c r="E33" s="2099"/>
      <c r="F33" s="2092"/>
      <c r="G33" s="2165"/>
      <c r="H33" s="2026"/>
      <c r="I33" s="1529"/>
      <c r="J33" s="1276"/>
      <c r="K33" s="1457"/>
      <c r="L33" s="1257" t="s">
        <v>227</v>
      </c>
      <c r="M33" s="1478">
        <v>100</v>
      </c>
    </row>
    <row r="34" spans="1:15" s="2" customFormat="1" ht="26.25" customHeight="1">
      <c r="A34" s="1694"/>
      <c r="B34" s="1848"/>
      <c r="C34" s="2036"/>
      <c r="D34" s="1548"/>
      <c r="E34" s="393" t="s">
        <v>108</v>
      </c>
      <c r="F34" s="2092"/>
      <c r="G34" s="2173"/>
      <c r="H34" s="2026"/>
      <c r="I34" s="1576"/>
      <c r="J34" s="1274" t="s">
        <v>12</v>
      </c>
      <c r="K34" s="1461">
        <f>50/3.4528*1000</f>
        <v>14481</v>
      </c>
      <c r="L34" s="835" t="s">
        <v>185</v>
      </c>
      <c r="M34" s="282">
        <v>3</v>
      </c>
    </row>
    <row r="35" spans="1:15" s="2" customFormat="1" ht="15.75" customHeight="1">
      <c r="A35" s="1525"/>
      <c r="B35" s="1551"/>
      <c r="C35" s="1564"/>
      <c r="D35" s="312" t="s">
        <v>34</v>
      </c>
      <c r="E35" s="1554" t="s">
        <v>306</v>
      </c>
      <c r="F35" s="2198"/>
      <c r="G35" s="2201" t="s">
        <v>367</v>
      </c>
      <c r="H35" s="1340" t="s">
        <v>53</v>
      </c>
      <c r="I35" s="2204" t="s">
        <v>322</v>
      </c>
      <c r="J35" s="22" t="s">
        <v>12</v>
      </c>
      <c r="K35" s="1294"/>
      <c r="L35" s="527"/>
      <c r="M35" s="1479"/>
    </row>
    <row r="36" spans="1:15" s="2" customFormat="1" ht="29.25" customHeight="1">
      <c r="A36" s="1525"/>
      <c r="B36" s="1551"/>
      <c r="C36" s="1564"/>
      <c r="D36" s="463"/>
      <c r="E36" s="445" t="s">
        <v>195</v>
      </c>
      <c r="F36" s="2199"/>
      <c r="G36" s="2202"/>
      <c r="H36" s="1529"/>
      <c r="I36" s="2151"/>
      <c r="J36" s="1274" t="s">
        <v>12</v>
      </c>
      <c r="K36" s="1457">
        <f>100/3.4528*1000</f>
        <v>28962</v>
      </c>
      <c r="L36" s="1598" t="s">
        <v>99</v>
      </c>
      <c r="M36" s="1480">
        <v>130</v>
      </c>
    </row>
    <row r="37" spans="1:15" s="2" customFormat="1" ht="26.25" customHeight="1">
      <c r="A37" s="1525"/>
      <c r="B37" s="1551"/>
      <c r="C37" s="1564"/>
      <c r="D37" s="462"/>
      <c r="E37" s="1220" t="s">
        <v>238</v>
      </c>
      <c r="F37" s="2200"/>
      <c r="G37" s="2203"/>
      <c r="H37" s="1571"/>
      <c r="I37" s="549"/>
      <c r="J37" s="1277" t="s">
        <v>12</v>
      </c>
      <c r="K37" s="1462">
        <f>(283.9+21.3+857.2+857.2)/3.4528*1000</f>
        <v>584917</v>
      </c>
      <c r="L37" s="1376" t="s">
        <v>226</v>
      </c>
      <c r="M37" s="1481">
        <v>2</v>
      </c>
    </row>
    <row r="38" spans="1:15" s="2" customFormat="1" ht="38.25" customHeight="1">
      <c r="A38" s="1525"/>
      <c r="B38" s="1527"/>
      <c r="C38" s="1597"/>
      <c r="D38" s="664" t="s">
        <v>35</v>
      </c>
      <c r="E38" s="1547" t="s">
        <v>145</v>
      </c>
      <c r="F38" s="1543"/>
      <c r="G38" s="1474" t="s">
        <v>341</v>
      </c>
      <c r="H38" s="1575" t="s">
        <v>53</v>
      </c>
      <c r="I38" s="1269" t="s">
        <v>72</v>
      </c>
      <c r="J38" s="12" t="s">
        <v>12</v>
      </c>
      <c r="K38" s="1295">
        <f>64.3/3.4528*1000</f>
        <v>18623</v>
      </c>
      <c r="L38" s="1557" t="s">
        <v>100</v>
      </c>
      <c r="M38" s="108">
        <v>18</v>
      </c>
    </row>
    <row r="39" spans="1:15" s="2" customFormat="1" ht="30.75" customHeight="1">
      <c r="A39" s="1525"/>
      <c r="B39" s="1527"/>
      <c r="C39" s="1597"/>
      <c r="D39" s="312" t="s">
        <v>36</v>
      </c>
      <c r="E39" s="1711" t="s">
        <v>181</v>
      </c>
      <c r="F39" s="1580"/>
      <c r="G39" s="2196" t="s">
        <v>366</v>
      </c>
      <c r="H39" s="1583" t="s">
        <v>53</v>
      </c>
      <c r="I39" s="2183" t="s">
        <v>122</v>
      </c>
      <c r="J39" s="585" t="s">
        <v>12</v>
      </c>
      <c r="K39" s="1294">
        <f>63.8/3.4528*1000</f>
        <v>18478</v>
      </c>
      <c r="L39" s="1279" t="s">
        <v>70</v>
      </c>
      <c r="M39" s="1482">
        <v>11</v>
      </c>
    </row>
    <row r="40" spans="1:15" s="2" customFormat="1" ht="59.25" customHeight="1">
      <c r="A40" s="319"/>
      <c r="B40" s="1527"/>
      <c r="C40" s="1597"/>
      <c r="D40" s="664"/>
      <c r="E40" s="1818"/>
      <c r="F40" s="1577"/>
      <c r="G40" s="2197"/>
      <c r="H40" s="1596"/>
      <c r="I40" s="2184"/>
      <c r="J40" s="12" t="s">
        <v>12</v>
      </c>
      <c r="K40" s="1295">
        <f>3/3.4528*1000</f>
        <v>869</v>
      </c>
      <c r="L40" s="1590" t="s">
        <v>182</v>
      </c>
      <c r="M40" s="282">
        <v>100</v>
      </c>
    </row>
    <row r="41" spans="1:15" s="2" customFormat="1" ht="31.5" customHeight="1">
      <c r="A41" s="319"/>
      <c r="B41" s="1527"/>
      <c r="C41" s="1564"/>
      <c r="D41" s="1569" t="s">
        <v>37</v>
      </c>
      <c r="E41" s="1711" t="s">
        <v>307</v>
      </c>
      <c r="F41" s="1580"/>
      <c r="G41" s="2172" t="s">
        <v>338</v>
      </c>
      <c r="H41" s="1581" t="s">
        <v>53</v>
      </c>
      <c r="I41" s="2204" t="s">
        <v>150</v>
      </c>
      <c r="J41" s="1475" t="s">
        <v>130</v>
      </c>
      <c r="K41" s="1294">
        <f>81.9/3.4528*1000</f>
        <v>23720</v>
      </c>
      <c r="L41" s="1539"/>
      <c r="M41" s="1483"/>
    </row>
    <row r="42" spans="1:15" s="2" customFormat="1" ht="38.25" customHeight="1">
      <c r="A42" s="319"/>
      <c r="B42" s="1551"/>
      <c r="C42" s="1597"/>
      <c r="D42" s="664"/>
      <c r="E42" s="2081"/>
      <c r="F42" s="1594"/>
      <c r="G42" s="2191"/>
      <c r="H42" s="1596"/>
      <c r="I42" s="2106"/>
      <c r="J42" s="111" t="s">
        <v>369</v>
      </c>
      <c r="K42" s="1295">
        <v>18</v>
      </c>
      <c r="L42" s="1590"/>
      <c r="M42" s="1484"/>
    </row>
    <row r="43" spans="1:15" s="2" customFormat="1" ht="45.75" customHeight="1">
      <c r="A43" s="1694"/>
      <c r="B43" s="1848"/>
      <c r="C43" s="2161"/>
      <c r="D43" s="1529" t="s">
        <v>33</v>
      </c>
      <c r="E43" s="1850" t="s">
        <v>308</v>
      </c>
      <c r="F43" s="2092"/>
      <c r="G43" s="2163" t="s">
        <v>341</v>
      </c>
      <c r="H43" s="2026"/>
      <c r="I43" s="1270" t="s">
        <v>71</v>
      </c>
      <c r="J43" s="12" t="s">
        <v>12</v>
      </c>
      <c r="K43" s="1295">
        <f>140/3.4528*1000</f>
        <v>40547</v>
      </c>
      <c r="L43" s="1590" t="s">
        <v>73</v>
      </c>
      <c r="M43" s="282">
        <v>35</v>
      </c>
    </row>
    <row r="44" spans="1:15" s="2" customFormat="1" ht="27.75" customHeight="1">
      <c r="A44" s="1768"/>
      <c r="B44" s="2160"/>
      <c r="C44" s="2162"/>
      <c r="D44" s="664"/>
      <c r="E44" s="1818"/>
      <c r="F44" s="2167"/>
      <c r="G44" s="2164"/>
      <c r="H44" s="2168"/>
      <c r="I44" s="1272" t="s">
        <v>77</v>
      </c>
      <c r="J44" s="14" t="s">
        <v>12</v>
      </c>
      <c r="K44" s="1295">
        <f>27/3.4528*1000</f>
        <v>7820</v>
      </c>
      <c r="L44" s="1258" t="s">
        <v>149</v>
      </c>
      <c r="M44" s="177">
        <v>65</v>
      </c>
    </row>
    <row r="45" spans="1:15" s="2" customFormat="1" ht="39.75" customHeight="1">
      <c r="A45" s="319"/>
      <c r="B45" s="1527"/>
      <c r="C45" s="1564"/>
      <c r="D45" s="1529" t="s">
        <v>38</v>
      </c>
      <c r="E45" s="1538" t="s">
        <v>240</v>
      </c>
      <c r="F45" s="2084"/>
      <c r="G45" s="2165" t="s">
        <v>365</v>
      </c>
      <c r="H45" s="2085" t="s">
        <v>53</v>
      </c>
      <c r="I45" s="1336" t="s">
        <v>77</v>
      </c>
      <c r="J45" s="111" t="s">
        <v>12</v>
      </c>
      <c r="K45" s="1293">
        <f>85/3.4528*1000</f>
        <v>24618</v>
      </c>
      <c r="L45" s="335" t="s">
        <v>193</v>
      </c>
      <c r="M45" s="108">
        <v>10</v>
      </c>
    </row>
    <row r="46" spans="1:15" s="2" customFormat="1" ht="42" customHeight="1">
      <c r="A46" s="319"/>
      <c r="B46" s="1527"/>
      <c r="C46" s="1564"/>
      <c r="D46" s="1529"/>
      <c r="E46" s="1572" t="s">
        <v>119</v>
      </c>
      <c r="F46" s="2084"/>
      <c r="G46" s="2165"/>
      <c r="H46" s="2085"/>
      <c r="I46" s="1567" t="s">
        <v>98</v>
      </c>
      <c r="J46" s="111" t="s">
        <v>12</v>
      </c>
      <c r="K46" s="1458">
        <f>15/3.4528*1000</f>
        <v>4344</v>
      </c>
      <c r="L46" s="860" t="s">
        <v>290</v>
      </c>
      <c r="M46" s="241">
        <v>2</v>
      </c>
    </row>
    <row r="47" spans="1:15" s="2" customFormat="1" ht="15" customHeight="1">
      <c r="A47" s="319"/>
      <c r="B47" s="1527"/>
      <c r="C47" s="1564"/>
      <c r="D47" s="312" t="s">
        <v>39</v>
      </c>
      <c r="E47" s="1572" t="s">
        <v>309</v>
      </c>
      <c r="F47" s="1580"/>
      <c r="G47" s="2166"/>
      <c r="H47" s="1581" t="s">
        <v>53</v>
      </c>
      <c r="I47" s="1271" t="s">
        <v>77</v>
      </c>
      <c r="J47" s="310" t="s">
        <v>12</v>
      </c>
      <c r="K47" s="1458">
        <f>(217-45)/3.4528*1000</f>
        <v>49815</v>
      </c>
      <c r="L47" s="418" t="s">
        <v>260</v>
      </c>
      <c r="M47" s="471" t="s">
        <v>194</v>
      </c>
    </row>
    <row r="48" spans="1:15" s="2" customFormat="1" ht="19.5" customHeight="1">
      <c r="A48" s="319"/>
      <c r="B48" s="1527"/>
      <c r="C48" s="1564"/>
      <c r="D48" s="1542" t="s">
        <v>40</v>
      </c>
      <c r="E48" s="1545" t="s">
        <v>148</v>
      </c>
      <c r="F48" s="1566"/>
      <c r="G48" s="1473" t="s">
        <v>339</v>
      </c>
      <c r="H48" s="379" t="s">
        <v>53</v>
      </c>
      <c r="I48" s="1272" t="s">
        <v>121</v>
      </c>
      <c r="J48" s="1305" t="s">
        <v>12</v>
      </c>
      <c r="K48" s="1458">
        <f>16.2/3.4528*1000</f>
        <v>4692</v>
      </c>
      <c r="L48" s="418" t="s">
        <v>291</v>
      </c>
      <c r="M48" s="177">
        <v>54</v>
      </c>
      <c r="N48" s="17"/>
      <c r="O48" s="17"/>
    </row>
    <row r="49" spans="1:18" s="2" customFormat="1" ht="14.25" customHeight="1" thickBot="1">
      <c r="A49" s="320"/>
      <c r="B49" s="1528"/>
      <c r="C49" s="338"/>
      <c r="D49" s="339"/>
      <c r="E49" s="339"/>
      <c r="F49" s="339"/>
      <c r="G49" s="339"/>
      <c r="H49" s="339"/>
      <c r="I49" s="1996" t="s">
        <v>101</v>
      </c>
      <c r="J49" s="1997"/>
      <c r="K49" s="1296">
        <f>SUM(K18:K48)</f>
        <v>6873172</v>
      </c>
      <c r="L49" s="1259"/>
      <c r="M49" s="344"/>
    </row>
    <row r="50" spans="1:18" s="2" customFormat="1" ht="27" customHeight="1">
      <c r="A50" s="1694" t="s">
        <v>8</v>
      </c>
      <c r="B50" s="1848" t="s">
        <v>8</v>
      </c>
      <c r="C50" s="1822" t="s">
        <v>9</v>
      </c>
      <c r="D50" s="1561"/>
      <c r="E50" s="1850" t="s">
        <v>118</v>
      </c>
      <c r="F50" s="2084"/>
      <c r="G50" s="2125" t="s">
        <v>344</v>
      </c>
      <c r="H50" s="2085" t="s">
        <v>53</v>
      </c>
      <c r="I50" s="2049" t="s">
        <v>121</v>
      </c>
      <c r="J50" s="144" t="s">
        <v>12</v>
      </c>
      <c r="K50" s="1295">
        <f>449.7/3.4528*1000</f>
        <v>130242</v>
      </c>
      <c r="L50" s="2157" t="s">
        <v>143</v>
      </c>
      <c r="M50" s="1908">
        <v>7</v>
      </c>
    </row>
    <row r="51" spans="1:18" s="2" customFormat="1" ht="15.75" customHeight="1" thickBot="1">
      <c r="A51" s="1695"/>
      <c r="B51" s="1849"/>
      <c r="C51" s="1811"/>
      <c r="D51" s="1562"/>
      <c r="E51" s="1846"/>
      <c r="F51" s="2058"/>
      <c r="G51" s="2127"/>
      <c r="H51" s="2083"/>
      <c r="I51" s="2051"/>
      <c r="J51" s="1533" t="s">
        <v>15</v>
      </c>
      <c r="K51" s="1297">
        <f t="shared" ref="K51" si="0">K50</f>
        <v>130242</v>
      </c>
      <c r="L51" s="2158"/>
      <c r="M51" s="1909"/>
    </row>
    <row r="52" spans="1:18" s="2" customFormat="1" ht="26.25" customHeight="1">
      <c r="A52" s="1694" t="s">
        <v>8</v>
      </c>
      <c r="B52" s="1848" t="s">
        <v>8</v>
      </c>
      <c r="C52" s="1822" t="s">
        <v>10</v>
      </c>
      <c r="D52" s="1561"/>
      <c r="E52" s="1850" t="s">
        <v>48</v>
      </c>
      <c r="F52" s="2084"/>
      <c r="G52" s="2125" t="s">
        <v>342</v>
      </c>
      <c r="H52" s="2085" t="s">
        <v>53</v>
      </c>
      <c r="I52" s="2049" t="s">
        <v>121</v>
      </c>
      <c r="J52" s="20" t="s">
        <v>12</v>
      </c>
      <c r="K52" s="1295">
        <f>844.9/3.4528*1000</f>
        <v>244700</v>
      </c>
      <c r="L52" s="2155" t="s">
        <v>142</v>
      </c>
      <c r="M52" s="1555">
        <v>31</v>
      </c>
    </row>
    <row r="53" spans="1:18" s="2" customFormat="1" ht="17.25" customHeight="1" thickBot="1">
      <c r="A53" s="1695"/>
      <c r="B53" s="1849"/>
      <c r="C53" s="1811"/>
      <c r="D53" s="1562"/>
      <c r="E53" s="1846"/>
      <c r="F53" s="2058"/>
      <c r="G53" s="2127"/>
      <c r="H53" s="2083"/>
      <c r="I53" s="2051"/>
      <c r="J53" s="1533" t="s">
        <v>15</v>
      </c>
      <c r="K53" s="1297">
        <f t="shared" ref="K53" si="1">K52</f>
        <v>244700</v>
      </c>
      <c r="L53" s="1868"/>
      <c r="M53" s="1556"/>
    </row>
    <row r="54" spans="1:18" s="2" customFormat="1" ht="29.25" customHeight="1">
      <c r="A54" s="1754" t="s">
        <v>8</v>
      </c>
      <c r="B54" s="1755" t="s">
        <v>8</v>
      </c>
      <c r="C54" s="1810" t="s">
        <v>11</v>
      </c>
      <c r="D54" s="1560"/>
      <c r="E54" s="1845" t="s">
        <v>137</v>
      </c>
      <c r="F54" s="2057"/>
      <c r="G54" s="2125" t="s">
        <v>343</v>
      </c>
      <c r="H54" s="2077" t="s">
        <v>53</v>
      </c>
      <c r="I54" s="2049" t="s">
        <v>121</v>
      </c>
      <c r="J54" s="1249" t="s">
        <v>12</v>
      </c>
      <c r="K54" s="1423">
        <f>322.3/3.4528*1000</f>
        <v>93345</v>
      </c>
      <c r="L54" s="2157" t="s">
        <v>78</v>
      </c>
      <c r="M54" s="1843">
        <v>7</v>
      </c>
    </row>
    <row r="55" spans="1:18" s="2" customFormat="1" ht="14.25" customHeight="1" thickBot="1">
      <c r="A55" s="1695"/>
      <c r="B55" s="1697"/>
      <c r="C55" s="1811"/>
      <c r="D55" s="1562"/>
      <c r="E55" s="1846"/>
      <c r="F55" s="2058"/>
      <c r="G55" s="2127"/>
      <c r="H55" s="2083"/>
      <c r="I55" s="2051"/>
      <c r="J55" s="1250" t="s">
        <v>15</v>
      </c>
      <c r="K55" s="1298">
        <f t="shared" ref="K55" si="2">K54</f>
        <v>93345</v>
      </c>
      <c r="L55" s="2158"/>
      <c r="M55" s="1844"/>
    </row>
    <row r="56" spans="1:18" s="2" customFormat="1" ht="25.5" customHeight="1">
      <c r="A56" s="1754" t="s">
        <v>8</v>
      </c>
      <c r="B56" s="1755" t="s">
        <v>8</v>
      </c>
      <c r="C56" s="1810" t="s">
        <v>32</v>
      </c>
      <c r="D56" s="1560"/>
      <c r="E56" s="1845" t="s">
        <v>157</v>
      </c>
      <c r="F56" s="2057"/>
      <c r="G56" s="2159" t="s">
        <v>353</v>
      </c>
      <c r="H56" s="2077" t="s">
        <v>53</v>
      </c>
      <c r="I56" s="1558" t="s">
        <v>98</v>
      </c>
      <c r="J56" s="144" t="s">
        <v>12</v>
      </c>
      <c r="K56" s="1299">
        <f>42.4/3.4528*1000</f>
        <v>12280</v>
      </c>
      <c r="L56" s="1592"/>
      <c r="M56" s="1555"/>
      <c r="R56" s="723"/>
    </row>
    <row r="57" spans="1:18" s="2" customFormat="1" ht="49.5" customHeight="1" thickBot="1">
      <c r="A57" s="1695"/>
      <c r="B57" s="1697"/>
      <c r="C57" s="1811"/>
      <c r="D57" s="1562"/>
      <c r="E57" s="1847"/>
      <c r="F57" s="2058"/>
      <c r="G57" s="2127"/>
      <c r="H57" s="2083"/>
      <c r="I57" s="1582"/>
      <c r="J57" s="1533" t="s">
        <v>15</v>
      </c>
      <c r="K57" s="1297">
        <f t="shared" ref="K57" si="3">SUM(K56:K56)</f>
        <v>12280</v>
      </c>
      <c r="L57" s="1092"/>
      <c r="M57" s="1379"/>
    </row>
    <row r="58" spans="1:18" s="2" customFormat="1" ht="89.25" customHeight="1">
      <c r="A58" s="1525" t="s">
        <v>8</v>
      </c>
      <c r="B58" s="196" t="s">
        <v>8</v>
      </c>
      <c r="C58" s="349" t="s">
        <v>34</v>
      </c>
      <c r="D58" s="1561"/>
      <c r="E58" s="1530" t="s">
        <v>139</v>
      </c>
      <c r="F58" s="727"/>
      <c r="G58" s="728"/>
      <c r="H58" s="1576"/>
      <c r="I58" s="830"/>
      <c r="J58" s="20" t="s">
        <v>12</v>
      </c>
      <c r="K58" s="1295"/>
      <c r="L58" s="112"/>
      <c r="M58" s="108"/>
    </row>
    <row r="59" spans="1:18" s="2" customFormat="1" ht="54" customHeight="1">
      <c r="A59" s="1525"/>
      <c r="B59" s="196"/>
      <c r="C59" s="349"/>
      <c r="D59" s="379" t="s">
        <v>8</v>
      </c>
      <c r="E59" s="1545" t="s">
        <v>120</v>
      </c>
      <c r="F59" s="247"/>
      <c r="G59" s="1468" t="s">
        <v>352</v>
      </c>
      <c r="H59" s="248" t="s">
        <v>53</v>
      </c>
      <c r="I59" s="578" t="s">
        <v>121</v>
      </c>
      <c r="J59" s="20" t="s">
        <v>12</v>
      </c>
      <c r="K59" s="1458">
        <v>37187</v>
      </c>
      <c r="L59" s="112" t="s">
        <v>116</v>
      </c>
      <c r="M59" s="108">
        <v>1</v>
      </c>
    </row>
    <row r="60" spans="1:18" s="2" customFormat="1" ht="16.5" customHeight="1">
      <c r="A60" s="1525"/>
      <c r="B60" s="196"/>
      <c r="C60" s="349"/>
      <c r="D60" s="592" t="s">
        <v>9</v>
      </c>
      <c r="E60" s="593" t="s">
        <v>219</v>
      </c>
      <c r="F60" s="1343"/>
      <c r="G60" s="1501" t="s">
        <v>351</v>
      </c>
      <c r="H60" s="1344" t="s">
        <v>54</v>
      </c>
      <c r="I60" s="2207" t="s">
        <v>123</v>
      </c>
      <c r="J60" s="386" t="s">
        <v>12</v>
      </c>
      <c r="K60" s="1294">
        <f>92/3.4528*1000</f>
        <v>26645</v>
      </c>
      <c r="L60" s="1260" t="s">
        <v>292</v>
      </c>
      <c r="M60" s="424">
        <v>7</v>
      </c>
      <c r="N60" s="1377"/>
    </row>
    <row r="61" spans="1:18" s="2" customFormat="1" ht="19.5" customHeight="1">
      <c r="A61" s="1525"/>
      <c r="B61" s="196"/>
      <c r="C61" s="349"/>
      <c r="D61" s="1575" t="s">
        <v>10</v>
      </c>
      <c r="E61" s="591" t="s">
        <v>206</v>
      </c>
      <c r="F61" s="1342"/>
      <c r="G61" s="1500" t="s">
        <v>351</v>
      </c>
      <c r="H61" s="1575"/>
      <c r="I61" s="2208"/>
      <c r="J61" s="1251" t="s">
        <v>12</v>
      </c>
      <c r="K61" s="1300">
        <f>15.8/3.4528*1000</f>
        <v>4576</v>
      </c>
      <c r="L61" s="1261" t="s">
        <v>261</v>
      </c>
      <c r="M61" s="270">
        <v>2</v>
      </c>
    </row>
    <row r="62" spans="1:18" s="2" customFormat="1" ht="20.25" customHeight="1" thickBot="1">
      <c r="A62" s="1526"/>
      <c r="B62" s="1528"/>
      <c r="C62" s="338"/>
      <c r="D62" s="339"/>
      <c r="E62" s="339"/>
      <c r="F62" s="339"/>
      <c r="G62" s="339"/>
      <c r="H62" s="339"/>
      <c r="I62" s="1996" t="s">
        <v>101</v>
      </c>
      <c r="J62" s="1997"/>
      <c r="K62" s="1301">
        <f t="shared" ref="K62" si="4">SUM(K59:K61)</f>
        <v>68408</v>
      </c>
      <c r="L62" s="850"/>
      <c r="M62" s="367"/>
    </row>
    <row r="63" spans="1:18" s="11" customFormat="1" ht="16.5" customHeight="1">
      <c r="A63" s="1694" t="s">
        <v>8</v>
      </c>
      <c r="B63" s="1696" t="s">
        <v>8</v>
      </c>
      <c r="C63" s="1822" t="s">
        <v>35</v>
      </c>
      <c r="D63" s="87"/>
      <c r="E63" s="1833" t="s">
        <v>28</v>
      </c>
      <c r="F63" s="2069"/>
      <c r="G63" s="2152" t="s">
        <v>364</v>
      </c>
      <c r="H63" s="2080" t="s">
        <v>53</v>
      </c>
      <c r="I63" s="1998" t="s">
        <v>124</v>
      </c>
      <c r="J63" s="1424" t="s">
        <v>12</v>
      </c>
      <c r="K63" s="1425">
        <v>4439883</v>
      </c>
      <c r="L63" s="2155" t="s">
        <v>106</v>
      </c>
      <c r="M63" s="1555">
        <v>6</v>
      </c>
    </row>
    <row r="64" spans="1:18" s="11" customFormat="1" ht="21" customHeight="1">
      <c r="A64" s="1694"/>
      <c r="B64" s="1696"/>
      <c r="C64" s="1822"/>
      <c r="D64" s="87"/>
      <c r="E64" s="1833"/>
      <c r="F64" s="2069"/>
      <c r="G64" s="2153"/>
      <c r="H64" s="2080"/>
      <c r="I64" s="1998"/>
      <c r="J64" s="90" t="s">
        <v>179</v>
      </c>
      <c r="K64" s="1292">
        <v>4792058</v>
      </c>
      <c r="L64" s="2156"/>
      <c r="M64" s="189"/>
    </row>
    <row r="65" spans="1:14" s="11" customFormat="1" ht="20.25" customHeight="1" thickBot="1">
      <c r="A65" s="1695"/>
      <c r="B65" s="1697"/>
      <c r="C65" s="1811"/>
      <c r="D65" s="88"/>
      <c r="E65" s="1824"/>
      <c r="F65" s="2070"/>
      <c r="G65" s="2154"/>
      <c r="H65" s="2074"/>
      <c r="I65" s="1999"/>
      <c r="J65" s="1286" t="s">
        <v>15</v>
      </c>
      <c r="K65" s="1325">
        <f>K63+K64</f>
        <v>9231941</v>
      </c>
      <c r="L65" s="1954"/>
      <c r="M65" s="1556"/>
    </row>
    <row r="66" spans="1:14" s="11" customFormat="1" ht="37.5" customHeight="1">
      <c r="A66" s="1754" t="s">
        <v>8</v>
      </c>
      <c r="B66" s="1755" t="s">
        <v>8</v>
      </c>
      <c r="C66" s="1822" t="s">
        <v>36</v>
      </c>
      <c r="D66" s="87"/>
      <c r="E66" s="1823" t="s">
        <v>81</v>
      </c>
      <c r="F66" s="2069"/>
      <c r="G66" s="2148" t="s">
        <v>345</v>
      </c>
      <c r="H66" s="2073" t="s">
        <v>53</v>
      </c>
      <c r="I66" s="2075" t="s">
        <v>121</v>
      </c>
      <c r="J66" s="1252" t="s">
        <v>12</v>
      </c>
      <c r="K66" s="1292">
        <f>100/3.4528*1000</f>
        <v>28962</v>
      </c>
      <c r="L66" s="1262"/>
      <c r="M66" s="75"/>
    </row>
    <row r="67" spans="1:14" s="11" customFormat="1" ht="26.25" customHeight="1" thickBot="1">
      <c r="A67" s="1695"/>
      <c r="B67" s="1697"/>
      <c r="C67" s="1811"/>
      <c r="D67" s="88"/>
      <c r="E67" s="1824"/>
      <c r="F67" s="2070"/>
      <c r="G67" s="2149"/>
      <c r="H67" s="2074"/>
      <c r="I67" s="2076"/>
      <c r="J67" s="1287" t="s">
        <v>15</v>
      </c>
      <c r="K67" s="1327">
        <f>K66</f>
        <v>28962</v>
      </c>
      <c r="L67" s="1263"/>
      <c r="M67" s="79"/>
    </row>
    <row r="68" spans="1:14" s="2" customFormat="1" ht="24.75" customHeight="1">
      <c r="A68" s="321" t="s">
        <v>8</v>
      </c>
      <c r="B68" s="85" t="s">
        <v>8</v>
      </c>
      <c r="C68" s="356" t="s">
        <v>37</v>
      </c>
      <c r="D68" s="204"/>
      <c r="E68" s="370" t="s">
        <v>138</v>
      </c>
      <c r="F68" s="1280"/>
      <c r="G68" s="1350"/>
      <c r="H68" s="1281">
        <v>1</v>
      </c>
      <c r="I68" s="1282"/>
      <c r="J68" s="144"/>
      <c r="K68" s="628"/>
      <c r="L68" s="1283"/>
      <c r="M68" s="75"/>
    </row>
    <row r="69" spans="1:14" s="2" customFormat="1" ht="13.5" customHeight="1">
      <c r="A69" s="317"/>
      <c r="B69" s="86"/>
      <c r="C69" s="336"/>
      <c r="D69" s="2065" t="s">
        <v>8</v>
      </c>
      <c r="E69" s="1818" t="s">
        <v>310</v>
      </c>
      <c r="F69" s="100"/>
      <c r="G69" s="101"/>
      <c r="H69" s="313">
        <v>1</v>
      </c>
      <c r="I69" s="2150" t="s">
        <v>125</v>
      </c>
      <c r="J69" s="394" t="s">
        <v>12</v>
      </c>
      <c r="K69" s="1293">
        <v>36317</v>
      </c>
      <c r="L69" s="1598" t="s">
        <v>293</v>
      </c>
      <c r="M69" s="189">
        <v>100</v>
      </c>
    </row>
    <row r="70" spans="1:14" s="2" customFormat="1" ht="15" customHeight="1">
      <c r="A70" s="317"/>
      <c r="B70" s="86"/>
      <c r="C70" s="336"/>
      <c r="D70" s="1822"/>
      <c r="E70" s="1815"/>
      <c r="F70" s="1289"/>
      <c r="G70" s="1599"/>
      <c r="H70" s="1290"/>
      <c r="I70" s="2151"/>
      <c r="J70" s="838" t="s">
        <v>45</v>
      </c>
      <c r="K70" s="1459">
        <f>40/3.4528*1000</f>
        <v>11585</v>
      </c>
      <c r="L70" s="566" t="s">
        <v>102</v>
      </c>
      <c r="M70" s="568">
        <v>38</v>
      </c>
    </row>
    <row r="71" spans="1:14" s="2" customFormat="1" ht="15" customHeight="1">
      <c r="A71" s="317"/>
      <c r="B71" s="86"/>
      <c r="C71" s="336"/>
      <c r="D71" s="1822"/>
      <c r="E71" s="1711"/>
      <c r="F71" s="1289"/>
      <c r="G71" s="1463"/>
      <c r="H71" s="1290"/>
      <c r="I71" s="1284"/>
      <c r="J71" s="20"/>
      <c r="K71" s="1295"/>
      <c r="L71" s="262" t="s">
        <v>197</v>
      </c>
      <c r="M71" s="189">
        <v>65</v>
      </c>
    </row>
    <row r="72" spans="1:14" s="2" customFormat="1" ht="39" customHeight="1">
      <c r="A72" s="317"/>
      <c r="B72" s="86"/>
      <c r="C72" s="336"/>
      <c r="D72" s="1346" t="s">
        <v>9</v>
      </c>
      <c r="E72" s="1816" t="s">
        <v>51</v>
      </c>
      <c r="F72" s="1289"/>
      <c r="G72" s="1465"/>
      <c r="H72" s="1290"/>
      <c r="I72" s="1284"/>
      <c r="J72" s="1375" t="s">
        <v>12</v>
      </c>
      <c r="K72" s="1456">
        <f>103.5/3.4528*1000</f>
        <v>29976</v>
      </c>
      <c r="L72" s="422" t="s">
        <v>266</v>
      </c>
      <c r="M72" s="424">
        <v>19</v>
      </c>
    </row>
    <row r="73" spans="1:14" s="2" customFormat="1" ht="39" customHeight="1">
      <c r="A73" s="317"/>
      <c r="B73" s="86"/>
      <c r="C73" s="336"/>
      <c r="D73" s="667"/>
      <c r="E73" s="1817"/>
      <c r="F73" s="1289"/>
      <c r="G73" s="1463"/>
      <c r="H73" s="1290"/>
      <c r="I73" s="1502"/>
      <c r="J73" s="93"/>
      <c r="K73" s="1295"/>
      <c r="L73" s="525"/>
      <c r="M73" s="762"/>
    </row>
    <row r="74" spans="1:14" s="2" customFormat="1" ht="40.5" customHeight="1">
      <c r="A74" s="317"/>
      <c r="B74" s="86"/>
      <c r="C74" s="336"/>
      <c r="D74" s="667" t="s">
        <v>10</v>
      </c>
      <c r="E74" s="1522" t="s">
        <v>79</v>
      </c>
      <c r="F74" s="1289"/>
      <c r="G74" s="1463"/>
      <c r="H74" s="1290"/>
      <c r="I74" s="1285"/>
      <c r="J74" s="93" t="s">
        <v>12</v>
      </c>
      <c r="K74" s="1293">
        <v>71535</v>
      </c>
      <c r="L74" s="594" t="s">
        <v>198</v>
      </c>
      <c r="M74" s="764">
        <v>5</v>
      </c>
    </row>
    <row r="75" spans="1:14" s="2" customFormat="1" ht="20.25" customHeight="1">
      <c r="A75" s="317"/>
      <c r="B75" s="86"/>
      <c r="C75" s="336"/>
      <c r="D75" s="667" t="s">
        <v>11</v>
      </c>
      <c r="E75" s="1522" t="s">
        <v>199</v>
      </c>
      <c r="F75" s="1289"/>
      <c r="G75" s="2209" t="s">
        <v>348</v>
      </c>
      <c r="H75" s="1290"/>
      <c r="I75" s="279"/>
      <c r="J75" s="93" t="s">
        <v>12</v>
      </c>
      <c r="K75" s="1458">
        <f>48/3.4528*1000</f>
        <v>13902</v>
      </c>
      <c r="L75" s="112" t="s">
        <v>103</v>
      </c>
      <c r="M75" s="189">
        <v>48</v>
      </c>
      <c r="N75" s="17"/>
    </row>
    <row r="76" spans="1:14" s="2" customFormat="1" ht="20.25" customHeight="1">
      <c r="A76" s="317"/>
      <c r="B76" s="201"/>
      <c r="C76" s="357"/>
      <c r="D76" s="358" t="s">
        <v>32</v>
      </c>
      <c r="E76" s="1523" t="s">
        <v>159</v>
      </c>
      <c r="F76" s="1289"/>
      <c r="G76" s="2210"/>
      <c r="H76" s="1290"/>
      <c r="I76" s="1589"/>
      <c r="J76" s="276" t="s">
        <v>12</v>
      </c>
      <c r="K76" s="1295">
        <f>43/3.4528*1000</f>
        <v>12454</v>
      </c>
      <c r="L76" s="112" t="s">
        <v>267</v>
      </c>
      <c r="M76" s="77">
        <v>116</v>
      </c>
    </row>
    <row r="77" spans="1:14" s="2" customFormat="1" ht="40.5" customHeight="1">
      <c r="A77" s="317"/>
      <c r="B77" s="86"/>
      <c r="C77" s="357"/>
      <c r="D77" s="2066" t="s">
        <v>34</v>
      </c>
      <c r="E77" s="2068" t="s">
        <v>66</v>
      </c>
      <c r="F77" s="1289"/>
      <c r="G77" s="1465"/>
      <c r="H77" s="1290"/>
      <c r="I77" s="1589"/>
      <c r="J77" s="840" t="s">
        <v>12</v>
      </c>
      <c r="K77" s="1457">
        <f>17.1/3.4528*1000</f>
        <v>4953</v>
      </c>
      <c r="L77" s="1335" t="s">
        <v>200</v>
      </c>
      <c r="M77" s="951">
        <v>31</v>
      </c>
    </row>
    <row r="78" spans="1:14" s="2" customFormat="1" ht="28.5" customHeight="1">
      <c r="A78" s="668"/>
      <c r="B78" s="669"/>
      <c r="C78" s="1503"/>
      <c r="D78" s="2067"/>
      <c r="E78" s="2068"/>
      <c r="F78" s="1438"/>
      <c r="G78" s="1504"/>
      <c r="H78" s="1464"/>
      <c r="I78" s="1586"/>
      <c r="J78" s="167" t="s">
        <v>13</v>
      </c>
      <c r="K78" s="1295">
        <f>14/3.4528*1000</f>
        <v>4055</v>
      </c>
      <c r="L78" s="1264" t="s">
        <v>201</v>
      </c>
      <c r="M78" s="770" t="s">
        <v>44</v>
      </c>
    </row>
    <row r="79" spans="1:14" s="2" customFormat="1" ht="40.5" customHeight="1">
      <c r="A79" s="1439"/>
      <c r="B79" s="1440"/>
      <c r="C79" s="1505"/>
      <c r="D79" s="1506" t="s">
        <v>35</v>
      </c>
      <c r="E79" s="1507" t="s">
        <v>284</v>
      </c>
      <c r="F79" s="1441"/>
      <c r="G79" s="1508"/>
      <c r="H79" s="1509"/>
      <c r="I79" s="2150" t="s">
        <v>125</v>
      </c>
      <c r="J79" s="276" t="s">
        <v>12</v>
      </c>
      <c r="K79" s="1458">
        <f>9/3.4528*1000</f>
        <v>2607</v>
      </c>
      <c r="L79" s="329" t="s">
        <v>209</v>
      </c>
      <c r="M79" s="77">
        <v>30</v>
      </c>
    </row>
    <row r="80" spans="1:14" s="2" customFormat="1" ht="27" customHeight="1">
      <c r="A80" s="317"/>
      <c r="B80" s="201"/>
      <c r="C80" s="357"/>
      <c r="D80" s="2052" t="s">
        <v>36</v>
      </c>
      <c r="E80" s="1691" t="s">
        <v>203</v>
      </c>
      <c r="F80" s="1291"/>
      <c r="G80" s="1465"/>
      <c r="H80" s="1290"/>
      <c r="I80" s="2151"/>
      <c r="J80" s="1375" t="s">
        <v>12</v>
      </c>
      <c r="K80" s="1456">
        <f>32/3.4528*1000</f>
        <v>9268</v>
      </c>
      <c r="L80" s="527" t="s">
        <v>294</v>
      </c>
      <c r="M80" s="424">
        <v>1</v>
      </c>
    </row>
    <row r="81" spans="1:15" s="2" customFormat="1" ht="27" customHeight="1">
      <c r="A81" s="317"/>
      <c r="B81" s="201"/>
      <c r="C81" s="357"/>
      <c r="D81" s="1693"/>
      <c r="E81" s="1693"/>
      <c r="F81" s="1291"/>
      <c r="G81" s="1465"/>
      <c r="H81" s="1290"/>
      <c r="I81" s="1285"/>
      <c r="J81" s="167"/>
      <c r="K81" s="1295"/>
      <c r="L81" s="112" t="s">
        <v>208</v>
      </c>
      <c r="M81" s="108">
        <v>1</v>
      </c>
    </row>
    <row r="82" spans="1:15" s="2" customFormat="1" ht="38.25" customHeight="1">
      <c r="A82" s="317"/>
      <c r="B82" s="201"/>
      <c r="C82" s="357"/>
      <c r="D82" s="1373" t="s">
        <v>37</v>
      </c>
      <c r="E82" s="1827" t="s">
        <v>202</v>
      </c>
      <c r="F82" s="1291"/>
      <c r="G82" s="1465"/>
      <c r="H82" s="1290"/>
      <c r="I82" s="1285"/>
      <c r="J82" s="1374" t="s">
        <v>12</v>
      </c>
      <c r="K82" s="1456">
        <f>134.5/3.4528*1000</f>
        <v>38954</v>
      </c>
      <c r="L82" s="1365" t="s">
        <v>295</v>
      </c>
      <c r="M82" s="424">
        <v>2</v>
      </c>
    </row>
    <row r="83" spans="1:15" s="2" customFormat="1" ht="24" customHeight="1">
      <c r="A83" s="317"/>
      <c r="B83" s="201"/>
      <c r="C83" s="357"/>
      <c r="D83" s="702"/>
      <c r="E83" s="1828"/>
      <c r="F83" s="1291"/>
      <c r="G83" s="1466"/>
      <c r="H83" s="1290"/>
      <c r="I83" s="1285"/>
      <c r="J83" s="840"/>
      <c r="K83" s="1457"/>
      <c r="L83" s="1398" t="s">
        <v>328</v>
      </c>
      <c r="M83" s="836">
        <v>1</v>
      </c>
    </row>
    <row r="84" spans="1:15" s="2" customFormat="1" ht="51.75" customHeight="1">
      <c r="A84" s="317"/>
      <c r="B84" s="201"/>
      <c r="C84" s="357"/>
      <c r="D84" s="1366"/>
      <c r="E84" s="1693"/>
      <c r="F84" s="1291"/>
      <c r="G84" s="1372"/>
      <c r="H84" s="1290"/>
      <c r="I84" s="1285"/>
      <c r="J84" s="167" t="s">
        <v>12</v>
      </c>
      <c r="K84" s="1295">
        <v>8000</v>
      </c>
      <c r="L84" s="335" t="s">
        <v>333</v>
      </c>
      <c r="M84" s="282">
        <v>60</v>
      </c>
    </row>
    <row r="85" spans="1:15" s="2" customFormat="1" ht="27.75" customHeight="1">
      <c r="A85" s="317"/>
      <c r="B85" s="201"/>
      <c r="C85" s="357"/>
      <c r="D85" s="363" t="s">
        <v>33</v>
      </c>
      <c r="E85" s="1572" t="s">
        <v>205</v>
      </c>
      <c r="F85" s="1347"/>
      <c r="G85" s="1469" t="s">
        <v>350</v>
      </c>
      <c r="H85" s="1348"/>
      <c r="I85" s="280"/>
      <c r="J85" s="167" t="s">
        <v>12</v>
      </c>
      <c r="K85" s="1295"/>
      <c r="L85" s="112" t="s">
        <v>204</v>
      </c>
      <c r="M85" s="108"/>
    </row>
    <row r="86" spans="1:15" s="2" customFormat="1" ht="15" customHeight="1">
      <c r="A86" s="317"/>
      <c r="B86" s="201"/>
      <c r="C86" s="357"/>
      <c r="D86" s="547">
        <v>11</v>
      </c>
      <c r="E86" s="1572" t="s">
        <v>207</v>
      </c>
      <c r="F86" s="548"/>
      <c r="G86" s="1349" t="s">
        <v>349</v>
      </c>
      <c r="H86" s="550">
        <v>1</v>
      </c>
      <c r="I86" s="385" t="s">
        <v>216</v>
      </c>
      <c r="J86" s="167" t="s">
        <v>12</v>
      </c>
      <c r="K86" s="1458">
        <f>50/3.4528*1000</f>
        <v>14481</v>
      </c>
      <c r="L86" s="335" t="s">
        <v>296</v>
      </c>
      <c r="M86" s="1485" t="s">
        <v>217</v>
      </c>
      <c r="N86" s="17"/>
    </row>
    <row r="87" spans="1:15" s="2" customFormat="1" ht="33.75" customHeight="1">
      <c r="A87" s="317"/>
      <c r="B87" s="201"/>
      <c r="C87" s="357"/>
      <c r="D87" s="547">
        <v>12</v>
      </c>
      <c r="E87" s="1572" t="s">
        <v>330</v>
      </c>
      <c r="F87" s="548"/>
      <c r="G87" s="1470" t="s">
        <v>355</v>
      </c>
      <c r="H87" s="550">
        <v>1</v>
      </c>
      <c r="I87" s="385" t="s">
        <v>125</v>
      </c>
      <c r="J87" s="167" t="s">
        <v>12</v>
      </c>
      <c r="K87" s="1293">
        <v>7000</v>
      </c>
      <c r="L87" s="335" t="s">
        <v>331</v>
      </c>
      <c r="M87" s="1485" t="s">
        <v>332</v>
      </c>
      <c r="N87" s="17"/>
      <c r="O87" s="1377"/>
    </row>
    <row r="88" spans="1:15" s="2" customFormat="1" ht="18.75" customHeight="1" thickBot="1">
      <c r="A88" s="322"/>
      <c r="B88" s="202"/>
      <c r="C88" s="339"/>
      <c r="D88" s="339"/>
      <c r="E88" s="339"/>
      <c r="F88" s="339"/>
      <c r="G88" s="339"/>
      <c r="H88" s="339"/>
      <c r="I88" s="1996" t="s">
        <v>101</v>
      </c>
      <c r="J88" s="1997"/>
      <c r="K88" s="1325">
        <f>SUM(K69:K87)</f>
        <v>265087</v>
      </c>
      <c r="L88" s="850"/>
      <c r="M88" s="1486"/>
    </row>
    <row r="89" spans="1:15" s="2" customFormat="1" ht="15" customHeight="1">
      <c r="A89" s="1754" t="s">
        <v>8</v>
      </c>
      <c r="B89" s="1755" t="s">
        <v>8</v>
      </c>
      <c r="C89" s="1810" t="s">
        <v>33</v>
      </c>
      <c r="D89" s="2053"/>
      <c r="E89" s="2146" t="s">
        <v>55</v>
      </c>
      <c r="F89" s="2057"/>
      <c r="G89" s="2125" t="s">
        <v>346</v>
      </c>
      <c r="H89" s="2059">
        <v>1</v>
      </c>
      <c r="I89" s="2024" t="s">
        <v>321</v>
      </c>
      <c r="J89" s="1253" t="s">
        <v>12</v>
      </c>
      <c r="K89" s="1324">
        <f>30/3.4528*1000</f>
        <v>8689</v>
      </c>
      <c r="L89" s="1265" t="s">
        <v>271</v>
      </c>
      <c r="M89" s="1555">
        <v>5</v>
      </c>
    </row>
    <row r="90" spans="1:15" s="2" customFormat="1" ht="16.5" customHeight="1" thickBot="1">
      <c r="A90" s="1695"/>
      <c r="B90" s="1697"/>
      <c r="C90" s="1811"/>
      <c r="D90" s="2054"/>
      <c r="E90" s="2147"/>
      <c r="F90" s="2058"/>
      <c r="G90" s="2127"/>
      <c r="H90" s="2060"/>
      <c r="I90" s="2018"/>
      <c r="J90" s="1288" t="s">
        <v>15</v>
      </c>
      <c r="K90" s="1325">
        <f t="shared" ref="K90" si="5">SUM(K89)</f>
        <v>8689</v>
      </c>
      <c r="L90" s="1266"/>
      <c r="M90" s="1556"/>
    </row>
    <row r="91" spans="1:15" s="23" customFormat="1" ht="20.25" customHeight="1">
      <c r="A91" s="1754" t="s">
        <v>8</v>
      </c>
      <c r="B91" s="1755" t="s">
        <v>8</v>
      </c>
      <c r="C91" s="1773" t="s">
        <v>38</v>
      </c>
      <c r="D91" s="2023"/>
      <c r="E91" s="1357" t="s">
        <v>152</v>
      </c>
      <c r="F91" s="2043"/>
      <c r="G91" s="2131" t="s">
        <v>347</v>
      </c>
      <c r="H91" s="1713" t="s">
        <v>54</v>
      </c>
      <c r="I91" s="2049" t="s">
        <v>126</v>
      </c>
      <c r="J91" s="1254"/>
      <c r="K91" s="1345"/>
      <c r="L91" s="296"/>
      <c r="M91" s="75"/>
    </row>
    <row r="92" spans="1:15" s="23" customFormat="1" ht="14.25" customHeight="1">
      <c r="A92" s="1694"/>
      <c r="B92" s="1696"/>
      <c r="C92" s="1774"/>
      <c r="D92" s="2015"/>
      <c r="E92" s="1358" t="s">
        <v>154</v>
      </c>
      <c r="F92" s="2082"/>
      <c r="G92" s="2039"/>
      <c r="H92" s="1753"/>
      <c r="I92" s="2050"/>
      <c r="J92" s="1359" t="s">
        <v>47</v>
      </c>
      <c r="K92" s="1295">
        <f>988.793/3.4528*1000</f>
        <v>286374</v>
      </c>
      <c r="L92" s="335" t="s">
        <v>156</v>
      </c>
      <c r="M92" s="108">
        <v>780</v>
      </c>
    </row>
    <row r="93" spans="1:15" s="23" customFormat="1" ht="14.25" customHeight="1">
      <c r="A93" s="1694"/>
      <c r="B93" s="1696"/>
      <c r="C93" s="1801"/>
      <c r="D93" s="2042"/>
      <c r="E93" s="1524" t="s">
        <v>153</v>
      </c>
      <c r="F93" s="2044"/>
      <c r="G93" s="2144" t="s">
        <v>354</v>
      </c>
      <c r="H93" s="1714"/>
      <c r="I93" s="2050"/>
      <c r="J93" s="261" t="s">
        <v>47</v>
      </c>
      <c r="K93" s="1293">
        <v>7820</v>
      </c>
      <c r="L93" s="1791" t="s">
        <v>155</v>
      </c>
      <c r="M93" s="189">
        <v>1</v>
      </c>
    </row>
    <row r="94" spans="1:15" s="23" customFormat="1" ht="15.75" customHeight="1" thickBot="1">
      <c r="A94" s="1695"/>
      <c r="B94" s="1697"/>
      <c r="C94" s="1775"/>
      <c r="D94" s="2016"/>
      <c r="E94" s="302"/>
      <c r="F94" s="2045"/>
      <c r="G94" s="2145"/>
      <c r="H94" s="1715"/>
      <c r="I94" s="2051"/>
      <c r="J94" s="1288" t="s">
        <v>15</v>
      </c>
      <c r="K94" s="1325">
        <f>SUM(K91:K93)</f>
        <v>294194</v>
      </c>
      <c r="L94" s="1792"/>
      <c r="M94" s="1556"/>
    </row>
    <row r="95" spans="1:15" s="2" customFormat="1" ht="29.25" customHeight="1" thickBot="1">
      <c r="A95" s="1526" t="s">
        <v>8</v>
      </c>
      <c r="B95" s="1528" t="s">
        <v>8</v>
      </c>
      <c r="C95" s="1793" t="s">
        <v>16</v>
      </c>
      <c r="D95" s="1765"/>
      <c r="E95" s="1765"/>
      <c r="F95" s="1765"/>
      <c r="G95" s="1765"/>
      <c r="H95" s="1765"/>
      <c r="I95" s="1765"/>
      <c r="J95" s="1765"/>
      <c r="K95" s="1326">
        <f>K94+K90+K88+K67+K65+K62+K57+K55+K53+K51+K49</f>
        <v>17251020</v>
      </c>
      <c r="L95" s="1267"/>
      <c r="M95" s="240"/>
    </row>
    <row r="96" spans="1:15" s="2" customFormat="1" ht="27" customHeight="1" thickBot="1">
      <c r="A96" s="323" t="s">
        <v>8</v>
      </c>
      <c r="B96" s="24" t="s">
        <v>9</v>
      </c>
      <c r="C96" s="1688" t="s">
        <v>65</v>
      </c>
      <c r="D96" s="1689"/>
      <c r="E96" s="1689"/>
      <c r="F96" s="1689"/>
      <c r="G96" s="1689"/>
      <c r="H96" s="1689"/>
      <c r="I96" s="1689"/>
      <c r="J96" s="1689"/>
      <c r="K96" s="1689"/>
      <c r="L96" s="1689"/>
      <c r="M96" s="1690"/>
    </row>
    <row r="97" spans="1:14" s="2" customFormat="1" ht="15.75" customHeight="1">
      <c r="A97" s="1536" t="s">
        <v>8</v>
      </c>
      <c r="B97" s="1537" t="s">
        <v>9</v>
      </c>
      <c r="C97" s="1563" t="s">
        <v>8</v>
      </c>
      <c r="D97" s="1573"/>
      <c r="E97" s="1544" t="s">
        <v>42</v>
      </c>
      <c r="F97" s="1540"/>
      <c r="G97" s="1351"/>
      <c r="H97" s="371" t="s">
        <v>53</v>
      </c>
      <c r="I97" s="914"/>
      <c r="J97" s="661" t="s">
        <v>12</v>
      </c>
      <c r="K97" s="425"/>
      <c r="L97" s="852"/>
      <c r="M97" s="455"/>
    </row>
    <row r="98" spans="1:14" s="2" customFormat="1" ht="16.5" customHeight="1">
      <c r="A98" s="1525"/>
      <c r="B98" s="1527"/>
      <c r="C98" s="1564"/>
      <c r="D98" s="584" t="s">
        <v>8</v>
      </c>
      <c r="E98" s="870" t="s">
        <v>236</v>
      </c>
      <c r="F98" s="2038" t="s">
        <v>117</v>
      </c>
      <c r="G98" s="2189" t="s">
        <v>356</v>
      </c>
      <c r="H98" s="584"/>
      <c r="I98" s="2040" t="s">
        <v>213</v>
      </c>
      <c r="J98" s="854" t="s">
        <v>12</v>
      </c>
      <c r="K98" s="1456">
        <v>137569</v>
      </c>
      <c r="L98" s="858" t="s">
        <v>164</v>
      </c>
      <c r="M98" s="1487">
        <v>11</v>
      </c>
      <c r="N98" s="1377"/>
    </row>
    <row r="99" spans="1:14" s="2" customFormat="1" ht="15" customHeight="1">
      <c r="A99" s="1525"/>
      <c r="B99" s="1527"/>
      <c r="C99" s="1564"/>
      <c r="D99" s="1576"/>
      <c r="E99" s="445" t="s">
        <v>228</v>
      </c>
      <c r="F99" s="1797"/>
      <c r="G99" s="2190"/>
      <c r="H99" s="131"/>
      <c r="I99" s="2041"/>
      <c r="J99" s="845"/>
      <c r="K99" s="1320"/>
      <c r="L99" s="849" t="s">
        <v>232</v>
      </c>
      <c r="M99" s="428">
        <v>125</v>
      </c>
    </row>
    <row r="100" spans="1:14" s="2" customFormat="1" ht="41.25" customHeight="1">
      <c r="A100" s="1525"/>
      <c r="B100" s="1527"/>
      <c r="C100" s="1564"/>
      <c r="D100" s="1576"/>
      <c r="E100" s="445" t="s">
        <v>229</v>
      </c>
      <c r="F100" s="1797"/>
      <c r="G100" s="2190"/>
      <c r="H100" s="131"/>
      <c r="I100" s="2041"/>
      <c r="J100" s="845"/>
      <c r="K100" s="1320"/>
      <c r="L100" s="811" t="s">
        <v>233</v>
      </c>
      <c r="M100" s="428">
        <v>1</v>
      </c>
    </row>
    <row r="101" spans="1:14" s="2" customFormat="1" ht="25.5" customHeight="1">
      <c r="A101" s="1525"/>
      <c r="B101" s="1527"/>
      <c r="C101" s="1564"/>
      <c r="D101" s="1576"/>
      <c r="E101" s="445" t="s">
        <v>230</v>
      </c>
      <c r="F101" s="1797"/>
      <c r="G101" s="2190"/>
      <c r="H101" s="131"/>
      <c r="I101" s="829"/>
      <c r="J101" s="845"/>
      <c r="K101" s="1320"/>
      <c r="L101" s="811" t="s">
        <v>234</v>
      </c>
      <c r="M101" s="428">
        <v>1</v>
      </c>
    </row>
    <row r="102" spans="1:14" s="2" customFormat="1" ht="27" customHeight="1">
      <c r="A102" s="1525"/>
      <c r="B102" s="1527"/>
      <c r="C102" s="1564"/>
      <c r="D102" s="1576"/>
      <c r="E102" s="1522" t="s">
        <v>231</v>
      </c>
      <c r="F102" s="2039"/>
      <c r="G102" s="2191"/>
      <c r="H102" s="499"/>
      <c r="I102" s="830"/>
      <c r="J102" s="872"/>
      <c r="K102" s="1321"/>
      <c r="L102" s="1590" t="s">
        <v>144</v>
      </c>
      <c r="M102" s="1488">
        <v>439</v>
      </c>
    </row>
    <row r="103" spans="1:14" s="2" customFormat="1" ht="39" customHeight="1">
      <c r="A103" s="1525"/>
      <c r="B103" s="1527"/>
      <c r="C103" s="1564"/>
      <c r="D103" s="584" t="s">
        <v>9</v>
      </c>
      <c r="E103" s="876" t="s">
        <v>237</v>
      </c>
      <c r="F103" s="2038" t="s">
        <v>117</v>
      </c>
      <c r="G103" s="853"/>
      <c r="H103" s="131"/>
      <c r="I103" s="2040" t="s">
        <v>213</v>
      </c>
      <c r="J103" s="845" t="s">
        <v>12</v>
      </c>
      <c r="K103" s="1293">
        <f>793.3/3.4528*1000</f>
        <v>229756</v>
      </c>
      <c r="L103" s="860"/>
      <c r="M103" s="1487"/>
    </row>
    <row r="104" spans="1:14" s="2" customFormat="1" ht="20.25" customHeight="1">
      <c r="A104" s="1525"/>
      <c r="B104" s="1527"/>
      <c r="C104" s="1564"/>
      <c r="D104" s="1576"/>
      <c r="E104" s="445" t="s">
        <v>241</v>
      </c>
      <c r="F104" s="1797"/>
      <c r="G104" s="2138" t="s">
        <v>356</v>
      </c>
      <c r="H104" s="1548"/>
      <c r="I104" s="2041"/>
      <c r="J104" s="1303"/>
      <c r="K104" s="1378"/>
      <c r="L104" s="811"/>
      <c r="M104" s="428"/>
    </row>
    <row r="105" spans="1:14" s="2" customFormat="1" ht="40.5" customHeight="1">
      <c r="A105" s="1525"/>
      <c r="B105" s="1527"/>
      <c r="C105" s="1564"/>
      <c r="D105" s="1576"/>
      <c r="E105" s="445" t="s">
        <v>311</v>
      </c>
      <c r="F105" s="1797"/>
      <c r="G105" s="2139"/>
      <c r="H105" s="1548"/>
      <c r="I105" s="2041"/>
      <c r="J105" s="1303"/>
      <c r="K105" s="1322"/>
      <c r="L105" s="811"/>
      <c r="M105" s="428"/>
    </row>
    <row r="106" spans="1:14" s="2" customFormat="1" ht="25.5" customHeight="1">
      <c r="A106" s="1525"/>
      <c r="B106" s="1527"/>
      <c r="C106" s="1564"/>
      <c r="D106" s="131"/>
      <c r="E106" s="445" t="s">
        <v>189</v>
      </c>
      <c r="F106" s="1797"/>
      <c r="G106" s="2139"/>
      <c r="H106" s="1548"/>
      <c r="I106" s="1270"/>
      <c r="J106" s="1303"/>
      <c r="K106" s="1322"/>
      <c r="L106" s="2140" t="s">
        <v>235</v>
      </c>
      <c r="M106" s="800">
        <v>439</v>
      </c>
    </row>
    <row r="107" spans="1:14" s="2" customFormat="1" ht="15.75" customHeight="1">
      <c r="A107" s="1525"/>
      <c r="B107" s="1527"/>
      <c r="C107" s="1564"/>
      <c r="D107" s="1576"/>
      <c r="E107" s="445" t="s">
        <v>243</v>
      </c>
      <c r="F107" s="1541"/>
      <c r="G107" s="463"/>
      <c r="H107" s="1548"/>
      <c r="I107" s="1270"/>
      <c r="J107" s="1303"/>
      <c r="K107" s="1322"/>
      <c r="L107" s="2094"/>
      <c r="M107" s="1510"/>
    </row>
    <row r="108" spans="1:14" s="2" customFormat="1" ht="24" customHeight="1">
      <c r="A108" s="1525"/>
      <c r="B108" s="1527"/>
      <c r="C108" s="1564"/>
      <c r="D108" s="497"/>
      <c r="E108" s="1522" t="s">
        <v>188</v>
      </c>
      <c r="F108" s="1534"/>
      <c r="G108" s="498"/>
      <c r="H108" s="499"/>
      <c r="I108" s="830"/>
      <c r="J108" s="872"/>
      <c r="K108" s="1323"/>
      <c r="L108" s="874"/>
      <c r="M108" s="282"/>
    </row>
    <row r="109" spans="1:14" s="2" customFormat="1" ht="15" customHeight="1" thickBot="1">
      <c r="A109" s="1526"/>
      <c r="B109" s="1528"/>
      <c r="C109" s="1565"/>
      <c r="D109" s="339"/>
      <c r="E109" s="339"/>
      <c r="F109" s="659"/>
      <c r="G109" s="339"/>
      <c r="H109" s="339"/>
      <c r="I109" s="1996" t="s">
        <v>101</v>
      </c>
      <c r="J109" s="1997"/>
      <c r="K109" s="1296">
        <f>K103+K98+K97</f>
        <v>367325</v>
      </c>
      <c r="L109" s="850"/>
      <c r="M109" s="367"/>
    </row>
    <row r="110" spans="1:14" s="11" customFormat="1" ht="15" customHeight="1">
      <c r="A110" s="1525" t="s">
        <v>8</v>
      </c>
      <c r="B110" s="1527" t="s">
        <v>9</v>
      </c>
      <c r="C110" s="161" t="s">
        <v>9</v>
      </c>
      <c r="D110" s="133"/>
      <c r="E110" s="1781" t="s">
        <v>160</v>
      </c>
      <c r="F110" s="1784"/>
      <c r="G110" s="2141" t="s">
        <v>357</v>
      </c>
      <c r="H110" s="1787" t="s">
        <v>54</v>
      </c>
      <c r="I110" s="2032" t="s">
        <v>128</v>
      </c>
      <c r="J110" s="150" t="s">
        <v>12</v>
      </c>
      <c r="K110" s="1316">
        <f>84.3/3.4528*1000</f>
        <v>24415</v>
      </c>
      <c r="L110" s="599" t="s">
        <v>165</v>
      </c>
      <c r="M110" s="1489">
        <v>3</v>
      </c>
    </row>
    <row r="111" spans="1:14" s="11" customFormat="1" ht="14.25" customHeight="1">
      <c r="A111" s="1525"/>
      <c r="B111" s="1527"/>
      <c r="C111" s="161"/>
      <c r="D111" s="133"/>
      <c r="E111" s="1781"/>
      <c r="F111" s="1784"/>
      <c r="G111" s="2142"/>
      <c r="H111" s="1787"/>
      <c r="I111" s="2032"/>
      <c r="J111" s="150" t="s">
        <v>113</v>
      </c>
      <c r="K111" s="1317">
        <f>595/3.4528*1000</f>
        <v>172324</v>
      </c>
      <c r="L111" s="1790" t="s">
        <v>210</v>
      </c>
      <c r="M111" s="1490" t="s">
        <v>53</v>
      </c>
    </row>
    <row r="112" spans="1:14" s="11" customFormat="1" ht="14.25" customHeight="1" thickBot="1">
      <c r="A112" s="1526"/>
      <c r="B112" s="1528"/>
      <c r="C112" s="162"/>
      <c r="D112" s="135"/>
      <c r="E112" s="1782"/>
      <c r="F112" s="1785"/>
      <c r="G112" s="2143"/>
      <c r="H112" s="1788"/>
      <c r="I112" s="2033"/>
      <c r="J112" s="373" t="s">
        <v>15</v>
      </c>
      <c r="K112" s="1318">
        <f t="shared" ref="K112" si="6">K111+K110</f>
        <v>196739</v>
      </c>
      <c r="L112" s="1710"/>
      <c r="M112" s="1491"/>
    </row>
    <row r="113" spans="1:13" s="11" customFormat="1" ht="16.5" customHeight="1">
      <c r="A113" s="1536" t="s">
        <v>8</v>
      </c>
      <c r="B113" s="1537" t="s">
        <v>9</v>
      </c>
      <c r="C113" s="160" t="s">
        <v>10</v>
      </c>
      <c r="D113" s="134"/>
      <c r="E113" s="1780" t="s">
        <v>161</v>
      </c>
      <c r="F113" s="1783" t="s">
        <v>323</v>
      </c>
      <c r="G113" s="2137" t="s">
        <v>358</v>
      </c>
      <c r="H113" s="1786" t="s">
        <v>53</v>
      </c>
      <c r="I113" s="2031" t="s">
        <v>129</v>
      </c>
      <c r="J113" s="124" t="s">
        <v>112</v>
      </c>
      <c r="K113" s="1306">
        <f>2.1/3.4528*1000</f>
        <v>608</v>
      </c>
      <c r="L113" s="1763" t="s">
        <v>141</v>
      </c>
      <c r="M113" s="1492">
        <v>30</v>
      </c>
    </row>
    <row r="114" spans="1:13" s="11" customFormat="1" ht="24.75" customHeight="1">
      <c r="A114" s="1525"/>
      <c r="B114" s="1527"/>
      <c r="C114" s="161"/>
      <c r="D114" s="133"/>
      <c r="E114" s="1781"/>
      <c r="F114" s="1784"/>
      <c r="G114" s="2135"/>
      <c r="H114" s="1787"/>
      <c r="I114" s="2032"/>
      <c r="J114" s="150" t="s">
        <v>14</v>
      </c>
      <c r="K114" s="1307">
        <f>12/3.4528*1000</f>
        <v>3475</v>
      </c>
      <c r="L114" s="1789"/>
      <c r="M114" s="1493"/>
    </row>
    <row r="115" spans="1:13" s="11" customFormat="1" ht="17.25" customHeight="1" thickBot="1">
      <c r="A115" s="1526"/>
      <c r="B115" s="1528"/>
      <c r="C115" s="162"/>
      <c r="D115" s="135"/>
      <c r="E115" s="1782"/>
      <c r="F115" s="1785"/>
      <c r="G115" s="2136"/>
      <c r="H115" s="1788"/>
      <c r="I115" s="2033"/>
      <c r="J115" s="228" t="s">
        <v>15</v>
      </c>
      <c r="K115" s="1319">
        <f t="shared" ref="K115" si="7">K114+K113</f>
        <v>4083</v>
      </c>
      <c r="L115" s="643"/>
      <c r="M115" s="1491"/>
    </row>
    <row r="116" spans="1:13" s="2" customFormat="1" ht="23.25" customHeight="1">
      <c r="A116" s="1767" t="s">
        <v>8</v>
      </c>
      <c r="B116" s="1770" t="s">
        <v>9</v>
      </c>
      <c r="C116" s="1773" t="s">
        <v>11</v>
      </c>
      <c r="D116" s="2025"/>
      <c r="E116" s="1757" t="s">
        <v>29</v>
      </c>
      <c r="F116" s="1777" t="s">
        <v>324</v>
      </c>
      <c r="G116" s="2134" t="s">
        <v>363</v>
      </c>
      <c r="H116" s="1713" t="s">
        <v>53</v>
      </c>
      <c r="I116" s="2024" t="s">
        <v>129</v>
      </c>
      <c r="J116" s="10" t="s">
        <v>12</v>
      </c>
      <c r="K116" s="1306">
        <f>117.3/3.4528*1000</f>
        <v>33972</v>
      </c>
      <c r="L116" s="1763" t="s">
        <v>196</v>
      </c>
      <c r="M116" s="1492">
        <v>1</v>
      </c>
    </row>
    <row r="117" spans="1:13" s="2" customFormat="1" ht="14.25" customHeight="1">
      <c r="A117" s="1768"/>
      <c r="B117" s="1771"/>
      <c r="C117" s="1774"/>
      <c r="D117" s="2026"/>
      <c r="E117" s="1776"/>
      <c r="F117" s="1778"/>
      <c r="G117" s="2135"/>
      <c r="H117" s="1753"/>
      <c r="I117" s="2017"/>
      <c r="J117" s="14" t="s">
        <v>14</v>
      </c>
      <c r="K117" s="1307">
        <f>665.1/3.4528*1000</f>
        <v>192626</v>
      </c>
      <c r="L117" s="1764"/>
      <c r="M117" s="1494"/>
    </row>
    <row r="118" spans="1:13" s="2" customFormat="1" ht="15" customHeight="1" thickBot="1">
      <c r="A118" s="1769"/>
      <c r="B118" s="1772"/>
      <c r="C118" s="1775"/>
      <c r="D118" s="2027"/>
      <c r="E118" s="1759"/>
      <c r="F118" s="1779"/>
      <c r="G118" s="2136"/>
      <c r="H118" s="1715"/>
      <c r="I118" s="2018"/>
      <c r="J118" s="374" t="s">
        <v>15</v>
      </c>
      <c r="K118" s="1311">
        <f t="shared" ref="K118" si="8">SUM(K116:K117)</f>
        <v>226598</v>
      </c>
      <c r="L118" s="645"/>
      <c r="M118" s="1556"/>
    </row>
    <row r="119" spans="1:13" s="2" customFormat="1" ht="17.25" customHeight="1" thickBot="1">
      <c r="A119" s="323" t="s">
        <v>8</v>
      </c>
      <c r="B119" s="9" t="s">
        <v>9</v>
      </c>
      <c r="C119" s="1683" t="s">
        <v>16</v>
      </c>
      <c r="D119" s="1684"/>
      <c r="E119" s="1684"/>
      <c r="F119" s="1684"/>
      <c r="G119" s="1684"/>
      <c r="H119" s="1684"/>
      <c r="I119" s="1765"/>
      <c r="J119" s="1765"/>
      <c r="K119" s="1312">
        <f t="shared" ref="K119" si="9">K118+K109+K112+K115</f>
        <v>794745</v>
      </c>
      <c r="L119" s="233"/>
      <c r="M119" s="235"/>
    </row>
    <row r="120" spans="1:13" s="2" customFormat="1" ht="14.25" customHeight="1" thickBot="1">
      <c r="A120" s="1536" t="s">
        <v>8</v>
      </c>
      <c r="B120" s="155" t="s">
        <v>10</v>
      </c>
      <c r="C120" s="1688" t="s">
        <v>41</v>
      </c>
      <c r="D120" s="1689"/>
      <c r="E120" s="1689"/>
      <c r="F120" s="1689"/>
      <c r="G120" s="1689"/>
      <c r="H120" s="1689"/>
      <c r="I120" s="1689"/>
      <c r="J120" s="1689"/>
      <c r="K120" s="1766"/>
      <c r="L120" s="1689"/>
      <c r="M120" s="1690"/>
    </row>
    <row r="121" spans="1:13" s="11" customFormat="1" ht="20.25" customHeight="1">
      <c r="A121" s="1754" t="s">
        <v>8</v>
      </c>
      <c r="B121" s="1755" t="s">
        <v>10</v>
      </c>
      <c r="C121" s="1756" t="s">
        <v>8</v>
      </c>
      <c r="D121" s="1574"/>
      <c r="E121" s="1757" t="s">
        <v>63</v>
      </c>
      <c r="F121" s="1795" t="s">
        <v>107</v>
      </c>
      <c r="G121" s="2131" t="s">
        <v>360</v>
      </c>
      <c r="H121" s="1713" t="s">
        <v>53</v>
      </c>
      <c r="I121" s="2024" t="s">
        <v>75</v>
      </c>
      <c r="J121" s="10" t="s">
        <v>12</v>
      </c>
      <c r="K121" s="1313">
        <f>16.5/3.4528*1000</f>
        <v>4779</v>
      </c>
      <c r="L121" s="1553" t="s">
        <v>69</v>
      </c>
      <c r="M121" s="1549">
        <v>220</v>
      </c>
    </row>
    <row r="122" spans="1:13" s="11" customFormat="1" ht="24.75" customHeight="1">
      <c r="A122" s="1694"/>
      <c r="B122" s="1696"/>
      <c r="C122" s="1698"/>
      <c r="D122" s="1579"/>
      <c r="E122" s="1758"/>
      <c r="F122" s="1796"/>
      <c r="G122" s="2132"/>
      <c r="H122" s="1714"/>
      <c r="I122" s="2017"/>
      <c r="J122" s="22" t="s">
        <v>14</v>
      </c>
      <c r="K122" s="1314">
        <f>93.1/3.4528*1000</f>
        <v>26964</v>
      </c>
      <c r="L122" s="595"/>
      <c r="M122" s="1495"/>
    </row>
    <row r="123" spans="1:13" s="11" customFormat="1" ht="15.75" customHeight="1" thickBot="1">
      <c r="A123" s="1695"/>
      <c r="B123" s="1697"/>
      <c r="C123" s="1699"/>
      <c r="D123" s="1578"/>
      <c r="E123" s="1759"/>
      <c r="F123" s="2130"/>
      <c r="G123" s="2133"/>
      <c r="H123" s="1715"/>
      <c r="I123" s="2018"/>
      <c r="J123" s="258" t="s">
        <v>15</v>
      </c>
      <c r="K123" s="1315">
        <f>K122+K121</f>
        <v>31743</v>
      </c>
      <c r="L123" s="647"/>
      <c r="M123" s="1550"/>
    </row>
    <row r="124" spans="1:13" s="2" customFormat="1">
      <c r="A124" s="1694" t="s">
        <v>8</v>
      </c>
      <c r="B124" s="1696" t="s">
        <v>10</v>
      </c>
      <c r="C124" s="1698" t="s">
        <v>9</v>
      </c>
      <c r="D124" s="1579"/>
      <c r="E124" s="1749" t="s">
        <v>162</v>
      </c>
      <c r="F124" s="1751"/>
      <c r="G124" s="2128" t="s">
        <v>359</v>
      </c>
      <c r="H124" s="1753" t="s">
        <v>53</v>
      </c>
      <c r="I124" s="2017" t="s">
        <v>76</v>
      </c>
      <c r="J124" s="22" t="s">
        <v>14</v>
      </c>
      <c r="K124" s="1314">
        <f>3/3.4528*1000</f>
        <v>869</v>
      </c>
      <c r="L124" s="1852" t="s">
        <v>273</v>
      </c>
      <c r="M124" s="1555">
        <v>1</v>
      </c>
    </row>
    <row r="125" spans="1:13" s="2" customFormat="1" ht="15.75" customHeight="1" thickBot="1">
      <c r="A125" s="1695"/>
      <c r="B125" s="1697"/>
      <c r="C125" s="1699"/>
      <c r="D125" s="1578"/>
      <c r="E125" s="1750"/>
      <c r="F125" s="1752"/>
      <c r="G125" s="2129"/>
      <c r="H125" s="1715"/>
      <c r="I125" s="2018"/>
      <c r="J125" s="220" t="s">
        <v>15</v>
      </c>
      <c r="K125" s="1315">
        <f>K124</f>
        <v>869</v>
      </c>
      <c r="L125" s="1853"/>
      <c r="M125" s="1550"/>
    </row>
    <row r="126" spans="1:13" s="2" customFormat="1" ht="41.25" customHeight="1" thickBot="1">
      <c r="A126" s="323" t="s">
        <v>8</v>
      </c>
      <c r="B126" s="9" t="s">
        <v>10</v>
      </c>
      <c r="C126" s="1683" t="s">
        <v>16</v>
      </c>
      <c r="D126" s="1684"/>
      <c r="E126" s="1684"/>
      <c r="F126" s="1684"/>
      <c r="G126" s="1684"/>
      <c r="H126" s="1684"/>
      <c r="I126" s="1684"/>
      <c r="J126" s="1684"/>
      <c r="K126" s="1312">
        <f t="shared" ref="K126" si="10">K125+K123</f>
        <v>32612</v>
      </c>
      <c r="L126" s="1685"/>
      <c r="M126" s="1687"/>
    </row>
    <row r="127" spans="1:13" s="2" customFormat="1" ht="42.75" customHeight="1" thickBot="1">
      <c r="A127" s="323" t="s">
        <v>8</v>
      </c>
      <c r="B127" s="24" t="s">
        <v>11</v>
      </c>
      <c r="C127" s="1688" t="s">
        <v>64</v>
      </c>
      <c r="D127" s="1689"/>
      <c r="E127" s="1689"/>
      <c r="F127" s="1689"/>
      <c r="G127" s="1689"/>
      <c r="H127" s="1689"/>
      <c r="I127" s="1689"/>
      <c r="J127" s="1689"/>
      <c r="K127" s="2022"/>
      <c r="L127" s="1689"/>
      <c r="M127" s="1690"/>
    </row>
    <row r="128" spans="1:13" s="2" customFormat="1" ht="27.75" customHeight="1">
      <c r="A128" s="1536" t="s">
        <v>8</v>
      </c>
      <c r="B128" s="1537" t="s">
        <v>11</v>
      </c>
      <c r="C128" s="571" t="s">
        <v>8</v>
      </c>
      <c r="D128" s="1574"/>
      <c r="E128" s="370" t="s">
        <v>136</v>
      </c>
      <c r="F128" s="536"/>
      <c r="G128" s="539" t="s">
        <v>8</v>
      </c>
      <c r="H128" s="542" t="s">
        <v>53</v>
      </c>
      <c r="I128" s="1558" t="s">
        <v>135</v>
      </c>
      <c r="J128" s="144"/>
      <c r="K128" s="1304"/>
      <c r="L128" s="441"/>
      <c r="M128" s="1496"/>
    </row>
    <row r="129" spans="1:33" s="2" customFormat="1" ht="42.75" customHeight="1">
      <c r="A129" s="1525"/>
      <c r="B129" s="1527"/>
      <c r="C129" s="1597"/>
      <c r="D129" s="1532" t="s">
        <v>8</v>
      </c>
      <c r="E129" s="1546" t="s">
        <v>190</v>
      </c>
      <c r="F129" s="1352"/>
      <c r="G129" s="1471">
        <v>3010502</v>
      </c>
      <c r="H129" s="161"/>
      <c r="I129" s="346"/>
      <c r="J129" s="20" t="s">
        <v>12</v>
      </c>
      <c r="K129" s="1333">
        <v>231899</v>
      </c>
      <c r="L129" s="1521" t="s">
        <v>276</v>
      </c>
      <c r="M129" s="1488">
        <v>542.25</v>
      </c>
    </row>
    <row r="130" spans="1:33" s="2" customFormat="1" ht="27.75" customHeight="1">
      <c r="A130" s="1525"/>
      <c r="B130" s="1527"/>
      <c r="C130" s="1597"/>
      <c r="D130" s="1575" t="s">
        <v>9</v>
      </c>
      <c r="E130" s="1546" t="s">
        <v>214</v>
      </c>
      <c r="F130" s="1353"/>
      <c r="G130" s="2122" t="s">
        <v>361</v>
      </c>
      <c r="H130" s="161"/>
      <c r="I130" s="346"/>
      <c r="J130" s="20" t="s">
        <v>12</v>
      </c>
      <c r="K130" s="1333">
        <v>52420</v>
      </c>
      <c r="L130" s="128" t="s">
        <v>297</v>
      </c>
      <c r="M130" s="1497">
        <v>268</v>
      </c>
    </row>
    <row r="131" spans="1:33" s="2" customFormat="1" ht="22.5" customHeight="1">
      <c r="A131" s="1525"/>
      <c r="B131" s="1527"/>
      <c r="C131" s="1597"/>
      <c r="D131" s="1535" t="s">
        <v>10</v>
      </c>
      <c r="E131" s="1568" t="s">
        <v>192</v>
      </c>
      <c r="F131" s="1302"/>
      <c r="G131" s="2123"/>
      <c r="H131" s="161"/>
      <c r="I131" s="346"/>
      <c r="J131" s="20" t="s">
        <v>12</v>
      </c>
      <c r="K131" s="1333">
        <f>286.5/3.4528*1000</f>
        <v>82976</v>
      </c>
      <c r="L131" s="1521" t="s">
        <v>298</v>
      </c>
      <c r="M131" s="1488">
        <v>691</v>
      </c>
    </row>
    <row r="132" spans="1:33" s="2" customFormat="1" ht="15" customHeight="1">
      <c r="A132" s="1525"/>
      <c r="B132" s="1527"/>
      <c r="C132" s="1597"/>
      <c r="D132" s="1579" t="s">
        <v>11</v>
      </c>
      <c r="E132" s="1691" t="s">
        <v>191</v>
      </c>
      <c r="F132" s="1302"/>
      <c r="G132" s="2123"/>
      <c r="H132" s="161"/>
      <c r="I132" s="346"/>
      <c r="J132" s="394" t="s">
        <v>12</v>
      </c>
      <c r="K132" s="1334">
        <f>69/3.4528*1000</f>
        <v>19984</v>
      </c>
      <c r="L132" s="383" t="s">
        <v>299</v>
      </c>
      <c r="M132" s="1487">
        <v>245</v>
      </c>
    </row>
    <row r="133" spans="1:33" s="2" customFormat="1" ht="25.5" customHeight="1">
      <c r="A133" s="1525"/>
      <c r="B133" s="1527"/>
      <c r="C133" s="1597"/>
      <c r="D133" s="1579"/>
      <c r="E133" s="1692"/>
      <c r="F133" s="1302"/>
      <c r="G133" s="2123"/>
      <c r="H133" s="161"/>
      <c r="I133" s="346"/>
      <c r="J133" s="839"/>
      <c r="K133" s="1293"/>
      <c r="L133" s="434" t="s">
        <v>300</v>
      </c>
      <c r="M133" s="428">
        <v>300</v>
      </c>
    </row>
    <row r="134" spans="1:33" s="2" customFormat="1" ht="25.5" customHeight="1">
      <c r="A134" s="1525"/>
      <c r="B134" s="1527"/>
      <c r="C134" s="1597"/>
      <c r="D134" s="1575"/>
      <c r="E134" s="1693"/>
      <c r="F134" s="1354"/>
      <c r="G134" s="2124"/>
      <c r="H134" s="161"/>
      <c r="I134" s="346"/>
      <c r="J134" s="20"/>
      <c r="K134" s="1295"/>
      <c r="L134" s="1521" t="s">
        <v>301</v>
      </c>
      <c r="M134" s="1488">
        <v>700</v>
      </c>
    </row>
    <row r="135" spans="1:33" s="2" customFormat="1" ht="42" customHeight="1">
      <c r="A135" s="1525"/>
      <c r="B135" s="1527"/>
      <c r="C135" s="1597"/>
      <c r="D135" s="1535" t="s">
        <v>32</v>
      </c>
      <c r="E135" s="926" t="s">
        <v>244</v>
      </c>
      <c r="F135" s="1352"/>
      <c r="G135" s="1472">
        <v>3010506</v>
      </c>
      <c r="H135" s="161"/>
      <c r="I135" s="346"/>
      <c r="J135" s="20" t="s">
        <v>12</v>
      </c>
      <c r="K135" s="1333">
        <f>47.3/3.4528*1000</f>
        <v>13699</v>
      </c>
      <c r="L135" s="1521" t="s">
        <v>302</v>
      </c>
      <c r="M135" s="1488">
        <v>431</v>
      </c>
    </row>
    <row r="136" spans="1:33" s="2" customFormat="1" ht="38.25" customHeight="1">
      <c r="A136" s="1525"/>
      <c r="B136" s="1527"/>
      <c r="C136" s="1597"/>
      <c r="D136" s="1575" t="s">
        <v>34</v>
      </c>
      <c r="E136" s="1547" t="s">
        <v>245</v>
      </c>
      <c r="F136" s="538"/>
      <c r="G136" s="1471">
        <v>3010505</v>
      </c>
      <c r="H136" s="544"/>
      <c r="I136" s="520"/>
      <c r="J136" s="20" t="s">
        <v>12</v>
      </c>
      <c r="K136" s="1333">
        <f>69.7/3.4528*1000</f>
        <v>20187</v>
      </c>
      <c r="L136" s="1521" t="s">
        <v>303</v>
      </c>
      <c r="M136" s="1488">
        <v>309</v>
      </c>
    </row>
    <row r="137" spans="1:33" s="2" customFormat="1" ht="15" customHeight="1" thickBot="1">
      <c r="A137" s="322"/>
      <c r="B137" s="202"/>
      <c r="C137" s="339"/>
      <c r="D137" s="339"/>
      <c r="E137" s="339"/>
      <c r="F137" s="339"/>
      <c r="G137" s="339"/>
      <c r="H137" s="339"/>
      <c r="I137" s="1996" t="s">
        <v>101</v>
      </c>
      <c r="J137" s="1997"/>
      <c r="K137" s="1325">
        <f>SUM(K129:K136)</f>
        <v>421165</v>
      </c>
      <c r="L137" s="366"/>
      <c r="M137" s="367"/>
    </row>
    <row r="138" spans="1:33" s="2" customFormat="1" ht="27" customHeight="1">
      <c r="A138" s="1694" t="s">
        <v>8</v>
      </c>
      <c r="B138" s="1696" t="s">
        <v>11</v>
      </c>
      <c r="C138" s="1698" t="s">
        <v>9</v>
      </c>
      <c r="D138" s="1579"/>
      <c r="E138" s="1700" t="s">
        <v>111</v>
      </c>
      <c r="F138" s="1703" t="s">
        <v>74</v>
      </c>
      <c r="G138" s="2125" t="s">
        <v>362</v>
      </c>
      <c r="H138" s="1705" t="s">
        <v>54</v>
      </c>
      <c r="I138" s="1998" t="s">
        <v>128</v>
      </c>
      <c r="J138" s="111" t="s">
        <v>12</v>
      </c>
      <c r="K138" s="1310">
        <f>74.9/3.4528*1000</f>
        <v>21693</v>
      </c>
      <c r="L138" s="290" t="s">
        <v>151</v>
      </c>
      <c r="M138" s="1498">
        <v>1</v>
      </c>
    </row>
    <row r="139" spans="1:33" s="2" customFormat="1" ht="16.5" customHeight="1">
      <c r="A139" s="1694"/>
      <c r="B139" s="1696"/>
      <c r="C139" s="1698"/>
      <c r="D139" s="1579"/>
      <c r="E139" s="1701"/>
      <c r="F139" s="1703"/>
      <c r="G139" s="2126"/>
      <c r="H139" s="1705"/>
      <c r="I139" s="1998"/>
      <c r="J139" s="111" t="s">
        <v>112</v>
      </c>
      <c r="K139" s="1310">
        <f>290.9/3.4528*1000</f>
        <v>84250</v>
      </c>
      <c r="L139" s="1707" t="s">
        <v>211</v>
      </c>
      <c r="M139" s="1499">
        <v>40</v>
      </c>
    </row>
    <row r="140" spans="1:33" s="2" customFormat="1" ht="17.25" customHeight="1" thickBot="1">
      <c r="A140" s="1695"/>
      <c r="B140" s="1697"/>
      <c r="C140" s="1699"/>
      <c r="D140" s="1578"/>
      <c r="E140" s="1702"/>
      <c r="F140" s="1704"/>
      <c r="G140" s="2127"/>
      <c r="H140" s="1706"/>
      <c r="I140" s="1999"/>
      <c r="J140" s="220" t="s">
        <v>15</v>
      </c>
      <c r="K140" s="1311">
        <f>K139+K138</f>
        <v>105943</v>
      </c>
      <c r="L140" s="1708"/>
      <c r="M140" s="1559"/>
    </row>
    <row r="141" spans="1:33" s="2" customFormat="1" ht="15.75" customHeight="1" thickBot="1">
      <c r="A141" s="323" t="s">
        <v>8</v>
      </c>
      <c r="B141" s="9" t="s">
        <v>11</v>
      </c>
      <c r="C141" s="1683" t="s">
        <v>16</v>
      </c>
      <c r="D141" s="1684"/>
      <c r="E141" s="1684"/>
      <c r="F141" s="1684"/>
      <c r="G141" s="1684"/>
      <c r="H141" s="1684"/>
      <c r="I141" s="1684"/>
      <c r="J141" s="1684"/>
      <c r="K141" s="1312">
        <f>K140+K137</f>
        <v>527108</v>
      </c>
      <c r="L141" s="1685"/>
      <c r="M141" s="1687"/>
    </row>
    <row r="142" spans="1:33" s="11" customFormat="1" ht="15.75" customHeight="1" thickBot="1">
      <c r="A142" s="323" t="s">
        <v>8</v>
      </c>
      <c r="B142" s="1727" t="s">
        <v>18</v>
      </c>
      <c r="C142" s="1728"/>
      <c r="D142" s="1728"/>
      <c r="E142" s="1728"/>
      <c r="F142" s="1728"/>
      <c r="G142" s="1728"/>
      <c r="H142" s="1728"/>
      <c r="I142" s="1728"/>
      <c r="J142" s="1729"/>
      <c r="K142" s="1308">
        <f>K141+K126+K119+K95</f>
        <v>18605485</v>
      </c>
      <c r="L142" s="1730"/>
      <c r="M142" s="1732"/>
    </row>
    <row r="143" spans="1:33" s="11" customFormat="1" ht="15.75" customHeight="1" thickBot="1">
      <c r="A143" s="104" t="s">
        <v>10</v>
      </c>
      <c r="B143" s="1733" t="s">
        <v>17</v>
      </c>
      <c r="C143" s="1733"/>
      <c r="D143" s="1733"/>
      <c r="E143" s="1733"/>
      <c r="F143" s="1733"/>
      <c r="G143" s="1733"/>
      <c r="H143" s="1733"/>
      <c r="I143" s="1733"/>
      <c r="J143" s="1734"/>
      <c r="K143" s="1309">
        <f t="shared" ref="K143" si="11">K142</f>
        <v>18605485</v>
      </c>
      <c r="L143" s="1735"/>
      <c r="M143" s="1737"/>
    </row>
    <row r="144" spans="1:33" s="110" customFormat="1" ht="14.25" customHeight="1">
      <c r="A144" s="2121" t="s">
        <v>376</v>
      </c>
      <c r="B144" s="2121"/>
      <c r="C144" s="2121"/>
      <c r="D144" s="2121"/>
      <c r="E144" s="2121"/>
      <c r="F144" s="2121"/>
      <c r="G144" s="2121"/>
      <c r="H144" s="2121"/>
      <c r="I144" s="2121"/>
      <c r="J144" s="2121"/>
      <c r="K144" s="2121"/>
      <c r="L144" s="2121"/>
      <c r="M144" s="2121"/>
      <c r="N144" s="1337"/>
      <c r="O144" s="1337"/>
      <c r="P144" s="1337"/>
      <c r="Q144" s="1337"/>
      <c r="R144" s="1337"/>
      <c r="S144" s="1337"/>
      <c r="T144" s="1337"/>
      <c r="U144" s="1337"/>
      <c r="V144" s="1337"/>
      <c r="W144" s="1337"/>
      <c r="X144" s="1337"/>
      <c r="Y144" s="1337"/>
      <c r="Z144" s="1337"/>
      <c r="AA144" s="1337"/>
      <c r="AB144" s="1337"/>
      <c r="AC144" s="1337"/>
      <c r="AD144" s="1337"/>
      <c r="AE144" s="1337"/>
      <c r="AF144" s="1337"/>
      <c r="AG144" s="1337"/>
    </row>
    <row r="145" spans="1:13" s="11" customFormat="1" ht="56.25" customHeight="1">
      <c r="A145" s="26"/>
      <c r="B145" s="7"/>
      <c r="C145" s="1745" t="s">
        <v>23</v>
      </c>
      <c r="D145" s="1745"/>
      <c r="E145" s="1745"/>
      <c r="F145" s="1745"/>
      <c r="G145" s="1745"/>
      <c r="H145" s="1745"/>
      <c r="I145" s="1745"/>
      <c r="J145" s="1745"/>
      <c r="K145" s="1745"/>
      <c r="L145" s="18"/>
      <c r="M145" s="80"/>
    </row>
    <row r="146" spans="1:13" s="11" customFormat="1" ht="12.75" customHeight="1" thickBot="1">
      <c r="A146" s="26"/>
      <c r="B146" s="25"/>
      <c r="C146" s="25"/>
      <c r="D146" s="25"/>
      <c r="E146" s="25"/>
      <c r="F146" s="31"/>
      <c r="G146" s="25"/>
      <c r="H146" s="90"/>
      <c r="I146" s="25"/>
      <c r="K146" s="18"/>
      <c r="L146" s="18"/>
      <c r="M146" s="80"/>
    </row>
    <row r="147" spans="1:13" s="11" customFormat="1" ht="12.75" customHeight="1" thickBot="1">
      <c r="A147" s="2"/>
      <c r="B147" s="2"/>
      <c r="C147" s="1746" t="s">
        <v>19</v>
      </c>
      <c r="D147" s="1747"/>
      <c r="E147" s="1747"/>
      <c r="F147" s="1747"/>
      <c r="G147" s="1747"/>
      <c r="H147" s="1747"/>
      <c r="I147" s="1747"/>
      <c r="J147" s="1748"/>
      <c r="K147" s="1245" t="s">
        <v>316</v>
      </c>
      <c r="M147" s="80"/>
    </row>
    <row r="148" spans="1:13" s="11" customFormat="1" ht="12.75" customHeight="1">
      <c r="A148" s="2"/>
      <c r="B148" s="2"/>
      <c r="C148" s="1738" t="s">
        <v>24</v>
      </c>
      <c r="D148" s="1986"/>
      <c r="E148" s="1739"/>
      <c r="F148" s="1739"/>
      <c r="G148" s="1739"/>
      <c r="H148" s="1739"/>
      <c r="I148" s="1740"/>
      <c r="J148" s="1740"/>
      <c r="K148" s="1328">
        <f>K149+K158+K156+K157</f>
        <v>18285108</v>
      </c>
      <c r="L148" s="32"/>
      <c r="M148" s="71"/>
    </row>
    <row r="149" spans="1:13" s="11" customFormat="1" ht="14.25" customHeight="1">
      <c r="A149" s="2"/>
      <c r="B149" s="2"/>
      <c r="C149" s="1741" t="s">
        <v>31</v>
      </c>
      <c r="D149" s="1742"/>
      <c r="E149" s="1742"/>
      <c r="F149" s="1742"/>
      <c r="G149" s="1742"/>
      <c r="H149" s="1742"/>
      <c r="I149" s="1742"/>
      <c r="J149" s="1743"/>
      <c r="K149" s="1329">
        <f>K150+K151+K152+K153+K154+K155</f>
        <v>18277854</v>
      </c>
      <c r="L149" s="32"/>
      <c r="M149" s="71"/>
    </row>
    <row r="150" spans="1:13" s="11" customFormat="1" ht="12.75" customHeight="1">
      <c r="A150" s="2"/>
      <c r="B150" s="2"/>
      <c r="C150" s="1677" t="s">
        <v>56</v>
      </c>
      <c r="D150" s="1973"/>
      <c r="E150" s="1678"/>
      <c r="F150" s="1678"/>
      <c r="G150" s="1678"/>
      <c r="H150" s="1678"/>
      <c r="I150" s="1679"/>
      <c r="J150" s="1679"/>
      <c r="K150" s="1330">
        <f>SUMIF(J18:J143,"sb",K18:K143)</f>
        <v>12278331</v>
      </c>
      <c r="L150" s="66"/>
      <c r="M150" s="81"/>
    </row>
    <row r="151" spans="1:13" s="11" customFormat="1" ht="12.75" customHeight="1">
      <c r="A151" s="2"/>
      <c r="B151" s="2"/>
      <c r="C151" s="1680" t="s">
        <v>131</v>
      </c>
      <c r="D151" s="1681"/>
      <c r="E151" s="1681"/>
      <c r="F151" s="1681"/>
      <c r="G151" s="1681"/>
      <c r="H151" s="1681"/>
      <c r="I151" s="1681"/>
      <c r="J151" s="1682"/>
      <c r="K151" s="1330">
        <f>SUMIF(J17:J141,"sb(VR)",K17:K141)</f>
        <v>23720</v>
      </c>
      <c r="L151" s="66"/>
      <c r="M151" s="81"/>
    </row>
    <row r="152" spans="1:13" s="2" customFormat="1" ht="12.75" customHeight="1">
      <c r="C152" s="1668" t="s">
        <v>60</v>
      </c>
      <c r="D152" s="1985"/>
      <c r="E152" s="1669"/>
      <c r="F152" s="1669"/>
      <c r="G152" s="1669"/>
      <c r="H152" s="1669"/>
      <c r="I152" s="1670"/>
      <c r="J152" s="1670"/>
      <c r="K152" s="1330">
        <f>SUMIF(J17:J143,"SB(Sp)",K17:K143)</f>
        <v>3360</v>
      </c>
      <c r="L152" s="17"/>
      <c r="M152" s="73"/>
    </row>
    <row r="153" spans="1:13" s="11" customFormat="1" ht="12.75" customHeight="1">
      <c r="A153" s="2"/>
      <c r="B153" s="2"/>
      <c r="C153" s="1680" t="s">
        <v>49</v>
      </c>
      <c r="D153" s="1681"/>
      <c r="E153" s="1681"/>
      <c r="F153" s="1681"/>
      <c r="G153" s="1681"/>
      <c r="H153" s="1681"/>
      <c r="I153" s="1681"/>
      <c r="J153" s="1682"/>
      <c r="K153" s="1434">
        <f>SUMIF(J18:J140,"SB(VB)",K18:K140)</f>
        <v>1008061</v>
      </c>
      <c r="L153" s="18"/>
      <c r="M153" s="80"/>
    </row>
    <row r="154" spans="1:13" s="11" customFormat="1" ht="12.75" customHeight="1">
      <c r="A154" s="2"/>
      <c r="B154" s="2"/>
      <c r="C154" s="1680" t="s">
        <v>114</v>
      </c>
      <c r="D154" s="1681"/>
      <c r="E154" s="1681"/>
      <c r="F154" s="1681"/>
      <c r="G154" s="1681"/>
      <c r="H154" s="1681"/>
      <c r="I154" s="1681"/>
      <c r="J154" s="1682"/>
      <c r="K154" s="1434">
        <f>SUMIF(J18:J140,"sb(P)",K18:K140)</f>
        <v>172324</v>
      </c>
      <c r="L154" s="18"/>
      <c r="M154" s="80"/>
    </row>
    <row r="155" spans="1:13" s="2" customFormat="1" ht="12.75" customHeight="1">
      <c r="C155" s="1671" t="s">
        <v>371</v>
      </c>
      <c r="D155" s="2192"/>
      <c r="E155" s="1672"/>
      <c r="F155" s="1672"/>
      <c r="G155" s="1672"/>
      <c r="H155" s="1672"/>
      <c r="I155" s="1673"/>
      <c r="J155" s="1673"/>
      <c r="K155" s="1434">
        <f>SUMIF(J15:J140,"sb(L)",K15:K140)</f>
        <v>4792058</v>
      </c>
      <c r="M155" s="73"/>
    </row>
    <row r="156" spans="1:13" s="2" customFormat="1" ht="12.75" customHeight="1">
      <c r="C156" s="1721" t="s">
        <v>372</v>
      </c>
      <c r="D156" s="1974"/>
      <c r="E156" s="1722"/>
      <c r="F156" s="1722"/>
      <c r="G156" s="1722"/>
      <c r="H156" s="1722"/>
      <c r="I156" s="1723"/>
      <c r="J156" s="1723"/>
      <c r="K156" s="1329">
        <f>SUMIF(J16:J141,"sb(SPL)",K16:K141)</f>
        <v>3181</v>
      </c>
      <c r="M156" s="73"/>
    </row>
    <row r="157" spans="1:13" s="2" customFormat="1" ht="12.75" customHeight="1">
      <c r="C157" s="1721" t="s">
        <v>377</v>
      </c>
      <c r="D157" s="1974"/>
      <c r="E157" s="1722"/>
      <c r="F157" s="1722"/>
      <c r="G157" s="1722"/>
      <c r="H157" s="1722"/>
      <c r="I157" s="1723"/>
      <c r="J157" s="1723"/>
      <c r="K157" s="1329">
        <f>SUMIF(J17:J142,"sb(VRL)",K17:K142)</f>
        <v>18</v>
      </c>
      <c r="M157" s="73"/>
    </row>
    <row r="158" spans="1:13" s="2" customFormat="1" ht="12.75" customHeight="1">
      <c r="C158" s="1721" t="s">
        <v>147</v>
      </c>
      <c r="D158" s="1974"/>
      <c r="E158" s="1722"/>
      <c r="F158" s="1722"/>
      <c r="G158" s="1722"/>
      <c r="H158" s="1722"/>
      <c r="I158" s="1723"/>
      <c r="J158" s="1723"/>
      <c r="K158" s="1329">
        <f>SUMIF(J18:J140,"pf",K18:K140)</f>
        <v>4055</v>
      </c>
      <c r="L158" s="17"/>
      <c r="M158" s="73"/>
    </row>
    <row r="159" spans="1:13" s="2" customFormat="1" ht="12.75" customHeight="1">
      <c r="C159" s="1724" t="s">
        <v>25</v>
      </c>
      <c r="D159" s="1978"/>
      <c r="E159" s="1725"/>
      <c r="F159" s="1725"/>
      <c r="G159" s="1725"/>
      <c r="H159" s="1725"/>
      <c r="I159" s="1726"/>
      <c r="J159" s="1726"/>
      <c r="K159" s="1331">
        <f>K160+K161+K162+K163</f>
        <v>320377</v>
      </c>
      <c r="L159" s="17"/>
      <c r="M159" s="73"/>
    </row>
    <row r="160" spans="1:13" s="2" customFormat="1" ht="12.75" customHeight="1">
      <c r="C160" s="1719" t="s">
        <v>57</v>
      </c>
      <c r="D160" s="1720"/>
      <c r="E160" s="1720"/>
      <c r="F160" s="1720"/>
      <c r="G160" s="1720"/>
      <c r="H160" s="1720"/>
      <c r="I160" s="1720"/>
      <c r="J160" s="1720"/>
      <c r="K160" s="1330">
        <f>SUMIF(J18:J140,"es",K18:K140)</f>
        <v>223934</v>
      </c>
      <c r="M160" s="73"/>
    </row>
    <row r="161" spans="3:13" s="2" customFormat="1" ht="12.75" customHeight="1">
      <c r="C161" s="1677" t="s">
        <v>58</v>
      </c>
      <c r="D161" s="1973"/>
      <c r="E161" s="1678"/>
      <c r="F161" s="1678"/>
      <c r="G161" s="1678"/>
      <c r="H161" s="1678"/>
      <c r="I161" s="1679"/>
      <c r="J161" s="1679"/>
      <c r="K161" s="1330">
        <f>SUMIF(J18:J140,"lrvb",K18:K140)</f>
        <v>84858</v>
      </c>
      <c r="M161" s="73"/>
    </row>
    <row r="162" spans="3:13" s="2" customFormat="1" ht="13.5" customHeight="1">
      <c r="C162" s="1674" t="s">
        <v>215</v>
      </c>
      <c r="D162" s="1962"/>
      <c r="E162" s="1962"/>
      <c r="F162" s="1962"/>
      <c r="G162" s="1962"/>
      <c r="H162" s="1962"/>
      <c r="I162" s="1962"/>
      <c r="J162" s="1963"/>
      <c r="K162" s="1330">
        <f>SUMIF(J18:J140,"Kt",K18:K140)</f>
        <v>0</v>
      </c>
      <c r="M162" s="73"/>
    </row>
    <row r="163" spans="3:13" s="2" customFormat="1">
      <c r="C163" s="1674" t="s">
        <v>46</v>
      </c>
      <c r="D163" s="1675"/>
      <c r="E163" s="1675"/>
      <c r="F163" s="1675"/>
      <c r="G163" s="1675"/>
      <c r="H163" s="1675"/>
      <c r="I163" s="1675"/>
      <c r="J163" s="1676"/>
      <c r="K163" s="1330">
        <f>SUMIF(J18:J140,"kpp",K18:K140)</f>
        <v>11585</v>
      </c>
      <c r="L163" s="198"/>
      <c r="M163" s="73"/>
    </row>
    <row r="164" spans="3:13" s="2" customFormat="1" ht="13.5" thickBot="1">
      <c r="C164" s="1716" t="s">
        <v>26</v>
      </c>
      <c r="D164" s="1717"/>
      <c r="E164" s="1717"/>
      <c r="F164" s="1717"/>
      <c r="G164" s="1717"/>
      <c r="H164" s="1717"/>
      <c r="I164" s="1717"/>
      <c r="J164" s="1718"/>
      <c r="K164" s="1332">
        <f>K148+K159</f>
        <v>18605485</v>
      </c>
      <c r="L164" s="198"/>
      <c r="M164" s="73"/>
    </row>
    <row r="165" spans="3:13" ht="11.25">
      <c r="E165" s="1"/>
      <c r="F165" s="1"/>
      <c r="H165" s="1"/>
      <c r="J165" s="5"/>
      <c r="K165" s="1244"/>
      <c r="M165" s="1"/>
    </row>
    <row r="167" spans="3:13">
      <c r="K167" s="5"/>
    </row>
    <row r="168" spans="3:13" ht="11.25">
      <c r="E168" s="1"/>
      <c r="F168" s="1"/>
      <c r="H168" s="1"/>
      <c r="J168" s="4"/>
      <c r="K168" s="29"/>
      <c r="M168" s="1"/>
    </row>
    <row r="169" spans="3:13" ht="11.25">
      <c r="E169" s="1"/>
      <c r="F169" s="1"/>
      <c r="H169" s="1"/>
      <c r="J169" s="5"/>
      <c r="K169" s="5"/>
      <c r="M169" s="1"/>
    </row>
    <row r="170" spans="3:13" ht="11.25">
      <c r="E170" s="1"/>
      <c r="F170" s="1"/>
      <c r="H170" s="1"/>
      <c r="M170" s="1"/>
    </row>
    <row r="171" spans="3:13" ht="11.25">
      <c r="E171" s="1"/>
      <c r="F171" s="1"/>
      <c r="H171" s="1"/>
      <c r="J171" s="5"/>
      <c r="K171" s="5"/>
      <c r="M171" s="1"/>
    </row>
    <row r="173" spans="3:13" ht="11.25">
      <c r="E173" s="1"/>
      <c r="F173" s="1"/>
      <c r="H173" s="1"/>
      <c r="J173" s="4"/>
      <c r="M173" s="1"/>
    </row>
    <row r="174" spans="3:13" ht="11.25">
      <c r="E174" s="1"/>
      <c r="F174" s="1"/>
      <c r="H174" s="1"/>
      <c r="J174" s="5"/>
      <c r="M174" s="1"/>
    </row>
    <row r="176" spans="3:13" ht="11.25">
      <c r="E176" s="1"/>
      <c r="F176" s="1"/>
      <c r="H176" s="1"/>
      <c r="J176" s="5"/>
      <c r="M176" s="1"/>
    </row>
  </sheetData>
  <mergeCells count="242">
    <mergeCell ref="E82:E84"/>
    <mergeCell ref="B50:B51"/>
    <mergeCell ref="E50:E51"/>
    <mergeCell ref="A50:A51"/>
    <mergeCell ref="H50:H51"/>
    <mergeCell ref="I50:I51"/>
    <mergeCell ref="F50:F51"/>
    <mergeCell ref="G50:G51"/>
    <mergeCell ref="H54:H55"/>
    <mergeCell ref="F54:F55"/>
    <mergeCell ref="G54:G55"/>
    <mergeCell ref="F52:F53"/>
    <mergeCell ref="G52:G53"/>
    <mergeCell ref="H52:H53"/>
    <mergeCell ref="I52:I53"/>
    <mergeCell ref="I60:I61"/>
    <mergeCell ref="I62:J62"/>
    <mergeCell ref="E72:E73"/>
    <mergeCell ref="G75:G76"/>
    <mergeCell ref="D77:D78"/>
    <mergeCell ref="E77:E78"/>
    <mergeCell ref="I79:I80"/>
    <mergeCell ref="D80:D81"/>
    <mergeCell ref="E80:E81"/>
    <mergeCell ref="G41:G42"/>
    <mergeCell ref="A6:M6"/>
    <mergeCell ref="E7:L7"/>
    <mergeCell ref="A8:M8"/>
    <mergeCell ref="L9:M9"/>
    <mergeCell ref="A10:A12"/>
    <mergeCell ref="B10:B12"/>
    <mergeCell ref="C10:C12"/>
    <mergeCell ref="D10:D12"/>
    <mergeCell ref="E10:E12"/>
    <mergeCell ref="F10:F12"/>
    <mergeCell ref="E41:E42"/>
    <mergeCell ref="E39:E40"/>
    <mergeCell ref="G39:G40"/>
    <mergeCell ref="I39:I40"/>
    <mergeCell ref="I27:I29"/>
    <mergeCell ref="F35:F37"/>
    <mergeCell ref="G35:G37"/>
    <mergeCell ref="I35:I36"/>
    <mergeCell ref="I41:I42"/>
    <mergeCell ref="G10:G12"/>
    <mergeCell ref="H10:H12"/>
    <mergeCell ref="I10:I12"/>
    <mergeCell ref="J10:J12"/>
    <mergeCell ref="K1:M3"/>
    <mergeCell ref="C160:J160"/>
    <mergeCell ref="L111:L112"/>
    <mergeCell ref="C95:J95"/>
    <mergeCell ref="C96:M96"/>
    <mergeCell ref="F98:F102"/>
    <mergeCell ref="G98:G102"/>
    <mergeCell ref="I98:I100"/>
    <mergeCell ref="C162:J162"/>
    <mergeCell ref="L141:M141"/>
    <mergeCell ref="C161:J161"/>
    <mergeCell ref="C159:J159"/>
    <mergeCell ref="C157:J157"/>
    <mergeCell ref="C158:J158"/>
    <mergeCell ref="C147:J147"/>
    <mergeCell ref="C148:J148"/>
    <mergeCell ref="C149:J149"/>
    <mergeCell ref="C156:J156"/>
    <mergeCell ref="C150:J150"/>
    <mergeCell ref="C153:J153"/>
    <mergeCell ref="C151:J151"/>
    <mergeCell ref="C152:J152"/>
    <mergeCell ref="C155:J155"/>
    <mergeCell ref="C154:J154"/>
    <mergeCell ref="K10:K12"/>
    <mergeCell ref="L10:M10"/>
    <mergeCell ref="L11:L12"/>
    <mergeCell ref="A13:M13"/>
    <mergeCell ref="A14:M14"/>
    <mergeCell ref="B15:M15"/>
    <mergeCell ref="C16:M16"/>
    <mergeCell ref="E18:E19"/>
    <mergeCell ref="F18:F19"/>
    <mergeCell ref="G18:G19"/>
    <mergeCell ref="H18:H19"/>
    <mergeCell ref="I18:I20"/>
    <mergeCell ref="L18:L19"/>
    <mergeCell ref="M18:M19"/>
    <mergeCell ref="A21:A22"/>
    <mergeCell ref="B21:B22"/>
    <mergeCell ref="C21:C22"/>
    <mergeCell ref="E21:E24"/>
    <mergeCell ref="F21:F22"/>
    <mergeCell ref="G21:G24"/>
    <mergeCell ref="H21:H22"/>
    <mergeCell ref="A27:A34"/>
    <mergeCell ref="B27:B34"/>
    <mergeCell ref="C27:C34"/>
    <mergeCell ref="F27:F34"/>
    <mergeCell ref="G27:G34"/>
    <mergeCell ref="H27:H34"/>
    <mergeCell ref="E30:E33"/>
    <mergeCell ref="A43:A44"/>
    <mergeCell ref="B43:B44"/>
    <mergeCell ref="C43:C44"/>
    <mergeCell ref="E43:E44"/>
    <mergeCell ref="G43:G44"/>
    <mergeCell ref="F45:F46"/>
    <mergeCell ref="G45:G47"/>
    <mergeCell ref="H45:H46"/>
    <mergeCell ref="I49:J49"/>
    <mergeCell ref="F43:F44"/>
    <mergeCell ref="H43:H44"/>
    <mergeCell ref="M50:M51"/>
    <mergeCell ref="I54:I55"/>
    <mergeCell ref="L54:L55"/>
    <mergeCell ref="M54:M55"/>
    <mergeCell ref="A56:A57"/>
    <mergeCell ref="B56:B57"/>
    <mergeCell ref="C56:C57"/>
    <mergeCell ref="E56:E57"/>
    <mergeCell ref="F56:F57"/>
    <mergeCell ref="G56:G57"/>
    <mergeCell ref="H56:H57"/>
    <mergeCell ref="L50:L51"/>
    <mergeCell ref="C52:C53"/>
    <mergeCell ref="E52:E53"/>
    <mergeCell ref="A54:A55"/>
    <mergeCell ref="B54:B55"/>
    <mergeCell ref="C54:C55"/>
    <mergeCell ref="A52:A53"/>
    <mergeCell ref="B52:B53"/>
    <mergeCell ref="C50:C51"/>
    <mergeCell ref="E54:E55"/>
    <mergeCell ref="L52:L53"/>
    <mergeCell ref="A63:A65"/>
    <mergeCell ref="B63:B65"/>
    <mergeCell ref="C63:C65"/>
    <mergeCell ref="E63:E65"/>
    <mergeCell ref="F63:F65"/>
    <mergeCell ref="G63:G65"/>
    <mergeCell ref="H63:H65"/>
    <mergeCell ref="I63:I65"/>
    <mergeCell ref="L63:L65"/>
    <mergeCell ref="A66:A67"/>
    <mergeCell ref="B66:B67"/>
    <mergeCell ref="C66:C67"/>
    <mergeCell ref="E66:E67"/>
    <mergeCell ref="F66:F67"/>
    <mergeCell ref="G66:G67"/>
    <mergeCell ref="H66:H67"/>
    <mergeCell ref="I66:I67"/>
    <mergeCell ref="D69:D71"/>
    <mergeCell ref="E69:E71"/>
    <mergeCell ref="I69:I70"/>
    <mergeCell ref="I88:J88"/>
    <mergeCell ref="A89:A90"/>
    <mergeCell ref="B89:B90"/>
    <mergeCell ref="C89:C90"/>
    <mergeCell ref="D89:D90"/>
    <mergeCell ref="E89:E90"/>
    <mergeCell ref="F89:F90"/>
    <mergeCell ref="H89:H90"/>
    <mergeCell ref="I89:I90"/>
    <mergeCell ref="G89:G90"/>
    <mergeCell ref="A91:A94"/>
    <mergeCell ref="B91:B94"/>
    <mergeCell ref="C91:C94"/>
    <mergeCell ref="D91:D94"/>
    <mergeCell ref="F91:F94"/>
    <mergeCell ref="H91:H94"/>
    <mergeCell ref="I91:I94"/>
    <mergeCell ref="G93:G94"/>
    <mergeCell ref="L93:L94"/>
    <mergeCell ref="G91:G92"/>
    <mergeCell ref="F103:F106"/>
    <mergeCell ref="I103:I105"/>
    <mergeCell ref="G104:G106"/>
    <mergeCell ref="L106:L107"/>
    <mergeCell ref="I109:J109"/>
    <mergeCell ref="E110:E112"/>
    <mergeCell ref="F110:F112"/>
    <mergeCell ref="G110:G112"/>
    <mergeCell ref="H110:H112"/>
    <mergeCell ref="I110:I112"/>
    <mergeCell ref="H113:H115"/>
    <mergeCell ref="I113:I115"/>
    <mergeCell ref="L113:L114"/>
    <mergeCell ref="A116:A118"/>
    <mergeCell ref="B116:B118"/>
    <mergeCell ref="C116:C118"/>
    <mergeCell ref="D116:D118"/>
    <mergeCell ref="E116:E118"/>
    <mergeCell ref="F116:F118"/>
    <mergeCell ref="G116:G118"/>
    <mergeCell ref="H116:H118"/>
    <mergeCell ref="I116:I118"/>
    <mergeCell ref="L116:L117"/>
    <mergeCell ref="E113:E115"/>
    <mergeCell ref="F113:F115"/>
    <mergeCell ref="G113:G115"/>
    <mergeCell ref="C119:J119"/>
    <mergeCell ref="C120:M120"/>
    <mergeCell ref="A121:A123"/>
    <mergeCell ref="B121:B123"/>
    <mergeCell ref="C121:C123"/>
    <mergeCell ref="E121:E123"/>
    <mergeCell ref="F121:F123"/>
    <mergeCell ref="G121:G123"/>
    <mergeCell ref="H121:H123"/>
    <mergeCell ref="I121:I123"/>
    <mergeCell ref="A124:A125"/>
    <mergeCell ref="B124:B125"/>
    <mergeCell ref="C124:C125"/>
    <mergeCell ref="E124:E125"/>
    <mergeCell ref="F124:F125"/>
    <mergeCell ref="G124:G125"/>
    <mergeCell ref="H124:H125"/>
    <mergeCell ref="I124:I125"/>
    <mergeCell ref="L124:L125"/>
    <mergeCell ref="L143:M143"/>
    <mergeCell ref="A144:M144"/>
    <mergeCell ref="C145:K145"/>
    <mergeCell ref="C163:J163"/>
    <mergeCell ref="C164:J164"/>
    <mergeCell ref="C126:J126"/>
    <mergeCell ref="L126:M126"/>
    <mergeCell ref="C127:M127"/>
    <mergeCell ref="G130:G134"/>
    <mergeCell ref="E132:E134"/>
    <mergeCell ref="I137:J137"/>
    <mergeCell ref="A138:A140"/>
    <mergeCell ref="B138:B140"/>
    <mergeCell ref="C138:C140"/>
    <mergeCell ref="E138:E140"/>
    <mergeCell ref="F138:F140"/>
    <mergeCell ref="G138:G140"/>
    <mergeCell ref="H138:H140"/>
    <mergeCell ref="I138:I140"/>
    <mergeCell ref="L139:L140"/>
    <mergeCell ref="C141:J141"/>
    <mergeCell ref="B142:J142"/>
    <mergeCell ref="L142:M142"/>
    <mergeCell ref="B143:J143"/>
  </mergeCells>
  <printOptions horizontalCentered="1"/>
  <pageMargins left="0.78740157480314965" right="0.19685039370078741" top="0.39370078740157483" bottom="0.39370078740157483" header="0" footer="0"/>
  <pageSetup paperSize="9" scale="73" orientation="portrait" r:id="rId1"/>
  <rowBreaks count="1" manualBreakCount="1">
    <brk id="42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8</vt:i4>
      </vt:variant>
    </vt:vector>
  </HeadingPairs>
  <TitlesOfParts>
    <vt:vector size="13" baseType="lpstr">
      <vt:lpstr>Asignavimų valdytojų kodai</vt:lpstr>
      <vt:lpstr>3 programa</vt:lpstr>
      <vt:lpstr>Lyginamasis variantas </vt:lpstr>
      <vt:lpstr>Aiškinamoji lentelė</vt:lpstr>
      <vt:lpstr>2015 MVP</vt:lpstr>
      <vt:lpstr>'2015 MVP'!Print_Area</vt:lpstr>
      <vt:lpstr>'3 programa'!Print_Area</vt:lpstr>
      <vt:lpstr>'Aiškinamoji lentelė'!Print_Area</vt:lpstr>
      <vt:lpstr>'Lyginamasis variantas '!Print_Area</vt:lpstr>
      <vt:lpstr>'2015 MVP'!Print_Titles</vt:lpstr>
      <vt:lpstr>'3 programa'!Print_Titles</vt:lpstr>
      <vt:lpstr>'Aiškinamoji lentelė'!Print_Titles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2015-07-07T06:41:23Z</cp:lastPrinted>
  <dcterms:created xsi:type="dcterms:W3CDTF">2004-05-19T10:48:48Z</dcterms:created>
  <dcterms:modified xsi:type="dcterms:W3CDTF">2015-07-13T10:38:05Z</dcterms:modified>
</cp:coreProperties>
</file>