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155" windowWidth="19320" windowHeight="10680" activeTab="4"/>
  </bookViews>
  <sheets>
    <sheet name="1pr. pajamos" sheetId="11" r:id="rId1"/>
    <sheet name="1 pr. asignavimai" sheetId="3" r:id="rId2"/>
    <sheet name="2 pr." sheetId="5" r:id="rId3"/>
    <sheet name="3 pr." sheetId="4" r:id="rId4"/>
    <sheet name="4 pr." sheetId="13" r:id="rId5"/>
  </sheets>
  <definedNames>
    <definedName name="_xlnm._FilterDatabase" localSheetId="2" hidden="1">'2 pr.'!$C$1:$C$59</definedName>
    <definedName name="_xlnm.Print_Titles" localSheetId="1">'1 pr. asignavimai'!$3:$7</definedName>
    <definedName name="_xlnm.Print_Titles" localSheetId="0">'1pr. pajamos'!$8:$9</definedName>
    <definedName name="_xlnm.Print_Titles" localSheetId="2">'2 pr.'!$9:$13</definedName>
    <definedName name="_xlnm.Print_Titles" localSheetId="4">'4 pr.'!$8:$11</definedName>
  </definedNames>
  <calcPr calcId="145621" fullPrecision="0"/>
</workbook>
</file>

<file path=xl/calcChain.xml><?xml version="1.0" encoding="utf-8"?>
<calcChain xmlns="http://schemas.openxmlformats.org/spreadsheetml/2006/main">
  <c r="E17" i="11" l="1"/>
  <c r="C131" i="13" l="1"/>
  <c r="D131" i="13"/>
  <c r="K131" i="13"/>
  <c r="N130" i="13"/>
  <c r="K130" i="13"/>
  <c r="H130" i="13"/>
  <c r="D130" i="13"/>
  <c r="C130" i="13"/>
  <c r="N129" i="13"/>
  <c r="K129" i="13"/>
  <c r="H129" i="13"/>
  <c r="D129" i="13"/>
  <c r="C129" i="13"/>
  <c r="N128" i="13"/>
  <c r="K128" i="13"/>
  <c r="H128" i="13"/>
  <c r="D128" i="13"/>
  <c r="C128" i="13"/>
  <c r="N127" i="13"/>
  <c r="K127" i="13"/>
  <c r="H127" i="13"/>
  <c r="D127" i="13"/>
  <c r="C127" i="13"/>
  <c r="N126" i="13"/>
  <c r="K126" i="13"/>
  <c r="H126" i="13"/>
  <c r="D126" i="13"/>
  <c r="C126" i="13"/>
  <c r="N125" i="13"/>
  <c r="K125" i="13"/>
  <c r="H125" i="13"/>
  <c r="D125" i="13"/>
  <c r="C125" i="13"/>
  <c r="N124" i="13"/>
  <c r="K124" i="13"/>
  <c r="H124" i="13"/>
  <c r="D124" i="13"/>
  <c r="C124" i="13"/>
  <c r="M123" i="13"/>
  <c r="L123" i="13"/>
  <c r="J123" i="13"/>
  <c r="I123" i="13"/>
  <c r="G123" i="13"/>
  <c r="F123" i="13"/>
  <c r="N122" i="13"/>
  <c r="K122" i="13"/>
  <c r="H122" i="13"/>
  <c r="D122" i="13"/>
  <c r="C122" i="13"/>
  <c r="N121" i="13"/>
  <c r="K121" i="13"/>
  <c r="H121" i="13"/>
  <c r="D121" i="13"/>
  <c r="C121" i="13"/>
  <c r="N120" i="13"/>
  <c r="K120" i="13"/>
  <c r="H120" i="13"/>
  <c r="D120" i="13"/>
  <c r="C120" i="13"/>
  <c r="N119" i="13"/>
  <c r="K119" i="13"/>
  <c r="H119" i="13"/>
  <c r="D119" i="13"/>
  <c r="C119" i="13"/>
  <c r="N118" i="13"/>
  <c r="K118" i="13"/>
  <c r="H118" i="13"/>
  <c r="D118" i="13"/>
  <c r="C118" i="13"/>
  <c r="N117" i="13"/>
  <c r="K117" i="13"/>
  <c r="H117" i="13"/>
  <c r="D117" i="13"/>
  <c r="C117" i="13"/>
  <c r="N116" i="13"/>
  <c r="K116" i="13"/>
  <c r="H116" i="13"/>
  <c r="D116" i="13"/>
  <c r="C116" i="13"/>
  <c r="N115" i="13"/>
  <c r="K115" i="13"/>
  <c r="H115" i="13"/>
  <c r="D115" i="13"/>
  <c r="C115" i="13"/>
  <c r="N114" i="13"/>
  <c r="K114" i="13"/>
  <c r="H114" i="13"/>
  <c r="D114" i="13"/>
  <c r="C114" i="13"/>
  <c r="N113" i="13"/>
  <c r="K113" i="13"/>
  <c r="H113" i="13"/>
  <c r="D113" i="13"/>
  <c r="C113" i="13"/>
  <c r="N112" i="13"/>
  <c r="K112" i="13"/>
  <c r="H112" i="13"/>
  <c r="D112" i="13"/>
  <c r="C112" i="13"/>
  <c r="N111" i="13"/>
  <c r="K111" i="13"/>
  <c r="H111" i="13"/>
  <c r="D111" i="13"/>
  <c r="C111" i="13"/>
  <c r="N110" i="13"/>
  <c r="K110" i="13"/>
  <c r="H110" i="13"/>
  <c r="D110" i="13"/>
  <c r="C110" i="13"/>
  <c r="N109" i="13"/>
  <c r="K109" i="13"/>
  <c r="H109" i="13"/>
  <c r="D109" i="13"/>
  <c r="C109" i="13"/>
  <c r="N108" i="13"/>
  <c r="K108" i="13"/>
  <c r="H108" i="13"/>
  <c r="D108" i="13"/>
  <c r="C108" i="13"/>
  <c r="N107" i="13"/>
  <c r="K107" i="13"/>
  <c r="H107" i="13"/>
  <c r="D107" i="13"/>
  <c r="C107" i="13"/>
  <c r="N106" i="13"/>
  <c r="K106" i="13"/>
  <c r="H106" i="13"/>
  <c r="D106" i="13"/>
  <c r="C106" i="13"/>
  <c r="N105" i="13"/>
  <c r="K105" i="13"/>
  <c r="H105" i="13"/>
  <c r="D105" i="13"/>
  <c r="C105" i="13"/>
  <c r="N104" i="13"/>
  <c r="K104" i="13"/>
  <c r="H104" i="13"/>
  <c r="D104" i="13"/>
  <c r="C104" i="13"/>
  <c r="N103" i="13"/>
  <c r="K103" i="13"/>
  <c r="H103" i="13"/>
  <c r="D103" i="13"/>
  <c r="C103" i="13"/>
  <c r="N102" i="13"/>
  <c r="K102" i="13"/>
  <c r="H102" i="13"/>
  <c r="D102" i="13"/>
  <c r="C102" i="13"/>
  <c r="N101" i="13"/>
  <c r="K101" i="13"/>
  <c r="H101" i="13"/>
  <c r="D101" i="13"/>
  <c r="C101" i="13"/>
  <c r="M100" i="13"/>
  <c r="K100" i="13"/>
  <c r="H100" i="13"/>
  <c r="C100" i="13"/>
  <c r="N99" i="13"/>
  <c r="K99" i="13"/>
  <c r="H99" i="13"/>
  <c r="D99" i="13"/>
  <c r="C99" i="13"/>
  <c r="N98" i="13"/>
  <c r="K98" i="13"/>
  <c r="H98" i="13"/>
  <c r="D98" i="13"/>
  <c r="C98" i="13"/>
  <c r="N97" i="13"/>
  <c r="K97" i="13"/>
  <c r="H97" i="13"/>
  <c r="D97" i="13"/>
  <c r="C97" i="13"/>
  <c r="N96" i="13"/>
  <c r="K96" i="13"/>
  <c r="H96" i="13"/>
  <c r="D96" i="13"/>
  <c r="C96" i="13"/>
  <c r="N95" i="13"/>
  <c r="K95" i="13"/>
  <c r="H95" i="13"/>
  <c r="D95" i="13"/>
  <c r="C95" i="13"/>
  <c r="N94" i="13"/>
  <c r="K94" i="13"/>
  <c r="H94" i="13"/>
  <c r="D94" i="13"/>
  <c r="C94" i="13"/>
  <c r="N93" i="13"/>
  <c r="K93" i="13"/>
  <c r="H93" i="13"/>
  <c r="D93" i="13"/>
  <c r="C93" i="13"/>
  <c r="N92" i="13"/>
  <c r="K92" i="13"/>
  <c r="H92" i="13"/>
  <c r="D92" i="13"/>
  <c r="C92" i="13"/>
  <c r="N91" i="13"/>
  <c r="K91" i="13"/>
  <c r="H91" i="13"/>
  <c r="D91" i="13"/>
  <c r="C91" i="13"/>
  <c r="N90" i="13"/>
  <c r="K90" i="13"/>
  <c r="H90" i="13"/>
  <c r="D90" i="13"/>
  <c r="C90" i="13"/>
  <c r="N89" i="13"/>
  <c r="K89" i="13"/>
  <c r="H89" i="13"/>
  <c r="D89" i="13"/>
  <c r="C89" i="13"/>
  <c r="N88" i="13"/>
  <c r="K88" i="13"/>
  <c r="H88" i="13"/>
  <c r="D88" i="13"/>
  <c r="C88" i="13"/>
  <c r="N87" i="13"/>
  <c r="K87" i="13"/>
  <c r="H87" i="13"/>
  <c r="D87" i="13"/>
  <c r="C87" i="13"/>
  <c r="N86" i="13"/>
  <c r="K86" i="13"/>
  <c r="H86" i="13"/>
  <c r="D86" i="13"/>
  <c r="C86" i="13"/>
  <c r="N85" i="13"/>
  <c r="K85" i="13"/>
  <c r="G85" i="13"/>
  <c r="C85" i="13"/>
  <c r="N84" i="13"/>
  <c r="K84" i="13"/>
  <c r="H84" i="13"/>
  <c r="D84" i="13"/>
  <c r="C84" i="13"/>
  <c r="N83" i="13"/>
  <c r="K83" i="13"/>
  <c r="H83" i="13"/>
  <c r="D83" i="13"/>
  <c r="C83" i="13"/>
  <c r="N82" i="13"/>
  <c r="K82" i="13"/>
  <c r="H82" i="13"/>
  <c r="D82" i="13"/>
  <c r="C82" i="13"/>
  <c r="N81" i="13"/>
  <c r="K81" i="13"/>
  <c r="H81" i="13"/>
  <c r="D81" i="13"/>
  <c r="C81" i="13"/>
  <c r="N80" i="13"/>
  <c r="K80" i="13"/>
  <c r="H80" i="13"/>
  <c r="D80" i="13"/>
  <c r="C80" i="13"/>
  <c r="N79" i="13"/>
  <c r="K79" i="13"/>
  <c r="H79" i="13"/>
  <c r="D79" i="13"/>
  <c r="C79" i="13"/>
  <c r="E79" i="13" s="1"/>
  <c r="N78" i="13"/>
  <c r="K78" i="13"/>
  <c r="H78" i="13"/>
  <c r="D78" i="13"/>
  <c r="C78" i="13"/>
  <c r="N77" i="13"/>
  <c r="K77" i="13"/>
  <c r="H77" i="13"/>
  <c r="D77" i="13"/>
  <c r="C77" i="13"/>
  <c r="N76" i="13"/>
  <c r="K76" i="13"/>
  <c r="H76" i="13"/>
  <c r="D76" i="13"/>
  <c r="C76" i="13"/>
  <c r="N75" i="13"/>
  <c r="K75" i="13"/>
  <c r="H75" i="13"/>
  <c r="D75" i="13"/>
  <c r="C75" i="13"/>
  <c r="N74" i="13"/>
  <c r="K74" i="13"/>
  <c r="H74" i="13"/>
  <c r="D74" i="13"/>
  <c r="C74" i="13"/>
  <c r="N73" i="13"/>
  <c r="K73" i="13"/>
  <c r="H73" i="13"/>
  <c r="D73" i="13"/>
  <c r="C73" i="13"/>
  <c r="N72" i="13"/>
  <c r="K72" i="13"/>
  <c r="H72" i="13"/>
  <c r="D72" i="13"/>
  <c r="C72" i="13"/>
  <c r="N71" i="13"/>
  <c r="K71" i="13"/>
  <c r="H71" i="13"/>
  <c r="D71" i="13"/>
  <c r="C71" i="13"/>
  <c r="N70" i="13"/>
  <c r="K70" i="13"/>
  <c r="H70" i="13"/>
  <c r="D70" i="13"/>
  <c r="C70" i="13"/>
  <c r="N69" i="13"/>
  <c r="K69" i="13"/>
  <c r="H69" i="13"/>
  <c r="D69" i="13"/>
  <c r="C69" i="13"/>
  <c r="N68" i="13"/>
  <c r="K68" i="13"/>
  <c r="H68" i="13"/>
  <c r="D68" i="13"/>
  <c r="C68" i="13"/>
  <c r="N67" i="13"/>
  <c r="K67" i="13"/>
  <c r="H67" i="13"/>
  <c r="D67" i="13"/>
  <c r="C67" i="13"/>
  <c r="N66" i="13"/>
  <c r="K66" i="13"/>
  <c r="H66" i="13"/>
  <c r="D66" i="13"/>
  <c r="C66" i="13"/>
  <c r="N65" i="13"/>
  <c r="K65" i="13"/>
  <c r="H65" i="13"/>
  <c r="D65" i="13"/>
  <c r="C65" i="13"/>
  <c r="N64" i="13"/>
  <c r="K64" i="13"/>
  <c r="H64" i="13"/>
  <c r="D64" i="13"/>
  <c r="C64" i="13"/>
  <c r="N63" i="13"/>
  <c r="K63" i="13"/>
  <c r="H63" i="13"/>
  <c r="D63" i="13"/>
  <c r="C63" i="13"/>
  <c r="N62" i="13"/>
  <c r="K62" i="13"/>
  <c r="H62" i="13"/>
  <c r="D62" i="13"/>
  <c r="C62" i="13"/>
  <c r="N61" i="13"/>
  <c r="K61" i="13"/>
  <c r="H61" i="13"/>
  <c r="D61" i="13"/>
  <c r="C61" i="13"/>
  <c r="N60" i="13"/>
  <c r="K60" i="13"/>
  <c r="H60" i="13"/>
  <c r="D60" i="13"/>
  <c r="C60" i="13"/>
  <c r="N59" i="13"/>
  <c r="K59" i="13"/>
  <c r="H59" i="13"/>
  <c r="D59" i="13"/>
  <c r="C59" i="13"/>
  <c r="N58" i="13"/>
  <c r="K58" i="13"/>
  <c r="H58" i="13"/>
  <c r="D58" i="13"/>
  <c r="C58" i="13"/>
  <c r="N57" i="13"/>
  <c r="K57" i="13"/>
  <c r="H57" i="13"/>
  <c r="D57" i="13"/>
  <c r="C57" i="13"/>
  <c r="N56" i="13"/>
  <c r="K56" i="13"/>
  <c r="H56" i="13"/>
  <c r="D56" i="13"/>
  <c r="C56" i="13"/>
  <c r="N55" i="13"/>
  <c r="K55" i="13"/>
  <c r="H55" i="13"/>
  <c r="D55" i="13"/>
  <c r="C55" i="13"/>
  <c r="N54" i="13"/>
  <c r="K54" i="13"/>
  <c r="H54" i="13"/>
  <c r="D54" i="13"/>
  <c r="C54" i="13"/>
  <c r="N53" i="13"/>
  <c r="K53" i="13"/>
  <c r="H53" i="13"/>
  <c r="D53" i="13"/>
  <c r="C53" i="13"/>
  <c r="N52" i="13"/>
  <c r="K52" i="13"/>
  <c r="H52" i="13"/>
  <c r="D52" i="13"/>
  <c r="C52" i="13"/>
  <c r="N51" i="13"/>
  <c r="K51" i="13"/>
  <c r="H51" i="13"/>
  <c r="D51" i="13"/>
  <c r="C51" i="13"/>
  <c r="N50" i="13"/>
  <c r="K50" i="13"/>
  <c r="H50" i="13"/>
  <c r="D50" i="13"/>
  <c r="C50" i="13"/>
  <c r="N49" i="13"/>
  <c r="K49" i="13"/>
  <c r="H49" i="13"/>
  <c r="D49" i="13"/>
  <c r="C49" i="13"/>
  <c r="N48" i="13"/>
  <c r="K48" i="13"/>
  <c r="H48" i="13"/>
  <c r="D48" i="13"/>
  <c r="C48" i="13"/>
  <c r="N47" i="13"/>
  <c r="K47" i="13"/>
  <c r="H47" i="13"/>
  <c r="D47" i="13"/>
  <c r="C47" i="13"/>
  <c r="N46" i="13"/>
  <c r="K46" i="13"/>
  <c r="H46" i="13"/>
  <c r="D46" i="13"/>
  <c r="C46" i="13"/>
  <c r="N45" i="13"/>
  <c r="K45" i="13"/>
  <c r="H45" i="13"/>
  <c r="D45" i="13"/>
  <c r="C45" i="13"/>
  <c r="N44" i="13"/>
  <c r="K44" i="13"/>
  <c r="H44" i="13"/>
  <c r="D44" i="13"/>
  <c r="C44" i="13"/>
  <c r="N43" i="13"/>
  <c r="K43" i="13"/>
  <c r="H43" i="13"/>
  <c r="D43" i="13"/>
  <c r="C43" i="13"/>
  <c r="N42" i="13"/>
  <c r="K42" i="13"/>
  <c r="H42" i="13"/>
  <c r="D42" i="13"/>
  <c r="C42" i="13"/>
  <c r="N41" i="13"/>
  <c r="K41" i="13"/>
  <c r="H41" i="13"/>
  <c r="D41" i="13"/>
  <c r="C41" i="13"/>
  <c r="N40" i="13"/>
  <c r="K40" i="13"/>
  <c r="H40" i="13"/>
  <c r="D40" i="13"/>
  <c r="C40" i="13"/>
  <c r="N39" i="13"/>
  <c r="K39" i="13"/>
  <c r="H39" i="13"/>
  <c r="D39" i="13"/>
  <c r="C39" i="13"/>
  <c r="N38" i="13"/>
  <c r="K38" i="13"/>
  <c r="H38" i="13"/>
  <c r="D38" i="13"/>
  <c r="C38" i="13"/>
  <c r="N37" i="13"/>
  <c r="K37" i="13"/>
  <c r="H37" i="13"/>
  <c r="D37" i="13"/>
  <c r="C37" i="13"/>
  <c r="N36" i="13"/>
  <c r="K36" i="13"/>
  <c r="H36" i="13"/>
  <c r="D36" i="13"/>
  <c r="C36" i="13"/>
  <c r="N35" i="13"/>
  <c r="K35" i="13"/>
  <c r="H35" i="13"/>
  <c r="D35" i="13"/>
  <c r="C35" i="13"/>
  <c r="N34" i="13"/>
  <c r="K34" i="13"/>
  <c r="H34" i="13"/>
  <c r="D34" i="13"/>
  <c r="C34" i="13"/>
  <c r="N33" i="13"/>
  <c r="K33" i="13"/>
  <c r="H33" i="13"/>
  <c r="D33" i="13"/>
  <c r="C33" i="13"/>
  <c r="N32" i="13"/>
  <c r="K32" i="13"/>
  <c r="H32" i="13"/>
  <c r="D32" i="13"/>
  <c r="C32" i="13"/>
  <c r="N31" i="13"/>
  <c r="K31" i="13"/>
  <c r="H31" i="13"/>
  <c r="D31" i="13"/>
  <c r="C31" i="13"/>
  <c r="N30" i="13"/>
  <c r="K30" i="13"/>
  <c r="H30" i="13"/>
  <c r="D30" i="13"/>
  <c r="C30" i="13"/>
  <c r="N29" i="13"/>
  <c r="K29" i="13"/>
  <c r="H29" i="13"/>
  <c r="D29" i="13"/>
  <c r="C29" i="13"/>
  <c r="N28" i="13"/>
  <c r="K28" i="13"/>
  <c r="H28" i="13"/>
  <c r="D28" i="13"/>
  <c r="C28" i="13"/>
  <c r="N27" i="13"/>
  <c r="K27" i="13"/>
  <c r="H27" i="13"/>
  <c r="D27" i="13"/>
  <c r="C27" i="13"/>
  <c r="M26" i="13"/>
  <c r="N26" i="13" s="1"/>
  <c r="K26" i="13"/>
  <c r="H26" i="13"/>
  <c r="C26" i="13"/>
  <c r="N25" i="13"/>
  <c r="K25" i="13"/>
  <c r="H25" i="13"/>
  <c r="D25" i="13"/>
  <c r="C25" i="13"/>
  <c r="N24" i="13"/>
  <c r="K24" i="13"/>
  <c r="H24" i="13"/>
  <c r="D24" i="13"/>
  <c r="C24" i="13"/>
  <c r="N23" i="13"/>
  <c r="K23" i="13"/>
  <c r="H23" i="13"/>
  <c r="D23" i="13"/>
  <c r="C23" i="13"/>
  <c r="N22" i="13"/>
  <c r="K22" i="13"/>
  <c r="H22" i="13"/>
  <c r="D22" i="13"/>
  <c r="C22" i="13"/>
  <c r="N21" i="13"/>
  <c r="K21" i="13"/>
  <c r="H21" i="13"/>
  <c r="D21" i="13"/>
  <c r="C21" i="13"/>
  <c r="N20" i="13"/>
  <c r="K20" i="13"/>
  <c r="H20" i="13"/>
  <c r="D20" i="13"/>
  <c r="C20" i="13"/>
  <c r="N19" i="13"/>
  <c r="K19" i="13"/>
  <c r="H19" i="13"/>
  <c r="D19" i="13"/>
  <c r="C19" i="13"/>
  <c r="N18" i="13"/>
  <c r="K18" i="13"/>
  <c r="H18" i="13"/>
  <c r="D18" i="13"/>
  <c r="C18" i="13"/>
  <c r="N17" i="13"/>
  <c r="K17" i="13"/>
  <c r="H17" i="13"/>
  <c r="D17" i="13"/>
  <c r="C17" i="13"/>
  <c r="L16" i="13"/>
  <c r="J16" i="13"/>
  <c r="I16" i="13"/>
  <c r="F16" i="13"/>
  <c r="N15" i="13"/>
  <c r="K15" i="13"/>
  <c r="H15" i="13"/>
  <c r="D15" i="13"/>
  <c r="C15" i="13"/>
  <c r="N14" i="13"/>
  <c r="K14" i="13"/>
  <c r="H14" i="13"/>
  <c r="D14" i="13"/>
  <c r="C14" i="13"/>
  <c r="M13" i="13"/>
  <c r="L13" i="13"/>
  <c r="J13" i="13"/>
  <c r="I13" i="13"/>
  <c r="G13" i="13"/>
  <c r="F13" i="13"/>
  <c r="N12" i="13"/>
  <c r="K12" i="13"/>
  <c r="H12" i="13"/>
  <c r="D12" i="13"/>
  <c r="C12" i="13"/>
  <c r="E76" i="13" l="1"/>
  <c r="E80" i="13"/>
  <c r="E78" i="13"/>
  <c r="C13" i="13"/>
  <c r="N13" i="13"/>
  <c r="E36" i="13"/>
  <c r="E72" i="13"/>
  <c r="E74" i="13"/>
  <c r="E73" i="13"/>
  <c r="E77" i="13"/>
  <c r="E82" i="13"/>
  <c r="E88" i="13"/>
  <c r="E92" i="13"/>
  <c r="E96" i="13"/>
  <c r="E112" i="13"/>
  <c r="E116" i="13"/>
  <c r="E120" i="13"/>
  <c r="K13" i="13"/>
  <c r="E70" i="13"/>
  <c r="E71" i="13"/>
  <c r="E81" i="13"/>
  <c r="E84" i="13"/>
  <c r="E86" i="13"/>
  <c r="E90" i="13"/>
  <c r="E94" i="13"/>
  <c r="E98" i="13"/>
  <c r="E18" i="13"/>
  <c r="E12" i="13"/>
  <c r="E114" i="13"/>
  <c r="E118" i="13"/>
  <c r="E22" i="13"/>
  <c r="H13" i="13"/>
  <c r="E15" i="13"/>
  <c r="E20" i="13"/>
  <c r="E24" i="13"/>
  <c r="E34" i="13"/>
  <c r="E75" i="13"/>
  <c r="E83" i="13"/>
  <c r="D13" i="13"/>
  <c r="E33" i="13"/>
  <c r="E37" i="13"/>
  <c r="E40" i="13"/>
  <c r="E44" i="13"/>
  <c r="E48" i="13"/>
  <c r="E52" i="13"/>
  <c r="E56" i="13"/>
  <c r="E60" i="13"/>
  <c r="E64" i="13"/>
  <c r="E68" i="13"/>
  <c r="E87" i="13"/>
  <c r="E91" i="13"/>
  <c r="E95" i="13"/>
  <c r="E99" i="13"/>
  <c r="E101" i="13"/>
  <c r="E105" i="13"/>
  <c r="E109" i="13"/>
  <c r="E113" i="13"/>
  <c r="E117" i="13"/>
  <c r="E121" i="13"/>
  <c r="H123" i="13"/>
  <c r="C16" i="13"/>
  <c r="E30" i="13"/>
  <c r="E35" i="13"/>
  <c r="E38" i="13"/>
  <c r="E42" i="13"/>
  <c r="E46" i="13"/>
  <c r="E50" i="13"/>
  <c r="E89" i="13"/>
  <c r="E93" i="13"/>
  <c r="E97" i="13"/>
  <c r="D100" i="13"/>
  <c r="E100" i="13" s="1"/>
  <c r="N100" i="13"/>
  <c r="E111" i="13"/>
  <c r="E115" i="13"/>
  <c r="E119" i="13"/>
  <c r="K123" i="13"/>
  <c r="E126" i="13"/>
  <c r="E130" i="13"/>
  <c r="E131" i="13"/>
  <c r="E14" i="13"/>
  <c r="E19" i="13"/>
  <c r="E23" i="13"/>
  <c r="E41" i="13"/>
  <c r="E45" i="13"/>
  <c r="E49" i="13"/>
  <c r="E53" i="13"/>
  <c r="E57" i="13"/>
  <c r="E61" i="13"/>
  <c r="E65" i="13"/>
  <c r="E69" i="13"/>
  <c r="E104" i="13"/>
  <c r="E108" i="13"/>
  <c r="I132" i="13"/>
  <c r="E127" i="13"/>
  <c r="J132" i="13"/>
  <c r="E17" i="13"/>
  <c r="E21" i="13"/>
  <c r="E25" i="13"/>
  <c r="D26" i="13"/>
  <c r="E26" i="13" s="1"/>
  <c r="E27" i="13"/>
  <c r="E31" i="13"/>
  <c r="E39" i="13"/>
  <c r="E43" i="13"/>
  <c r="E47" i="13"/>
  <c r="E51" i="13"/>
  <c r="E122" i="13"/>
  <c r="N123" i="13"/>
  <c r="L132" i="13"/>
  <c r="E29" i="13"/>
  <c r="E55" i="13"/>
  <c r="E59" i="13"/>
  <c r="E63" i="13"/>
  <c r="E67" i="13"/>
  <c r="E103" i="13"/>
  <c r="E107" i="13"/>
  <c r="C123" i="13"/>
  <c r="E125" i="13"/>
  <c r="E129" i="13"/>
  <c r="F132" i="13"/>
  <c r="M16" i="13"/>
  <c r="M132" i="13" s="1"/>
  <c r="E28" i="13"/>
  <c r="E32" i="13"/>
  <c r="E54" i="13"/>
  <c r="E58" i="13"/>
  <c r="E62" i="13"/>
  <c r="E66" i="13"/>
  <c r="E102" i="13"/>
  <c r="E106" i="13"/>
  <c r="E110" i="13"/>
  <c r="D123" i="13"/>
  <c r="E124" i="13"/>
  <c r="E128" i="13"/>
  <c r="D85" i="13"/>
  <c r="E85" i="13" s="1"/>
  <c r="H85" i="13"/>
  <c r="H16" i="13" s="1"/>
  <c r="G16" i="13"/>
  <c r="G132" i="13" s="1"/>
  <c r="K16" i="13"/>
  <c r="K132" i="13" s="1"/>
  <c r="H132" i="13" l="1"/>
  <c r="E13" i="13"/>
  <c r="N16" i="13"/>
  <c r="N132" i="13"/>
  <c r="E16" i="13"/>
  <c r="C132" i="13"/>
  <c r="D16" i="13"/>
  <c r="D132" i="13" s="1"/>
  <c r="E123" i="13"/>
  <c r="E132" i="13" l="1"/>
  <c r="F13" i="4" l="1"/>
  <c r="F14" i="4"/>
  <c r="F15" i="4"/>
  <c r="F16" i="4"/>
  <c r="F17" i="4"/>
  <c r="F18" i="4"/>
  <c r="F19" i="4"/>
  <c r="F20" i="4"/>
  <c r="F12" i="4"/>
  <c r="D20" i="4" l="1"/>
  <c r="E13" i="4"/>
  <c r="E14" i="4"/>
  <c r="E15" i="4"/>
  <c r="E16" i="4"/>
  <c r="E17" i="4"/>
  <c r="E18" i="4"/>
  <c r="E19" i="4"/>
  <c r="E12" i="4"/>
  <c r="C20" i="4"/>
  <c r="E74" i="11"/>
  <c r="I108" i="3"/>
  <c r="J108" i="3"/>
  <c r="K108" i="3"/>
  <c r="L108" i="3"/>
  <c r="E20" i="4" l="1"/>
  <c r="I53" i="5"/>
  <c r="J53" i="5"/>
  <c r="K53" i="5"/>
  <c r="L53" i="5"/>
  <c r="M53" i="5"/>
  <c r="H53" i="5"/>
  <c r="I50" i="5"/>
  <c r="J50" i="5"/>
  <c r="K50" i="5"/>
  <c r="L50" i="5"/>
  <c r="M50" i="5"/>
  <c r="H50" i="5"/>
  <c r="I45" i="5"/>
  <c r="J45" i="5"/>
  <c r="K45" i="5"/>
  <c r="L45" i="5"/>
  <c r="M45" i="5"/>
  <c r="H45" i="5"/>
  <c r="D50" i="5" l="1"/>
  <c r="E50" i="5"/>
  <c r="J41" i="5"/>
  <c r="K41" i="5"/>
  <c r="L41" i="5"/>
  <c r="M41" i="5"/>
  <c r="I39" i="5"/>
  <c r="J39" i="5"/>
  <c r="K39" i="5"/>
  <c r="L39" i="5"/>
  <c r="M39" i="5"/>
  <c r="H39" i="5"/>
  <c r="I36" i="5"/>
  <c r="J36" i="5"/>
  <c r="K36" i="5"/>
  <c r="L36" i="5"/>
  <c r="M36" i="5"/>
  <c r="H36" i="5"/>
  <c r="I31" i="5"/>
  <c r="J31" i="5"/>
  <c r="K31" i="5"/>
  <c r="L31" i="5"/>
  <c r="M31" i="5"/>
  <c r="I34" i="5"/>
  <c r="J34" i="5"/>
  <c r="K34" i="5"/>
  <c r="L34" i="5"/>
  <c r="M34" i="5"/>
  <c r="H34" i="5"/>
  <c r="H31" i="5"/>
  <c r="D31" i="5" s="1"/>
  <c r="I27" i="5"/>
  <c r="J27" i="5"/>
  <c r="K27" i="5"/>
  <c r="L27" i="5"/>
  <c r="M27" i="5"/>
  <c r="I29" i="5"/>
  <c r="J29" i="5"/>
  <c r="K29" i="5"/>
  <c r="L29" i="5"/>
  <c r="M29" i="5"/>
  <c r="H29" i="5"/>
  <c r="H27" i="5"/>
  <c r="J21" i="5"/>
  <c r="K21" i="5"/>
  <c r="L21" i="5"/>
  <c r="M21" i="5"/>
  <c r="J14" i="5"/>
  <c r="K14" i="5"/>
  <c r="L14" i="5"/>
  <c r="I15" i="5"/>
  <c r="J15" i="5"/>
  <c r="K15" i="5"/>
  <c r="L15" i="5"/>
  <c r="M15" i="5"/>
  <c r="I16" i="5"/>
  <c r="J16" i="5"/>
  <c r="K16" i="5"/>
  <c r="L16" i="5"/>
  <c r="M16" i="5"/>
  <c r="H16" i="5"/>
  <c r="H15" i="5"/>
  <c r="D15" i="5" s="1"/>
  <c r="H14" i="5"/>
  <c r="D45" i="5"/>
  <c r="E45" i="5"/>
  <c r="D53" i="5"/>
  <c r="E53" i="5"/>
  <c r="D31" i="11"/>
  <c r="D29" i="11"/>
  <c r="H135" i="3"/>
  <c r="H96" i="3"/>
  <c r="F50" i="5" l="1"/>
  <c r="D36" i="5"/>
  <c r="E34" i="5"/>
  <c r="D16" i="5"/>
  <c r="I14" i="5"/>
  <c r="J17" i="5"/>
  <c r="H17" i="5"/>
  <c r="E15" i="5"/>
  <c r="F15" i="5" s="1"/>
  <c r="D39" i="5"/>
  <c r="E31" i="5"/>
  <c r="L17" i="5"/>
  <c r="E36" i="5"/>
  <c r="E16" i="5"/>
  <c r="K17" i="5"/>
  <c r="E39" i="5"/>
  <c r="D34" i="5"/>
  <c r="E29" i="5"/>
  <c r="D29" i="5"/>
  <c r="E27" i="5"/>
  <c r="D27" i="5"/>
  <c r="D14" i="5"/>
  <c r="F45" i="5"/>
  <c r="F53" i="5"/>
  <c r="G53" i="5"/>
  <c r="G50" i="5"/>
  <c r="G45" i="5"/>
  <c r="H139" i="3"/>
  <c r="H34" i="3"/>
  <c r="H26" i="3"/>
  <c r="G36" i="5" l="1"/>
  <c r="G39" i="5"/>
  <c r="F36" i="5"/>
  <c r="G16" i="5"/>
  <c r="G29" i="5"/>
  <c r="G34" i="5"/>
  <c r="F16" i="5"/>
  <c r="I17" i="5"/>
  <c r="F39" i="5"/>
  <c r="F29" i="5"/>
  <c r="G15" i="5"/>
  <c r="F31" i="5"/>
  <c r="G31" i="5"/>
  <c r="D17" i="5"/>
  <c r="G27" i="5"/>
  <c r="F34" i="5"/>
  <c r="F27" i="5"/>
  <c r="H149" i="3"/>
  <c r="I149" i="3"/>
  <c r="J149" i="3"/>
  <c r="K149" i="3"/>
  <c r="L149" i="3"/>
  <c r="H16" i="3"/>
  <c r="L16" i="3"/>
  <c r="H101" i="3"/>
  <c r="L96" i="3"/>
  <c r="H82" i="3"/>
  <c r="I82" i="3"/>
  <c r="J82" i="3"/>
  <c r="K82" i="3"/>
  <c r="L82" i="3"/>
  <c r="G82" i="3"/>
  <c r="G108" i="3"/>
  <c r="H40" i="5" l="1"/>
  <c r="M14" i="5"/>
  <c r="J40" i="5"/>
  <c r="M40" i="5"/>
  <c r="I40" i="5"/>
  <c r="L40" i="5"/>
  <c r="C82" i="3"/>
  <c r="C108" i="3"/>
  <c r="H41" i="5"/>
  <c r="D41" i="5" s="1"/>
  <c r="K40" i="5"/>
  <c r="D82" i="3"/>
  <c r="E82" i="3" s="1"/>
  <c r="H103" i="3"/>
  <c r="I33" i="5" s="1"/>
  <c r="I103" i="3"/>
  <c r="J33" i="5" s="1"/>
  <c r="J103" i="3"/>
  <c r="K33" i="5" s="1"/>
  <c r="K103" i="3"/>
  <c r="L33" i="5" s="1"/>
  <c r="L103" i="3"/>
  <c r="M33" i="5" s="1"/>
  <c r="G103" i="3"/>
  <c r="H33" i="5" s="1"/>
  <c r="H110" i="3"/>
  <c r="H108" i="3" s="1"/>
  <c r="I121" i="3"/>
  <c r="J42" i="5" s="1"/>
  <c r="K121" i="3"/>
  <c r="L42" i="5" s="1"/>
  <c r="L121" i="3"/>
  <c r="M42" i="5" s="1"/>
  <c r="J123" i="3"/>
  <c r="J121" i="3" s="1"/>
  <c r="K42" i="5" s="1"/>
  <c r="H123" i="3"/>
  <c r="H121" i="3" s="1"/>
  <c r="I42" i="5" s="1"/>
  <c r="G123" i="3"/>
  <c r="G121" i="3" s="1"/>
  <c r="E42" i="5" l="1"/>
  <c r="L43" i="5"/>
  <c r="D33" i="5"/>
  <c r="J43" i="5"/>
  <c r="H42" i="5"/>
  <c r="H43" i="5" s="1"/>
  <c r="D108" i="3"/>
  <c r="I41" i="5"/>
  <c r="M43" i="5"/>
  <c r="M17" i="5"/>
  <c r="E14" i="5"/>
  <c r="D40" i="5"/>
  <c r="E33" i="5"/>
  <c r="K43" i="5"/>
  <c r="E40" i="5"/>
  <c r="K145" i="3"/>
  <c r="L145" i="3"/>
  <c r="I145" i="3"/>
  <c r="J145" i="3"/>
  <c r="G149" i="3"/>
  <c r="G145" i="3" s="1"/>
  <c r="H147" i="3"/>
  <c r="H145" i="3" s="1"/>
  <c r="I136" i="3"/>
  <c r="I133" i="3" s="1"/>
  <c r="J51" i="5" s="1"/>
  <c r="J136" i="3"/>
  <c r="K136" i="3"/>
  <c r="L136" i="3"/>
  <c r="G136" i="3"/>
  <c r="L143" i="3"/>
  <c r="J143" i="3"/>
  <c r="H143" i="3"/>
  <c r="G135" i="3"/>
  <c r="K135" i="3"/>
  <c r="H138" i="3"/>
  <c r="I128" i="3"/>
  <c r="J46" i="5" s="1"/>
  <c r="J128" i="3"/>
  <c r="K46" i="5" s="1"/>
  <c r="L131" i="3"/>
  <c r="K131" i="3"/>
  <c r="H131" i="3"/>
  <c r="G131" i="3"/>
  <c r="H130" i="3"/>
  <c r="G130" i="3"/>
  <c r="I116" i="3"/>
  <c r="J116" i="3"/>
  <c r="L120" i="3"/>
  <c r="H120" i="3"/>
  <c r="K120" i="3"/>
  <c r="G120" i="3"/>
  <c r="L118" i="3"/>
  <c r="L116" i="3" s="1"/>
  <c r="K118" i="3"/>
  <c r="H118" i="3"/>
  <c r="G118" i="3"/>
  <c r="G116" i="3" s="1"/>
  <c r="C111" i="3"/>
  <c r="D111" i="3"/>
  <c r="H116" i="3" l="1"/>
  <c r="J133" i="3"/>
  <c r="K51" i="5" s="1"/>
  <c r="G133" i="3"/>
  <c r="H51" i="5" s="1"/>
  <c r="G128" i="3"/>
  <c r="H46" i="5" s="1"/>
  <c r="M37" i="5"/>
  <c r="K128" i="3"/>
  <c r="L46" i="5" s="1"/>
  <c r="K54" i="5"/>
  <c r="K55" i="5" s="1"/>
  <c r="F40" i="5"/>
  <c r="G40" i="5"/>
  <c r="I43" i="5"/>
  <c r="E41" i="5"/>
  <c r="H37" i="5"/>
  <c r="J54" i="5"/>
  <c r="J55" i="5" s="1"/>
  <c r="D42" i="5"/>
  <c r="I54" i="5"/>
  <c r="F33" i="5"/>
  <c r="G33" i="5"/>
  <c r="H136" i="3"/>
  <c r="H133" i="3" s="1"/>
  <c r="J115" i="3"/>
  <c r="K37" i="5"/>
  <c r="L128" i="3"/>
  <c r="M46" i="5" s="1"/>
  <c r="M54" i="5"/>
  <c r="M55" i="5" s="1"/>
  <c r="E17" i="5"/>
  <c r="G17" i="5" s="1"/>
  <c r="F14" i="5"/>
  <c r="G14" i="5"/>
  <c r="E111" i="3"/>
  <c r="K116" i="3"/>
  <c r="I115" i="3"/>
  <c r="J37" i="5"/>
  <c r="H128" i="3"/>
  <c r="I46" i="5" s="1"/>
  <c r="K133" i="3"/>
  <c r="H54" i="5"/>
  <c r="L54" i="5"/>
  <c r="L55" i="5" s="1"/>
  <c r="I132" i="3"/>
  <c r="L133" i="3"/>
  <c r="L90" i="3"/>
  <c r="M49" i="5" s="1"/>
  <c r="K90" i="3"/>
  <c r="L49" i="5" s="1"/>
  <c r="J90" i="3"/>
  <c r="K49" i="5" s="1"/>
  <c r="I90" i="3"/>
  <c r="J49" i="5" s="1"/>
  <c r="H90" i="3"/>
  <c r="I49" i="5" s="1"/>
  <c r="E49" i="5" s="1"/>
  <c r="G90" i="3"/>
  <c r="H49" i="5" s="1"/>
  <c r="D49" i="5" s="1"/>
  <c r="L86" i="3"/>
  <c r="K86" i="3"/>
  <c r="J86" i="3"/>
  <c r="I86" i="3"/>
  <c r="H86" i="3"/>
  <c r="G86" i="3"/>
  <c r="J78" i="3"/>
  <c r="I78" i="3"/>
  <c r="H78" i="3"/>
  <c r="G78" i="3"/>
  <c r="L80" i="3"/>
  <c r="L78" i="3" s="1"/>
  <c r="K80" i="3"/>
  <c r="K78" i="3" s="1"/>
  <c r="J74" i="3"/>
  <c r="I74" i="3"/>
  <c r="H74" i="3"/>
  <c r="K76" i="3"/>
  <c r="K74" i="3" s="1"/>
  <c r="L76" i="3"/>
  <c r="L74" i="3" s="1"/>
  <c r="G76" i="3"/>
  <c r="G74" i="3" s="1"/>
  <c r="L73" i="3"/>
  <c r="H73" i="3"/>
  <c r="L95" i="3"/>
  <c r="K95" i="3"/>
  <c r="J95" i="3"/>
  <c r="I95" i="3"/>
  <c r="H95" i="3"/>
  <c r="G95" i="3"/>
  <c r="E46" i="5" l="1"/>
  <c r="F46" i="5" s="1"/>
  <c r="I37" i="5"/>
  <c r="I38" i="5" s="1"/>
  <c r="D46" i="5"/>
  <c r="G132" i="3"/>
  <c r="J132" i="3"/>
  <c r="G115" i="3"/>
  <c r="H132" i="3"/>
  <c r="I51" i="5"/>
  <c r="M32" i="5"/>
  <c r="M35" i="5" s="1"/>
  <c r="F49" i="5"/>
  <c r="G49" i="5"/>
  <c r="H38" i="5"/>
  <c r="J28" i="5"/>
  <c r="J30" i="5" s="1"/>
  <c r="H44" i="5"/>
  <c r="L132" i="3"/>
  <c r="M51" i="5"/>
  <c r="F42" i="5"/>
  <c r="G42" i="5"/>
  <c r="D43" i="5"/>
  <c r="M28" i="5"/>
  <c r="M30" i="5" s="1"/>
  <c r="K28" i="5"/>
  <c r="K30" i="5" s="1"/>
  <c r="I32" i="5"/>
  <c r="I44" i="5"/>
  <c r="M44" i="5"/>
  <c r="M47" i="5" s="1"/>
  <c r="K132" i="3"/>
  <c r="L51" i="5"/>
  <c r="E54" i="5"/>
  <c r="I55" i="5"/>
  <c r="E43" i="5"/>
  <c r="F41" i="5"/>
  <c r="G41" i="5"/>
  <c r="M38" i="5"/>
  <c r="I28" i="5"/>
  <c r="K32" i="5"/>
  <c r="K35" i="5" s="1"/>
  <c r="K44" i="5"/>
  <c r="K47" i="5" s="1"/>
  <c r="H55" i="5"/>
  <c r="D54" i="5"/>
  <c r="D55" i="5" s="1"/>
  <c r="K115" i="3"/>
  <c r="L37" i="5"/>
  <c r="L115" i="3"/>
  <c r="H28" i="5"/>
  <c r="H32" i="5"/>
  <c r="L44" i="5"/>
  <c r="L47" i="5" s="1"/>
  <c r="H115" i="3"/>
  <c r="J38" i="5"/>
  <c r="K38" i="5"/>
  <c r="L28" i="5"/>
  <c r="L30" i="5" s="1"/>
  <c r="L32" i="5"/>
  <c r="L35" i="5" s="1"/>
  <c r="J32" i="5"/>
  <c r="J35" i="5" s="1"/>
  <c r="J44" i="5"/>
  <c r="J47" i="5" s="1"/>
  <c r="F17" i="5"/>
  <c r="H9" i="3"/>
  <c r="G9" i="3"/>
  <c r="L98" i="3"/>
  <c r="K98" i="3"/>
  <c r="J98" i="3"/>
  <c r="I98" i="3"/>
  <c r="H98" i="3"/>
  <c r="G98" i="3"/>
  <c r="L69" i="3"/>
  <c r="K69" i="3"/>
  <c r="J69" i="3"/>
  <c r="I69" i="3"/>
  <c r="H69" i="3"/>
  <c r="G69" i="3"/>
  <c r="L65" i="3"/>
  <c r="K65" i="3"/>
  <c r="J65" i="3"/>
  <c r="I65" i="3"/>
  <c r="H65" i="3"/>
  <c r="G65" i="3"/>
  <c r="L61" i="3"/>
  <c r="L57" i="3" s="1"/>
  <c r="M20" i="5" s="1"/>
  <c r="K61" i="3"/>
  <c r="K57" i="3" s="1"/>
  <c r="J61" i="3"/>
  <c r="J57" i="3" s="1"/>
  <c r="K20" i="5" s="1"/>
  <c r="I61" i="3"/>
  <c r="I57" i="3" s="1"/>
  <c r="J20" i="5" s="1"/>
  <c r="H61" i="3"/>
  <c r="H57" i="3" s="1"/>
  <c r="I20" i="5" s="1"/>
  <c r="G61" i="3"/>
  <c r="G57" i="3" s="1"/>
  <c r="L53" i="3"/>
  <c r="K53" i="3"/>
  <c r="J53" i="3"/>
  <c r="I53" i="3"/>
  <c r="H53" i="3"/>
  <c r="G53" i="3"/>
  <c r="L47" i="3"/>
  <c r="K47" i="3"/>
  <c r="J47" i="3"/>
  <c r="I47" i="3"/>
  <c r="H47" i="3"/>
  <c r="G47" i="3"/>
  <c r="L38" i="3"/>
  <c r="K38" i="3"/>
  <c r="J38" i="3"/>
  <c r="I38" i="3"/>
  <c r="H38" i="3"/>
  <c r="G38" i="3"/>
  <c r="L19" i="3"/>
  <c r="K19" i="3"/>
  <c r="J19" i="3"/>
  <c r="I19" i="3"/>
  <c r="H19" i="3"/>
  <c r="G19" i="3"/>
  <c r="C43" i="3"/>
  <c r="D43" i="3"/>
  <c r="E37" i="5" l="1"/>
  <c r="G46" i="5"/>
  <c r="G158" i="3"/>
  <c r="K158" i="3"/>
  <c r="F43" i="5"/>
  <c r="J158" i="3"/>
  <c r="L12" i="3"/>
  <c r="L10" i="3" s="1"/>
  <c r="K48" i="5"/>
  <c r="K52" i="5" s="1"/>
  <c r="M18" i="5"/>
  <c r="I23" i="5"/>
  <c r="K24" i="5"/>
  <c r="H97" i="3"/>
  <c r="I25" i="5"/>
  <c r="L97" i="3"/>
  <c r="M25" i="5"/>
  <c r="E28" i="5"/>
  <c r="I30" i="5"/>
  <c r="E51" i="5"/>
  <c r="L48" i="5"/>
  <c r="L52" i="5" s="1"/>
  <c r="J18" i="5"/>
  <c r="K51" i="3"/>
  <c r="L20" i="5"/>
  <c r="J23" i="5"/>
  <c r="H24" i="5"/>
  <c r="I97" i="3"/>
  <c r="J25" i="5"/>
  <c r="H158" i="3"/>
  <c r="L158" i="3"/>
  <c r="I48" i="5"/>
  <c r="M48" i="5"/>
  <c r="M52" i="5" s="1"/>
  <c r="K18" i="5"/>
  <c r="K23" i="5"/>
  <c r="I24" i="5"/>
  <c r="M24" i="5"/>
  <c r="J97" i="3"/>
  <c r="K25" i="5"/>
  <c r="I21" i="5"/>
  <c r="E38" i="5"/>
  <c r="G43" i="5"/>
  <c r="H47" i="5"/>
  <c r="D44" i="5"/>
  <c r="D47" i="5" s="1"/>
  <c r="H51" i="3"/>
  <c r="I18" i="5"/>
  <c r="M23" i="5"/>
  <c r="H48" i="5"/>
  <c r="G51" i="3"/>
  <c r="H20" i="5"/>
  <c r="L24" i="5"/>
  <c r="H21" i="5"/>
  <c r="D28" i="5"/>
  <c r="D30" i="5" s="1"/>
  <c r="H30" i="5"/>
  <c r="E55" i="5"/>
  <c r="G55" i="5" s="1"/>
  <c r="F54" i="5"/>
  <c r="F55" i="5" s="1"/>
  <c r="G54" i="5"/>
  <c r="E32" i="5"/>
  <c r="I35" i="5"/>
  <c r="I158" i="3"/>
  <c r="J48" i="5"/>
  <c r="J52" i="5" s="1"/>
  <c r="H18" i="5"/>
  <c r="L18" i="5"/>
  <c r="E20" i="5"/>
  <c r="H23" i="5"/>
  <c r="L23" i="5"/>
  <c r="J24" i="5"/>
  <c r="G97" i="3"/>
  <c r="H25" i="5"/>
  <c r="K97" i="3"/>
  <c r="L25" i="5"/>
  <c r="D32" i="5"/>
  <c r="D35" i="5" s="1"/>
  <c r="H35" i="5"/>
  <c r="L38" i="5"/>
  <c r="D51" i="5"/>
  <c r="I47" i="5"/>
  <c r="E44" i="5"/>
  <c r="D37" i="5"/>
  <c r="H12" i="3"/>
  <c r="I12" i="3"/>
  <c r="I51" i="3"/>
  <c r="E43" i="3"/>
  <c r="J12" i="3"/>
  <c r="J51" i="3"/>
  <c r="L51" i="3"/>
  <c r="G12" i="3"/>
  <c r="K12" i="3"/>
  <c r="F11" i="11"/>
  <c r="F12" i="11"/>
  <c r="F13" i="11"/>
  <c r="F14" i="11"/>
  <c r="F15" i="11"/>
  <c r="F16" i="11"/>
  <c r="F17" i="11"/>
  <c r="F20" i="11"/>
  <c r="F21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3" i="11"/>
  <c r="F44" i="11"/>
  <c r="F45" i="11"/>
  <c r="F47" i="11"/>
  <c r="F49" i="11"/>
  <c r="F50" i="11"/>
  <c r="F51" i="11"/>
  <c r="F52" i="11"/>
  <c r="F54" i="11"/>
  <c r="F55" i="11"/>
  <c r="F58" i="11"/>
  <c r="F59" i="11"/>
  <c r="F60" i="11"/>
  <c r="F61" i="11"/>
  <c r="F62" i="11"/>
  <c r="F63" i="11"/>
  <c r="F64" i="11"/>
  <c r="F65" i="11"/>
  <c r="F66" i="11"/>
  <c r="F67" i="11"/>
  <c r="F70" i="11"/>
  <c r="F71" i="11"/>
  <c r="E72" i="11"/>
  <c r="E71" i="11"/>
  <c r="E70" i="11"/>
  <c r="D69" i="11"/>
  <c r="D68" i="11" s="1"/>
  <c r="C69" i="11"/>
  <c r="C68" i="11" s="1"/>
  <c r="E67" i="11"/>
  <c r="E66" i="11"/>
  <c r="E65" i="11"/>
  <c r="E64" i="11"/>
  <c r="E63" i="11"/>
  <c r="E62" i="11"/>
  <c r="E61" i="11"/>
  <c r="E60" i="11"/>
  <c r="E59" i="11"/>
  <c r="E58" i="11"/>
  <c r="D57" i="11"/>
  <c r="F57" i="11" s="1"/>
  <c r="C57" i="11"/>
  <c r="E56" i="11"/>
  <c r="E55" i="11"/>
  <c r="E54" i="11"/>
  <c r="D53" i="11"/>
  <c r="C53" i="11"/>
  <c r="F53" i="11" s="1"/>
  <c r="E52" i="11"/>
  <c r="E51" i="11"/>
  <c r="E50" i="11"/>
  <c r="E49" i="11"/>
  <c r="E48" i="11" s="1"/>
  <c r="D48" i="11"/>
  <c r="C48" i="11"/>
  <c r="E47" i="11"/>
  <c r="E46" i="11"/>
  <c r="E45" i="11"/>
  <c r="E44" i="11"/>
  <c r="E43" i="11"/>
  <c r="D42" i="11"/>
  <c r="C42" i="11"/>
  <c r="D41" i="11"/>
  <c r="E41" i="11" s="1"/>
  <c r="D40" i="11"/>
  <c r="F40" i="11" s="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D23" i="11"/>
  <c r="C23" i="11"/>
  <c r="E21" i="11"/>
  <c r="E20" i="11"/>
  <c r="E19" i="11"/>
  <c r="D19" i="11"/>
  <c r="F19" i="11" s="1"/>
  <c r="C19" i="11"/>
  <c r="E16" i="11"/>
  <c r="E15" i="11"/>
  <c r="E14" i="11"/>
  <c r="E13" i="11"/>
  <c r="E12" i="11"/>
  <c r="E11" i="11"/>
  <c r="D10" i="11"/>
  <c r="C10" i="11"/>
  <c r="H8" i="3"/>
  <c r="I8" i="3"/>
  <c r="J8" i="3"/>
  <c r="K8" i="3"/>
  <c r="L8" i="3"/>
  <c r="G8" i="3"/>
  <c r="C9" i="3"/>
  <c r="D9" i="3"/>
  <c r="C11" i="3"/>
  <c r="D11" i="3"/>
  <c r="C13" i="3"/>
  <c r="D13" i="3"/>
  <c r="C14" i="3"/>
  <c r="D14" i="3"/>
  <c r="E14" i="3" s="1"/>
  <c r="C15" i="3"/>
  <c r="D15" i="3"/>
  <c r="C16" i="3"/>
  <c r="D16" i="3"/>
  <c r="C17" i="3"/>
  <c r="D17" i="3"/>
  <c r="C18" i="3"/>
  <c r="D18" i="3"/>
  <c r="C20" i="3"/>
  <c r="D20" i="3"/>
  <c r="C21" i="3"/>
  <c r="D21" i="3"/>
  <c r="C22" i="3"/>
  <c r="D22" i="3"/>
  <c r="C23" i="3"/>
  <c r="D23" i="3"/>
  <c r="C24" i="3"/>
  <c r="D24" i="3"/>
  <c r="C25" i="3"/>
  <c r="D25" i="3"/>
  <c r="C26" i="3"/>
  <c r="D26" i="3"/>
  <c r="C27" i="3"/>
  <c r="D27" i="3"/>
  <c r="E27" i="3" s="1"/>
  <c r="C28" i="3"/>
  <c r="D28" i="3"/>
  <c r="C29" i="3"/>
  <c r="D29" i="3"/>
  <c r="E29" i="3" s="1"/>
  <c r="C30" i="3"/>
  <c r="D30" i="3"/>
  <c r="C31" i="3"/>
  <c r="D31" i="3"/>
  <c r="F31" i="3" s="1"/>
  <c r="C32" i="3"/>
  <c r="D32" i="3"/>
  <c r="C33" i="3"/>
  <c r="D33" i="3"/>
  <c r="C34" i="3"/>
  <c r="D34" i="3"/>
  <c r="C35" i="3"/>
  <c r="D35" i="3"/>
  <c r="C36" i="3"/>
  <c r="D36" i="3"/>
  <c r="C37" i="3"/>
  <c r="D37" i="3"/>
  <c r="E37" i="3" s="1"/>
  <c r="C39" i="3"/>
  <c r="D39" i="3"/>
  <c r="C40" i="3"/>
  <c r="D40" i="3"/>
  <c r="C41" i="3"/>
  <c r="D41" i="3"/>
  <c r="C42" i="3"/>
  <c r="D42" i="3"/>
  <c r="C44" i="3"/>
  <c r="D44" i="3"/>
  <c r="C45" i="3"/>
  <c r="D45" i="3"/>
  <c r="C46" i="3"/>
  <c r="D46" i="3"/>
  <c r="C48" i="3"/>
  <c r="D48" i="3"/>
  <c r="C49" i="3"/>
  <c r="D49" i="3"/>
  <c r="C50" i="3"/>
  <c r="D50" i="3"/>
  <c r="C52" i="3"/>
  <c r="D52" i="3"/>
  <c r="C54" i="3"/>
  <c r="D54" i="3"/>
  <c r="C55" i="3"/>
  <c r="D55" i="3"/>
  <c r="C56" i="3"/>
  <c r="D56" i="3"/>
  <c r="C58" i="3"/>
  <c r="D58" i="3"/>
  <c r="C59" i="3"/>
  <c r="D59" i="3"/>
  <c r="C60" i="3"/>
  <c r="D60" i="3"/>
  <c r="C62" i="3"/>
  <c r="D62" i="3"/>
  <c r="C63" i="3"/>
  <c r="D63" i="3"/>
  <c r="C64" i="3"/>
  <c r="D64" i="3"/>
  <c r="C66" i="3"/>
  <c r="D66" i="3"/>
  <c r="C67" i="3"/>
  <c r="D67" i="3"/>
  <c r="C68" i="3"/>
  <c r="D68" i="3"/>
  <c r="C70" i="3"/>
  <c r="D70" i="3"/>
  <c r="C71" i="3"/>
  <c r="D71" i="3"/>
  <c r="C72" i="3"/>
  <c r="D72" i="3"/>
  <c r="C73" i="3"/>
  <c r="D73" i="3"/>
  <c r="C75" i="3"/>
  <c r="D75" i="3"/>
  <c r="C76" i="3"/>
  <c r="D76" i="3"/>
  <c r="C77" i="3"/>
  <c r="D77" i="3"/>
  <c r="C79" i="3"/>
  <c r="D79" i="3"/>
  <c r="C80" i="3"/>
  <c r="D80" i="3"/>
  <c r="C81" i="3"/>
  <c r="D81" i="3"/>
  <c r="C83" i="3"/>
  <c r="D83" i="3"/>
  <c r="C84" i="3"/>
  <c r="D84" i="3"/>
  <c r="C85" i="3"/>
  <c r="D85" i="3"/>
  <c r="C87" i="3"/>
  <c r="D87" i="3"/>
  <c r="C88" i="3"/>
  <c r="D88" i="3"/>
  <c r="C89" i="3"/>
  <c r="D89" i="3"/>
  <c r="C91" i="3"/>
  <c r="D91" i="3"/>
  <c r="C92" i="3"/>
  <c r="D92" i="3"/>
  <c r="C93" i="3"/>
  <c r="D93" i="3"/>
  <c r="C94" i="3"/>
  <c r="D94" i="3"/>
  <c r="C96" i="3"/>
  <c r="C95" i="3" s="1"/>
  <c r="D96" i="3"/>
  <c r="C99" i="3"/>
  <c r="D99" i="3"/>
  <c r="C100" i="3"/>
  <c r="D100" i="3"/>
  <c r="C101" i="3"/>
  <c r="D101" i="3"/>
  <c r="C102" i="3"/>
  <c r="D102" i="3"/>
  <c r="F102" i="3" s="1"/>
  <c r="C103" i="3"/>
  <c r="D103" i="3"/>
  <c r="F103" i="3" s="1"/>
  <c r="C104" i="3"/>
  <c r="D104" i="3"/>
  <c r="C105" i="3"/>
  <c r="D105" i="3"/>
  <c r="C106" i="3"/>
  <c r="D106" i="3"/>
  <c r="C107" i="3"/>
  <c r="D107" i="3"/>
  <c r="C109" i="3"/>
  <c r="D109" i="3"/>
  <c r="C110" i="3"/>
  <c r="D110" i="3"/>
  <c r="C112" i="3"/>
  <c r="D112" i="3"/>
  <c r="C113" i="3"/>
  <c r="D113" i="3"/>
  <c r="C114" i="3"/>
  <c r="D114" i="3"/>
  <c r="C115" i="3"/>
  <c r="D115" i="3"/>
  <c r="C116" i="3"/>
  <c r="D116" i="3"/>
  <c r="C117" i="3"/>
  <c r="D117" i="3"/>
  <c r="C118" i="3"/>
  <c r="D118" i="3"/>
  <c r="C119" i="3"/>
  <c r="D119" i="3"/>
  <c r="C120" i="3"/>
  <c r="D120" i="3"/>
  <c r="C121" i="3"/>
  <c r="D121" i="3"/>
  <c r="C122" i="3"/>
  <c r="D122" i="3"/>
  <c r="C123" i="3"/>
  <c r="D123" i="3"/>
  <c r="C124" i="3"/>
  <c r="D124" i="3"/>
  <c r="C125" i="3"/>
  <c r="D125" i="3"/>
  <c r="C126" i="3"/>
  <c r="D126" i="3"/>
  <c r="C127" i="3"/>
  <c r="D127" i="3"/>
  <c r="C128" i="3"/>
  <c r="D128" i="3"/>
  <c r="C129" i="3"/>
  <c r="D129" i="3"/>
  <c r="C130" i="3"/>
  <c r="D130" i="3"/>
  <c r="C131" i="3"/>
  <c r="D131" i="3"/>
  <c r="C132" i="3"/>
  <c r="D132" i="3"/>
  <c r="C133" i="3"/>
  <c r="D133" i="3"/>
  <c r="C134" i="3"/>
  <c r="D134" i="3"/>
  <c r="C135" i="3"/>
  <c r="D135" i="3"/>
  <c r="C136" i="3"/>
  <c r="D136" i="3"/>
  <c r="C137" i="3"/>
  <c r="D137" i="3"/>
  <c r="C138" i="3"/>
  <c r="D138" i="3"/>
  <c r="C139" i="3"/>
  <c r="D139" i="3"/>
  <c r="C140" i="3"/>
  <c r="D140" i="3"/>
  <c r="C141" i="3"/>
  <c r="D141" i="3"/>
  <c r="C142" i="3"/>
  <c r="D142" i="3"/>
  <c r="C143" i="3"/>
  <c r="D143" i="3"/>
  <c r="C144" i="3"/>
  <c r="D144" i="3"/>
  <c r="C145" i="3"/>
  <c r="D145" i="3"/>
  <c r="C146" i="3"/>
  <c r="D146" i="3"/>
  <c r="C147" i="3"/>
  <c r="D147" i="3"/>
  <c r="C148" i="3"/>
  <c r="D148" i="3"/>
  <c r="C149" i="3"/>
  <c r="D149" i="3"/>
  <c r="C150" i="3"/>
  <c r="D150" i="3"/>
  <c r="E150" i="3" s="1"/>
  <c r="C151" i="3"/>
  <c r="D151" i="3"/>
  <c r="C152" i="3"/>
  <c r="D152" i="3"/>
  <c r="C153" i="3"/>
  <c r="D153" i="3"/>
  <c r="C154" i="3"/>
  <c r="D154" i="3"/>
  <c r="C155" i="3"/>
  <c r="D155" i="3"/>
  <c r="C157" i="3"/>
  <c r="D157" i="3"/>
  <c r="F37" i="5" l="1"/>
  <c r="F38" i="5" s="1"/>
  <c r="D20" i="5"/>
  <c r="F20" i="5" s="1"/>
  <c r="C51" i="3"/>
  <c r="E88" i="3"/>
  <c r="E151" i="3"/>
  <c r="E137" i="3"/>
  <c r="E131" i="3"/>
  <c r="E117" i="3"/>
  <c r="E105" i="3"/>
  <c r="F88" i="3"/>
  <c r="E85" i="3"/>
  <c r="F126" i="3"/>
  <c r="E124" i="3"/>
  <c r="F60" i="3"/>
  <c r="F55" i="3"/>
  <c r="F42" i="11"/>
  <c r="C158" i="3"/>
  <c r="E122" i="3"/>
  <c r="E32" i="3"/>
  <c r="D22" i="11"/>
  <c r="E143" i="3"/>
  <c r="E139" i="3"/>
  <c r="F73" i="3"/>
  <c r="E68" i="3"/>
  <c r="E66" i="3"/>
  <c r="E60" i="3"/>
  <c r="E50" i="3"/>
  <c r="E48" i="3"/>
  <c r="E42" i="3"/>
  <c r="M19" i="5"/>
  <c r="M22" i="5" s="1"/>
  <c r="F10" i="11"/>
  <c r="C22" i="11"/>
  <c r="C18" i="11" s="1"/>
  <c r="C73" i="11" s="1"/>
  <c r="C75" i="11" s="1"/>
  <c r="F48" i="11"/>
  <c r="E53" i="11"/>
  <c r="E57" i="11"/>
  <c r="E146" i="3"/>
  <c r="E127" i="3"/>
  <c r="M26" i="5"/>
  <c r="E13" i="3"/>
  <c r="E142" i="3"/>
  <c r="E140" i="3"/>
  <c r="F127" i="3"/>
  <c r="E102" i="3"/>
  <c r="C98" i="3"/>
  <c r="E81" i="3"/>
  <c r="E73" i="3"/>
  <c r="E54" i="3"/>
  <c r="C47" i="3"/>
  <c r="F32" i="3"/>
  <c r="D158" i="3"/>
  <c r="D97" i="3"/>
  <c r="F11" i="3"/>
  <c r="E11" i="3"/>
  <c r="C97" i="3"/>
  <c r="E97" i="3" s="1"/>
  <c r="K26" i="5"/>
  <c r="F14" i="3"/>
  <c r="E157" i="3"/>
  <c r="E134" i="3"/>
  <c r="E132" i="3"/>
  <c r="E130" i="3"/>
  <c r="E125" i="3"/>
  <c r="F121" i="3"/>
  <c r="E119" i="3"/>
  <c r="E70" i="3"/>
  <c r="E62" i="3"/>
  <c r="C53" i="3"/>
  <c r="E49" i="3"/>
  <c r="E41" i="3"/>
  <c r="E39" i="3"/>
  <c r="E35" i="3"/>
  <c r="E31" i="3"/>
  <c r="F44" i="3"/>
  <c r="D8" i="3"/>
  <c r="D25" i="5"/>
  <c r="G32" i="5"/>
  <c r="F32" i="5"/>
  <c r="F35" i="5" s="1"/>
  <c r="E35" i="5"/>
  <c r="G35" i="5" s="1"/>
  <c r="E18" i="5"/>
  <c r="E21" i="5"/>
  <c r="F151" i="3"/>
  <c r="F131" i="3"/>
  <c r="E94" i="3"/>
  <c r="E89" i="3"/>
  <c r="E83" i="3"/>
  <c r="E75" i="3"/>
  <c r="F50" i="3"/>
  <c r="F42" i="3"/>
  <c r="F37" i="3"/>
  <c r="L19" i="5"/>
  <c r="J10" i="3"/>
  <c r="J156" i="3" s="1"/>
  <c r="K19" i="5"/>
  <c r="I10" i="3"/>
  <c r="I156" i="3" s="1"/>
  <c r="J19" i="5"/>
  <c r="F44" i="5"/>
  <c r="F47" i="5" s="1"/>
  <c r="E47" i="5"/>
  <c r="G47" i="5" s="1"/>
  <c r="G44" i="5"/>
  <c r="J26" i="5"/>
  <c r="D23" i="5"/>
  <c r="L26" i="5"/>
  <c r="H52" i="5"/>
  <c r="D48" i="5"/>
  <c r="D52" i="5" s="1"/>
  <c r="H26" i="5"/>
  <c r="D24" i="5"/>
  <c r="F145" i="3"/>
  <c r="D38" i="5"/>
  <c r="G38" i="5" s="1"/>
  <c r="D21" i="5"/>
  <c r="F28" i="5"/>
  <c r="F30" i="5" s="1"/>
  <c r="G28" i="5"/>
  <c r="E30" i="5"/>
  <c r="G30" i="5" s="1"/>
  <c r="E107" i="3"/>
  <c r="G51" i="5"/>
  <c r="F51" i="5"/>
  <c r="E149" i="3"/>
  <c r="E147" i="3"/>
  <c r="E136" i="3"/>
  <c r="E126" i="3"/>
  <c r="F125" i="3"/>
  <c r="F116" i="3"/>
  <c r="E106" i="3"/>
  <c r="C90" i="3"/>
  <c r="E87" i="3"/>
  <c r="C78" i="3"/>
  <c r="D65" i="3"/>
  <c r="E59" i="3"/>
  <c r="E56" i="3"/>
  <c r="E55" i="3"/>
  <c r="E44" i="3"/>
  <c r="E30" i="3"/>
  <c r="E28" i="3"/>
  <c r="E26" i="3"/>
  <c r="E22" i="3"/>
  <c r="F15" i="3"/>
  <c r="G10" i="3"/>
  <c r="G156" i="3" s="1"/>
  <c r="H19" i="5"/>
  <c r="D12" i="3"/>
  <c r="I19" i="5"/>
  <c r="D18" i="5"/>
  <c r="G37" i="5"/>
  <c r="I26" i="5"/>
  <c r="E24" i="5"/>
  <c r="I52" i="5"/>
  <c r="E48" i="5"/>
  <c r="E25" i="5"/>
  <c r="E23" i="5"/>
  <c r="E108" i="3"/>
  <c r="E135" i="3"/>
  <c r="F139" i="3"/>
  <c r="H10" i="3"/>
  <c r="H156" i="3" s="1"/>
  <c r="E144" i="3"/>
  <c r="F144" i="3"/>
  <c r="E129" i="3"/>
  <c r="E115" i="3"/>
  <c r="F115" i="3"/>
  <c r="C69" i="3"/>
  <c r="E71" i="3"/>
  <c r="C65" i="3"/>
  <c r="E25" i="3"/>
  <c r="F25" i="3"/>
  <c r="E77" i="3"/>
  <c r="F77" i="3"/>
  <c r="E45" i="3"/>
  <c r="F45" i="3"/>
  <c r="E152" i="3"/>
  <c r="F152" i="3"/>
  <c r="E141" i="3"/>
  <c r="F141" i="3"/>
  <c r="E114" i="3"/>
  <c r="F114" i="3"/>
  <c r="E112" i="3"/>
  <c r="F112" i="3"/>
  <c r="E104" i="3"/>
  <c r="D98" i="3"/>
  <c r="E96" i="3"/>
  <c r="E95" i="3" s="1"/>
  <c r="D95" i="3"/>
  <c r="F95" i="3" s="1"/>
  <c r="F96" i="3"/>
  <c r="F64" i="3"/>
  <c r="E64" i="3"/>
  <c r="E52" i="3"/>
  <c r="F52" i="3"/>
  <c r="E33" i="3"/>
  <c r="F33" i="3"/>
  <c r="E24" i="3"/>
  <c r="F24" i="3"/>
  <c r="E17" i="3"/>
  <c r="F17" i="3"/>
  <c r="F155" i="3"/>
  <c r="E155" i="3"/>
  <c r="F153" i="3"/>
  <c r="E153" i="3"/>
  <c r="E113" i="3"/>
  <c r="F113" i="3"/>
  <c r="E110" i="3"/>
  <c r="F110" i="3"/>
  <c r="E100" i="3"/>
  <c r="F100" i="3"/>
  <c r="E34" i="3"/>
  <c r="F34" i="3"/>
  <c r="E23" i="3"/>
  <c r="F23" i="3"/>
  <c r="E21" i="3"/>
  <c r="D19" i="3"/>
  <c r="E18" i="3"/>
  <c r="F18" i="3"/>
  <c r="E16" i="3"/>
  <c r="F16" i="3"/>
  <c r="E84" i="3"/>
  <c r="F84" i="3"/>
  <c r="F72" i="3"/>
  <c r="E72" i="3"/>
  <c r="E58" i="3"/>
  <c r="E154" i="3"/>
  <c r="F154" i="3"/>
  <c r="E148" i="3"/>
  <c r="F148" i="3"/>
  <c r="E109" i="3"/>
  <c r="E99" i="3"/>
  <c r="E91" i="3"/>
  <c r="F85" i="3"/>
  <c r="E79" i="3"/>
  <c r="E36" i="3"/>
  <c r="F36" i="3"/>
  <c r="E20" i="3"/>
  <c r="C12" i="3"/>
  <c r="K10" i="3"/>
  <c r="K156" i="3" s="1"/>
  <c r="L156" i="3"/>
  <c r="D51" i="3"/>
  <c r="E51" i="3" s="1"/>
  <c r="E63" i="3"/>
  <c r="D61" i="3"/>
  <c r="D57" i="3" s="1"/>
  <c r="F49" i="3"/>
  <c r="D47" i="3"/>
  <c r="C86" i="3"/>
  <c r="D78" i="3"/>
  <c r="C74" i="3"/>
  <c r="C61" i="3"/>
  <c r="D53" i="3"/>
  <c r="E40" i="3"/>
  <c r="D38" i="3"/>
  <c r="E145" i="3"/>
  <c r="E121" i="3"/>
  <c r="C19" i="3"/>
  <c r="E138" i="3"/>
  <c r="F135" i="3"/>
  <c r="D74" i="3"/>
  <c r="E67" i="3"/>
  <c r="E46" i="3"/>
  <c r="C38" i="3"/>
  <c r="F35" i="3"/>
  <c r="F68" i="11"/>
  <c r="F69" i="11"/>
  <c r="E40" i="11"/>
  <c r="E23" i="11" s="1"/>
  <c r="E42" i="11"/>
  <c r="E69" i="11"/>
  <c r="E68" i="11" s="1"/>
  <c r="F41" i="11"/>
  <c r="F23" i="11"/>
  <c r="E10" i="11"/>
  <c r="F132" i="3"/>
  <c r="F97" i="3"/>
  <c r="E103" i="3"/>
  <c r="F105" i="3"/>
  <c r="F106" i="3"/>
  <c r="F140" i="3"/>
  <c r="F108" i="3"/>
  <c r="F124" i="3"/>
  <c r="E123" i="3"/>
  <c r="F123" i="3"/>
  <c r="F149" i="3"/>
  <c r="F147" i="3"/>
  <c r="F136" i="3"/>
  <c r="E133" i="3"/>
  <c r="F133" i="3"/>
  <c r="F143" i="3"/>
  <c r="F138" i="3"/>
  <c r="F142" i="3"/>
  <c r="F128" i="3"/>
  <c r="E128" i="3"/>
  <c r="F130" i="3"/>
  <c r="E116" i="3"/>
  <c r="F120" i="3"/>
  <c r="E120" i="3"/>
  <c r="F119" i="3"/>
  <c r="F118" i="3"/>
  <c r="E118" i="3"/>
  <c r="F107" i="3"/>
  <c r="F94" i="3"/>
  <c r="F89" i="3"/>
  <c r="D86" i="3"/>
  <c r="E93" i="3"/>
  <c r="D90" i="3"/>
  <c r="F81" i="3"/>
  <c r="D69" i="3"/>
  <c r="F68" i="3"/>
  <c r="F56" i="3"/>
  <c r="F93" i="3"/>
  <c r="E92" i="3"/>
  <c r="F92" i="3"/>
  <c r="E80" i="3"/>
  <c r="F80" i="3"/>
  <c r="E76" i="3"/>
  <c r="F76" i="3"/>
  <c r="F71" i="3"/>
  <c r="E101" i="3"/>
  <c r="E98" i="3" s="1"/>
  <c r="F101" i="3"/>
  <c r="E9" i="3"/>
  <c r="C8" i="3"/>
  <c r="F9" i="3"/>
  <c r="F67" i="3"/>
  <c r="F59" i="3"/>
  <c r="F63" i="3"/>
  <c r="F46" i="3"/>
  <c r="F41" i="3"/>
  <c r="F40" i="3"/>
  <c r="F30" i="3"/>
  <c r="F29" i="3"/>
  <c r="F28" i="3"/>
  <c r="F27" i="3"/>
  <c r="F26" i="3"/>
  <c r="F22" i="3"/>
  <c r="F21" i="3"/>
  <c r="E15" i="3"/>
  <c r="D18" i="11"/>
  <c r="G20" i="5" l="1"/>
  <c r="E65" i="3"/>
  <c r="F74" i="3"/>
  <c r="F90" i="3"/>
  <c r="E158" i="3"/>
  <c r="F98" i="3"/>
  <c r="E86" i="3"/>
  <c r="M56" i="5"/>
  <c r="F8" i="3"/>
  <c r="F158" i="3"/>
  <c r="D26" i="5"/>
  <c r="E47" i="3"/>
  <c r="E22" i="11"/>
  <c r="E18" i="11" s="1"/>
  <c r="E69" i="3"/>
  <c r="F22" i="11"/>
  <c r="E61" i="3"/>
  <c r="E57" i="3" s="1"/>
  <c r="F78" i="3"/>
  <c r="E78" i="3"/>
  <c r="E38" i="3"/>
  <c r="E8" i="3"/>
  <c r="J22" i="5"/>
  <c r="J56" i="5" s="1"/>
  <c r="F53" i="3"/>
  <c r="F47" i="3"/>
  <c r="E53" i="3"/>
  <c r="D10" i="3"/>
  <c r="D156" i="3" s="1"/>
  <c r="F23" i="5"/>
  <c r="G23" i="5"/>
  <c r="E26" i="5"/>
  <c r="G24" i="5"/>
  <c r="F24" i="5"/>
  <c r="L22" i="5"/>
  <c r="L56" i="5" s="1"/>
  <c r="F21" i="5"/>
  <c r="G21" i="5"/>
  <c r="G25" i="5"/>
  <c r="I22" i="5"/>
  <c r="I56" i="5" s="1"/>
  <c r="E19" i="5"/>
  <c r="F25" i="5"/>
  <c r="E74" i="3"/>
  <c r="F48" i="5"/>
  <c r="F52" i="5" s="1"/>
  <c r="E52" i="5"/>
  <c r="G52" i="5" s="1"/>
  <c r="G48" i="5"/>
  <c r="F69" i="3"/>
  <c r="G18" i="5"/>
  <c r="H22" i="5"/>
  <c r="H56" i="5" s="1"/>
  <c r="D19" i="5"/>
  <c r="K22" i="5"/>
  <c r="K56" i="5" s="1"/>
  <c r="F18" i="5"/>
  <c r="E12" i="3"/>
  <c r="F12" i="3"/>
  <c r="F86" i="3"/>
  <c r="C57" i="3"/>
  <c r="F82" i="3"/>
  <c r="F61" i="3"/>
  <c r="F19" i="3"/>
  <c r="F51" i="3"/>
  <c r="F38" i="3"/>
  <c r="C10" i="3"/>
  <c r="E19" i="3"/>
  <c r="F65" i="3"/>
  <c r="E90" i="3"/>
  <c r="E73" i="11"/>
  <c r="E75" i="11" s="1"/>
  <c r="D73" i="11"/>
  <c r="F18" i="11"/>
  <c r="G26" i="5" l="1"/>
  <c r="E10" i="3"/>
  <c r="E156" i="3" s="1"/>
  <c r="F73" i="11"/>
  <c r="D75" i="11"/>
  <c r="F75" i="11" s="1"/>
  <c r="C156" i="3"/>
  <c r="F26" i="5"/>
  <c r="F57" i="3"/>
  <c r="D22" i="5"/>
  <c r="D56" i="5" s="1"/>
  <c r="E22" i="5"/>
  <c r="G19" i="5"/>
  <c r="F19" i="5"/>
  <c r="F10" i="3"/>
  <c r="F156" i="3" l="1"/>
  <c r="F22" i="5"/>
  <c r="F56" i="5" s="1"/>
  <c r="G22" i="5"/>
  <c r="E56" i="5"/>
  <c r="G56" i="5" s="1"/>
  <c r="A12" i="4" l="1"/>
  <c r="A13" i="4" s="1"/>
  <c r="A14" i="4" s="1"/>
  <c r="A15" i="4" s="1"/>
  <c r="A16" i="4" s="1"/>
  <c r="A17" i="4" s="1"/>
  <c r="A18" i="4" s="1"/>
  <c r="A19" i="4" s="1"/>
  <c r="A20" i="4" s="1"/>
</calcChain>
</file>

<file path=xl/sharedStrings.xml><?xml version="1.0" encoding="utf-8"?>
<sst xmlns="http://schemas.openxmlformats.org/spreadsheetml/2006/main" count="514" uniqueCount="361">
  <si>
    <t>(tūkst. Lt)</t>
  </si>
  <si>
    <t>Eil. Nr.</t>
  </si>
  <si>
    <t>Asignavimų valdytojo / įstaigos pavadinimas</t>
  </si>
  <si>
    <t>Iš viso</t>
  </si>
  <si>
    <t>iš jų:</t>
  </si>
  <si>
    <t>2</t>
  </si>
  <si>
    <t>3</t>
  </si>
  <si>
    <t>4</t>
  </si>
  <si>
    <t>6</t>
  </si>
  <si>
    <t>Savivaldybės administracija</t>
  </si>
  <si>
    <t>Miesto ūkio departamentas</t>
  </si>
  <si>
    <t>Ugdymo ir kultūros departamentas</t>
  </si>
  <si>
    <t>Klaipėdos „Gintaro“ sporto centras</t>
  </si>
  <si>
    <t>Klaipėdos futbolo sporto mokykla</t>
  </si>
  <si>
    <t>Klaipėdos „Viesulo“ sporto centras</t>
  </si>
  <si>
    <t>Klaipėdos Vlado Knašiaus krepšinio mokykla</t>
  </si>
  <si>
    <t>Klaipėdos kūno kultūros ir rekreacijos centras</t>
  </si>
  <si>
    <t>Klaipėdos miesto savivaldybės viešoji biblioteka</t>
  </si>
  <si>
    <t>Klaipėdos miesto savivaldybės Mažosios Lietuvos istorijos muziejus</t>
  </si>
  <si>
    <t>Klaipėdos miesto savivaldybės kultūros centras Žvejų rūmai</t>
  </si>
  <si>
    <t>Klaipėdos miesto savivaldybės koncertinė įstaiga Klaipėdos koncertų salė</t>
  </si>
  <si>
    <t>Klaipėdos miesto savivaldybės etnokultūros centras</t>
  </si>
  <si>
    <t>Klaipėdos kultūrų komunikacijų centras</t>
  </si>
  <si>
    <t>Klaipėdos Vytauto Didžiojo gimnazija</t>
  </si>
  <si>
    <t>Klaipėdos „Žaliakalnio“ gimnazija</t>
  </si>
  <si>
    <t>Klaipėdos „Žemynos“ gimnazija</t>
  </si>
  <si>
    <t>Klaipėdos „Ąžuolyno“ gimnazija</t>
  </si>
  <si>
    <t>Klaipėdos Simono Dacho  progimnazija</t>
  </si>
  <si>
    <t>Klaipėdos Baltijos gimnazija</t>
  </si>
  <si>
    <t>Klaipėdos Prano Mašioto  progimnazija</t>
  </si>
  <si>
    <t>Klaipėdos Hermano Zudermano gimnazija</t>
  </si>
  <si>
    <t>Klaipėdos Maksimo Gorkio pagrindinė mokykla</t>
  </si>
  <si>
    <t>Klaipėdos „Vyturio“ pagrindinė mokykla</t>
  </si>
  <si>
    <t>Klaipėdos „Versmės“ progimnazija</t>
  </si>
  <si>
    <t>Klaipėdos „Smeltės“ progimnazija</t>
  </si>
  <si>
    <t>Klaipėdos „Pajūrio“ pagrindinė mokykla</t>
  </si>
  <si>
    <t>Klaipėdos „Saulėtekio“ pagrindinė mokykla</t>
  </si>
  <si>
    <t>Klaipėdos Vitės pagrindinė mokykla</t>
  </si>
  <si>
    <t>Klaipėdos Andrejaus  Rubliovo pagrindinė mokykla</t>
  </si>
  <si>
    <t xml:space="preserve">Klaipėdos „Gilijos“ pradinė mokykla </t>
  </si>
  <si>
    <t>Klaipėdos „Santarvės“ pagrindinė mokykla</t>
  </si>
  <si>
    <t>Klaipėdos Martyno Mažvydo  progimnazija</t>
  </si>
  <si>
    <t>Klaipėdos Tauralaukio progimnazija</t>
  </si>
  <si>
    <t>Klaipėdos Liudviko Stulpino progimnazija</t>
  </si>
  <si>
    <t>Klaipėdos Ievos Simonaitytės  pagrindinė mokykla</t>
  </si>
  <si>
    <t>Klaipėdos „Gabijos“ progimnazija</t>
  </si>
  <si>
    <t>Klaipėdos Salio Šemerio suaugusiųjų gimnazija</t>
  </si>
  <si>
    <t>Klaipėdos „Šaltinėlio“ mokykla-darželis</t>
  </si>
  <si>
    <t>Klaipėdos lopšelis-darželis „Du gaideliai“</t>
  </si>
  <si>
    <t>Klaipėdos „Nykštuko“ mokykla-darželis</t>
  </si>
  <si>
    <t>Klaipėdos „Varpelio“ mokykla-darželis</t>
  </si>
  <si>
    <t>Klaipėdos „Saulutės“ mokykla-darželis</t>
  </si>
  <si>
    <t>Klaipėdos „Inkarėlio“ mokykla-darželis</t>
  </si>
  <si>
    <t>Klaipėdos Marijos Montessori mokykla-darželis</t>
  </si>
  <si>
    <t>Klaipėdos „Pakalnutės“ mokykla-darželis</t>
  </si>
  <si>
    <t>Klaipėdos lopšelis-darželis „Berželis“</t>
  </si>
  <si>
    <t>Klaipėdos lopšelis-darželis „Švyturėlis“</t>
  </si>
  <si>
    <t>Klaipėdos darželis „Gintarėlis“</t>
  </si>
  <si>
    <t>Klaipėdos lopšelis-darželis „Čiauškutė“</t>
  </si>
  <si>
    <t>Klaipėdos lopšelis-darželis „Pušaitė“</t>
  </si>
  <si>
    <t>Klaipėdos lopšelis-darželis „Eglutė“</t>
  </si>
  <si>
    <t>Klaipėdos lopšelis-darželis „Giliukas“</t>
  </si>
  <si>
    <t>Klaipėdos lopšelis-darželis „Sakalėlis“</t>
  </si>
  <si>
    <t>Klaipėdos lopšelis-darželis „Pagrandukas“</t>
  </si>
  <si>
    <t>Klaipėdos lopšelis-darželis „Žiburėlis“</t>
  </si>
  <si>
    <t>Klaipėdos lopšelis-darželis „Puriena“</t>
  </si>
  <si>
    <t>Klaipėdos lopšelis-darželis „Radastėlė“</t>
  </si>
  <si>
    <t>Klaipėdos lopšelis-darželis „Liepaitė“</t>
  </si>
  <si>
    <t>Klaipėdos lopšelis-darželis „Boružėlė“</t>
  </si>
  <si>
    <t>Klaipėdos lopšelis-darželis „Bitutė“</t>
  </si>
  <si>
    <t>Klaipėdos lopšelis-darželis „Kregždutė“</t>
  </si>
  <si>
    <t>Klaipėdos lopšelis-darželis „Vėrinėlis“</t>
  </si>
  <si>
    <t>Klaipėdos lopšelis-darželis „Putinėlis“</t>
  </si>
  <si>
    <t>Klaipėdos lopšelis-darželis „Želmenėlis“</t>
  </si>
  <si>
    <t>Klaipėdos lopšelis-darželis „Obelėlė“</t>
  </si>
  <si>
    <t>Klaipėdos lopšelis-darželis „Klevelis“</t>
  </si>
  <si>
    <t>Klaipėdos lopšelis-darželis „Žilvitis“</t>
  </si>
  <si>
    <t>Klaipėdos lopšelis-darželis „Rūta“</t>
  </si>
  <si>
    <t>Klaipėdos lopšelis-darželis „Žuvėdra“</t>
  </si>
  <si>
    <t>Klaipėdos lopšelis-darželis „Pingvinukas“</t>
  </si>
  <si>
    <t>Klaipėdos lopšelis-darželis „Traukinukas“</t>
  </si>
  <si>
    <t>Klaipėdos lopšelis-darželis „Svirpliukas“</t>
  </si>
  <si>
    <t>Klaipėdos lopšelis-darželis „Volungėlė“</t>
  </si>
  <si>
    <t>Klaipėdos lopšelis-darželis „Dobiliukas“</t>
  </si>
  <si>
    <t>Klaipėdos lopšelis-darželis „Linelis“</t>
  </si>
  <si>
    <t>Klaipėdos lopšelis-darželis „Žiogelis“</t>
  </si>
  <si>
    <t>Klaipėdos lopšelis-darželis „Aušrinė“</t>
  </si>
  <si>
    <t>Klaipėdos lopšelis-darželis „Atžalynas“</t>
  </si>
  <si>
    <t>Klaipėdos lopšelis-darželis „Žemuogėlė“</t>
  </si>
  <si>
    <t>Klaipėdos lopšelis-darželis „Alksniukas“</t>
  </si>
  <si>
    <t>Klaipėdos lopšelis-darželis „Pumpurėlis“</t>
  </si>
  <si>
    <t>Klaipėdos lopšelis-darželis „Papartėlis“</t>
  </si>
  <si>
    <t>Klaipėdos lopšelis-darželis „Aitvarėlis“</t>
  </si>
  <si>
    <t>Klaipėdos lopšelis-darželis „Bangelė“</t>
  </si>
  <si>
    <t>Klaipėdos lopšelis-darželis „Ąžuoliukas“</t>
  </si>
  <si>
    <t>Klaipėdos Juozo Karoso muzikos mokykla</t>
  </si>
  <si>
    <t>Klaipėdos Jeronimo Kačinsko muzikos mokykla</t>
  </si>
  <si>
    <t>Klaipėdos Adomo Brako dailės mokykla</t>
  </si>
  <si>
    <t>Klaipėdos moksleivių saviraiškos centras</t>
  </si>
  <si>
    <t>Klaipėdos jaunimo centras</t>
  </si>
  <si>
    <t xml:space="preserve">Klaipėdos vaikų laisvalaikio centras </t>
  </si>
  <si>
    <t>Klaipėdos regos ugdymo centras</t>
  </si>
  <si>
    <t>Klaipėdos pedagogų švietimo ir kultūros centras</t>
  </si>
  <si>
    <t>Klaipėdos pedagoginė psichologinė tarnyba</t>
  </si>
  <si>
    <t>Klaipėdos Litorinos mokykla</t>
  </si>
  <si>
    <t>Socialinių reikalų departamentas</t>
  </si>
  <si>
    <t>Klaipėdos miesto socialinės paramos centras</t>
  </si>
  <si>
    <t>Klaipėdos miesto globos namai</t>
  </si>
  <si>
    <t>Neįgaliųjų  centras „Klaipėdos lakštutė“</t>
  </si>
  <si>
    <t>Klaipėdos miesto nakvynės namai</t>
  </si>
  <si>
    <t>Klaipėdos vaikų globos namai „Smiltelė“</t>
  </si>
  <si>
    <t>Klaipėdos vaikų globos namai „Rytas“</t>
  </si>
  <si>
    <t>Klaipėdos miesto šeimos ir vaiko gerovės centras</t>
  </si>
  <si>
    <t xml:space="preserve">Klaipėdos „Medeinės“ mokykla </t>
  </si>
  <si>
    <t>Klaipėdos miesto lengvosios atletikos mokykla</t>
  </si>
  <si>
    <t>Klaipėdos „Aitvaro“ gimnazija</t>
  </si>
  <si>
    <t>Klaipėdos „Aukuro“ gimnazija</t>
  </si>
  <si>
    <t>Klaipėdos Vydūno gimnazija</t>
  </si>
  <si>
    <t>Klaipėdos „Verdenės“ progimnazija</t>
  </si>
  <si>
    <t>Klaipėdos Sendvario progimnazija</t>
  </si>
  <si>
    <t>Klaipėdos Naujakiemio suaugusiųjų gimnazija</t>
  </si>
  <si>
    <t>Klaipėdos lopšelis-darželis „Šermukšnėlė“</t>
  </si>
  <si>
    <t>PAJAMOS</t>
  </si>
  <si>
    <t>Pavadinimas</t>
  </si>
  <si>
    <t>MOKESČIAI (2+...+8)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</si>
  <si>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</si>
  <si>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</si>
  <si>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</si>
  <si>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</si>
  <si>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</si>
  <si>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</si>
  <si>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</si>
  <si>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Europos Sąjungos finansinės paramos lėšos (11+12)</t>
  </si>
  <si>
    <t>Einamiesiems tikslams</t>
  </si>
  <si>
    <t>Kapitalui formuoti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</si>
  <si>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</si>
  <si>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</si>
  <si>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</si>
  <si>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Archyvinių dokumentų tvarkymas</t>
  </si>
  <si>
    <t>Pirminės teisinės pagalbos teikimas</t>
  </si>
  <si>
    <t>Civilinės būklės aktų registravimas</t>
  </si>
  <si>
    <t>Gyvenamosios vietos deklaravimas</t>
  </si>
  <si>
    <t>Civilinės saugos organizavimas</t>
  </si>
  <si>
    <t>Gyventojų registro tvarkymas ir duomenų valstybės registrui teikimas</t>
  </si>
  <si>
    <t>Valstybinės žemės ir kito valstybės turto valdymas, naudojimas ir disponavimas juo patikėjimo teise</t>
  </si>
  <si>
    <t>Žemės ūkio funkcijoms vykdyti</t>
  </si>
  <si>
    <t>Vaikų ir jaunimo teisių apsauga</t>
  </si>
  <si>
    <t>Darbo rinkos politikos priemonių ir gyventojų užimtumo programų rengimas ir įgyvendinimas</t>
  </si>
  <si>
    <t xml:space="preserve">Socialinės paslaugos </t>
  </si>
  <si>
    <t>Socialinėms išmokoms ir kompensacijoms skaičiuoti ir mokėti</t>
  </si>
  <si>
    <t>Socialinė parama mokiniams</t>
  </si>
  <si>
    <t>Mokinių visuomenės sveikatos priežiūra</t>
  </si>
  <si>
    <t>Visuomenės sveikatos stiprinimas ir stebėsena</t>
  </si>
  <si>
    <t>Klaipėdos miesto baseino (50 m) su sveikatingumo centru statyba</t>
  </si>
  <si>
    <t>VšĮ Klaipėdos universitetinės ligoninės centrinio korpuso operacinės rekonstravimas</t>
  </si>
  <si>
    <t>Mokinio krepšeliui finansuoti</t>
  </si>
  <si>
    <t>švietimo (be mokinio krepšelio)</t>
  </si>
  <si>
    <t>socialinės apsaugos</t>
  </si>
  <si>
    <t>sveikatos</t>
  </si>
  <si>
    <t>Savivaldybių mokykloms (klasėms), turinčioms specialiųjų ugdymosi poreikio mokinių, finansuoti</t>
  </si>
  <si>
    <t xml:space="preserve">Palūkanos už depozitus </t>
  </si>
  <si>
    <t>Dividendai</t>
  </si>
  <si>
    <t xml:space="preserve">Nuomos mokestis už valstybinę žemę ir valstybinio vidaus vandenų fondo vandens telkinius </t>
  </si>
  <si>
    <t xml:space="preserve">Mokesčiai už valstybinius gamtos išteklius 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</si>
  <si>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</si>
  <si>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</si>
  <si>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</si>
  <si>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</si>
  <si>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Pajamos už leidimų ir kitų dokumentų išdavimą</t>
  </si>
  <si>
    <t>Kitos neišvardintos pajamos</t>
  </si>
  <si>
    <t>Žemė</t>
  </si>
  <si>
    <t>Pastatai ir statiniai</t>
  </si>
  <si>
    <t>Valstybinėms (valstybės perduotoms savivaldybėms) funkcijoms atlikti (15+...+32)</t>
  </si>
  <si>
    <t>ASIGNAVIMAI</t>
  </si>
  <si>
    <t>Asignavimų valdytojas / programos pavadinimas</t>
  </si>
  <si>
    <t>išlaidoms</t>
  </si>
  <si>
    <t>turtui įsigyti</t>
  </si>
  <si>
    <t>Savivaldybės kontrolės ir audito  tarnyba</t>
  </si>
  <si>
    <r>
      <t>Savivaldybės valdymo 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</si>
  <si>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</si>
  <si>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</si>
  <si>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</si>
  <si>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</si>
  <si>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</si>
  <si>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</si>
  <si>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</si>
  <si>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</si>
  <si>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Vaikų teisių apsauga</t>
  </si>
  <si>
    <t>Jaunimo teisių apsauga</t>
  </si>
  <si>
    <t>Darbo rinkos politikos priemonių ir gyventojų užimtumo programų rengimo ir įgyvendinimo administravimas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</si>
  <si>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</si>
  <si>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</si>
  <si>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</si>
  <si>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(specialios tikslinės dotacijos savivaldybėms perduotoms įstaigoms išlaikyti lėšos)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</si>
  <si>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</si>
  <si>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</si>
  <si>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Jaunimo politikos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</si>
  <si>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</si>
  <si>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t>Investicijų ir ekonomikos departamentas</t>
  </si>
  <si>
    <r>
      <t>Subalansuoto turizmo skatinimo ir vystymo programa</t>
    </r>
    <r>
      <rPr>
        <sz val="12"/>
        <rFont val="Times New Roman"/>
        <family val="1"/>
        <charset val="186"/>
      </rPr>
      <t xml:space="preserve"> </t>
    </r>
  </si>
  <si>
    <t>Subalansuoto turizmo skatinimo ir vystymo programa (savivaldybės biudžeto lėšos)</t>
  </si>
  <si>
    <t xml:space="preserve">Subalansuoto turizmo skatinimo ir vystymo programa (paskolų lėšos) </t>
  </si>
  <si>
    <t xml:space="preserve">Savivaldybės valdymo  programa </t>
  </si>
  <si>
    <t>Savivaldybės valdymo  programa (savivaldybės biudžeto lėšos)</t>
  </si>
  <si>
    <t xml:space="preserve">Savivaldybės valdymo  programa (paskolų lėšos) </t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</si>
  <si>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</si>
  <si>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t xml:space="preserve">Smulkiojo ir vidutinio verslo plėtros programa </t>
  </si>
  <si>
    <t>Smulkiojo ir vidutinio verslo plėtros programa (savivaldybės biudžeto lėšos)</t>
  </si>
  <si>
    <t xml:space="preserve">Smulkiojo ir vidutinio verslo plėtros programa (paskolų lėšos) </t>
  </si>
  <si>
    <t xml:space="preserve">Aplinkos apsaugos programa </t>
  </si>
  <si>
    <t>Aplinkos apsaugos programa (savivaldybės biudžeto lėšos)</t>
  </si>
  <si>
    <t xml:space="preserve">Aplinkos apsaugos programa (paskolų lėšos) </t>
  </si>
  <si>
    <t>Aplinkos apsaugos rėmimo specialioji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</si>
  <si>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</si>
  <si>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Susisiekimo sistemos priežiūros ir plėtros programa (savivaldybės biudžeto lėšos)</t>
  </si>
  <si>
    <t xml:space="preserve">Susisiekimo sistemos priežiūros ir plėtros programa (paskolų lėšos) 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</si>
  <si>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</si>
  <si>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(savivaldybės biudžeto lėšos)</t>
  </si>
  <si>
    <t xml:space="preserve">Miesto infrastruktūros objektų priežiūros ir modernizavimo programa (paskolų lėšos) </t>
  </si>
  <si>
    <t xml:space="preserve">Ugdymo proceso užtikrinimo programa </t>
  </si>
  <si>
    <t>Ugdymo proceso užtikrinimo programa (savivaldybės biudžeto lėšos)</t>
  </si>
  <si>
    <t xml:space="preserve">Ugdymo proceso užtikrinimo programa (paskolų lėšos) </t>
  </si>
  <si>
    <t xml:space="preserve">Kūno kultūros ir sporto plėtros programa </t>
  </si>
  <si>
    <t xml:space="preserve">Kūno kultūros ir sporto plėtros programa (savivaldybės biudžeto lėšos) </t>
  </si>
  <si>
    <t xml:space="preserve">Kūno kultūros ir sporto plėtros programa (specialios tikslinės dotacijos valstybės kapitalo investicijų programoje numatytiems projektams finansuoti lėšos) </t>
  </si>
  <si>
    <t xml:space="preserve">Socialinės atskirties mažinimo programa </t>
  </si>
  <si>
    <t>Socialinės atskirties mažinimo programa (savivaldybės biudžeto lėšos)</t>
  </si>
  <si>
    <t>Socialinės atskirties mažinimo programa (paskolų lėšos)</t>
  </si>
  <si>
    <r>
      <t>Sveikatos apsaugos programa</t>
    </r>
    <r>
      <rPr>
        <sz val="12"/>
        <rFont val="Times New Roman"/>
        <family val="1"/>
        <charset val="186"/>
      </rPr>
      <t xml:space="preserve"> (specialios tikslinės dotacijos valstybės kapitalo investicijų programoje numatytiems projektams finansuoti lėšos) </t>
    </r>
  </si>
  <si>
    <t>Urbanistinės plėtros departamentas</t>
  </si>
  <si>
    <t>Aplinkos apsaugos programa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</si>
  <si>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</si>
  <si>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</si>
  <si>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</si>
  <si>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r>
      <t xml:space="preserve">Miesto kultūrinio savitumo puoselėjimo bei kultūrinių paslaugų gerinimo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</si>
  <si>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</si>
  <si>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t>Ugdymo proceso užtikrinimo programa (specialios tikslinės dotacijos savivaldybėms perduotoms įstaigoms išlaikyti lėšos)</t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</si>
  <si>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</si>
  <si>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 xml:space="preserve">Miesto kultūrinio savitumo puoselėjimo bei kultūrinių paslaugų gerinimo programa </t>
  </si>
  <si>
    <t>Miesto kultūrinio savitumo puoselėjimo bei kultūrinių paslaugų gerinimo programa (savivaldybės biudžeto lėšos)</t>
  </si>
  <si>
    <t>Miesto kultūrinio savitumo puoselėjimo bei kultūrinių paslaugų gerinimo programa (asignavimų valdytojo pajamų įmokos)</t>
  </si>
  <si>
    <t>Ugdymo proceso užtikrinimo programa</t>
  </si>
  <si>
    <t>Ugdymo proceso užtikrinimo programa  (savivaldybės biudžeto lėšos)</t>
  </si>
  <si>
    <t>Ugdymo proceso užtikrinimo programa (specialios tikslinės dotacijos mokinio krepšeliui finansuoti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</si>
  <si>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</si>
  <si>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</si>
  <si>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</si>
  <si>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</si>
  <si>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</si>
  <si>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</si>
  <si>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</si>
  <si>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</si>
  <si>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</si>
  <si>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</si>
  <si>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</si>
  <si>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</si>
  <si>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savivaldybėms perduotoms įstaigoms išlaikyti lėšos)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</si>
  <si>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</si>
  <si>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</si>
  <si>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</si>
  <si>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</si>
  <si>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t xml:space="preserve">Iš viso </t>
  </si>
  <si>
    <t>Programos pavadinimas</t>
  </si>
  <si>
    <t>Asignavimų valdytojas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</si>
  <si>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</si>
  <si>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</si>
  <si>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</si>
  <si>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</si>
  <si>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</si>
  <si>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</si>
  <si>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Smulkiojo ir vidutinio verslo plėtros programa</t>
  </si>
  <si>
    <t>5.</t>
  </si>
  <si>
    <t>6.</t>
  </si>
  <si>
    <t>Susisiekimo sistemos priežiūros ir plėtros programa</t>
  </si>
  <si>
    <t>7.</t>
  </si>
  <si>
    <t>Miesto infrastruktūros objektų priežiūros ir modernizavimo pograma</t>
  </si>
  <si>
    <t>Miesto kultūrinio savitumo puoselėjimo bei kultūrinių paslaugų gerinimo programa</t>
  </si>
  <si>
    <t>9.</t>
  </si>
  <si>
    <t>Jaunimo politikos plėtros programa</t>
  </si>
  <si>
    <t>10.</t>
  </si>
  <si>
    <t>11.</t>
  </si>
  <si>
    <t>12.</t>
  </si>
  <si>
    <t>13.</t>
  </si>
  <si>
    <t>Sveikatos apsaugos  programa</t>
  </si>
  <si>
    <t>14.</t>
  </si>
  <si>
    <t xml:space="preserve">Iš viso: </t>
  </si>
  <si>
    <t xml:space="preserve">Subalansuoto turizmo skatinimo ir vystymo programa </t>
  </si>
  <si>
    <t xml:space="preserve">Susisiekimo sistemos priežiūros ir plėtros programa </t>
  </si>
  <si>
    <t>Išlaidos turtui įsigyti</t>
  </si>
  <si>
    <t>Klaipėdos priklausomybės ligų centras</t>
  </si>
  <si>
    <t>Laisvas apyvartinių lėšų likutis 2014 m. sausio 1 d.</t>
  </si>
  <si>
    <t>Sveikatos apsaugos programa (savivaldybės biudžeto lėšos)</t>
  </si>
  <si>
    <t>Biudžetinė įstaiga „Klaipėdos paplūdimiai“</t>
  </si>
  <si>
    <t>Klaipėdos miesto savivaldybės tarybos</t>
  </si>
  <si>
    <t>Socialiniam būsto fondui plėtoti</t>
  </si>
  <si>
    <t>Dotacija kultūros ir meno darbuotojų darbo užmokesčiui padidinti</t>
  </si>
  <si>
    <t>Socialinės atskirties mažinimo programa (specialios tikslinės dotacijos valstybės kapitalo investicijų programoje numatytiems projektams finansuoti lėšos)</t>
  </si>
  <si>
    <t>Miesto kultūrinio savitumo puoselėjimo bei kultūrinių paslaugų gerinimo programa (dotacijos kultūros ir meno darbuotojų darbo užmokesčiui padidinti lėšos)</t>
  </si>
  <si>
    <t xml:space="preserve"> Klaipėdos miesto savivaldybės tarybos</t>
  </si>
  <si>
    <t xml:space="preserve"> 4 priedas</t>
  </si>
  <si>
    <t>Klaipėdos Gedminų progimnazija</t>
  </si>
  <si>
    <t>Klaipėdos suaugusiųjų gimnazija</t>
  </si>
  <si>
    <t xml:space="preserve">Klaipėdos lopšelis-darželis „Versmė“                                                   </t>
  </si>
  <si>
    <t>Lėšos, gautos iš valstybės biudžeto pagal tarpusavio atsiskaitymus</t>
  </si>
  <si>
    <t>Socialinės atskirties mažinimo programa (lėšos, gautos iš valstybės biudžeto pagal tarpusavio atsiskaitymus)</t>
  </si>
  <si>
    <t xml:space="preserve">valstybės biudžeto specialių tikslinių dotacijų ir kitų dotacijų lėšos </t>
  </si>
  <si>
    <t xml:space="preserve">Patikslin-tas planas </t>
  </si>
  <si>
    <t>Įvykdyta</t>
  </si>
  <si>
    <t>Rezulta-tas (pasikeiti-mas +,-)</t>
  </si>
  <si>
    <t>Įvyk-dyta pro-centais</t>
  </si>
  <si>
    <t>iš jų</t>
  </si>
  <si>
    <t>Patikslin-tas planas</t>
  </si>
  <si>
    <t>iš jų darbo užmokesčiui</t>
  </si>
  <si>
    <t>Rezultatas (pasikeiti-mas +,-)</t>
  </si>
  <si>
    <t>Įvykdyta procen-tais</t>
  </si>
  <si>
    <t>Patiks-lintas planas</t>
  </si>
  <si>
    <t>2015 m.                        d. sprendimo Nr. T2-</t>
  </si>
  <si>
    <t>1 priedas</t>
  </si>
  <si>
    <t xml:space="preserve"> KLAIPĖDOS MIESTO SAVIVALDYBĖS 2014 METŲ BIUDŽETO ĮVYKDYMO ATASKAITA</t>
  </si>
  <si>
    <t>Patikslintas planas</t>
  </si>
  <si>
    <t>Plano įvykdymas</t>
  </si>
  <si>
    <t>Rezultatas (pasikeitimas +, -)</t>
  </si>
  <si>
    <t>Įvykdyta procentais</t>
  </si>
  <si>
    <t>DOTACIJOS (10+13+44)</t>
  </si>
  <si>
    <t>Valstybės kapitalo investicijų programoje numatytiems projektams finansuoti (34+35+36+37)</t>
  </si>
  <si>
    <t>Klaipėdos „Smeltės“ progimnazijos pastato Klaipėdoje, Reikjaviko g. 17, vidaus patalpoms modernizuoti</t>
  </si>
  <si>
    <t>Savivaldybėms perduotoms įstaigoms išlaikyti (40+41+42)</t>
  </si>
  <si>
    <t>Kitos dotacijos ir lėšos iš kitų valdymo lygių (45+46+47)</t>
  </si>
  <si>
    <t>KITOS PAJAMOS (49+...+58)</t>
  </si>
  <si>
    <t>MATERIALIOJO IR NEMATERIALIOJO TURTO REALIZAVIMO PAJAMOS (60)</t>
  </si>
  <si>
    <t>Ilgalaikio materialiojo turto realizavimo pajamos (61+62+63)</t>
  </si>
  <si>
    <t>Kitos ilgalaikio turto ir atsargų realizavimo pajamos</t>
  </si>
  <si>
    <t>Iš viso (1+9+48+59)</t>
  </si>
  <si>
    <t>Savivaldybės valdymo  programa (dotacijos  išlaidoms, patirtoms pritaikant informacines sistemas euro įvedimui, kompensuoti lėšos)</t>
  </si>
  <si>
    <t xml:space="preserve">Ugdymo proceso užtikrinimo programa (specialios tikslinės dotacijos valstybės kapitalo investicijų programoje numatytiems projektams finansuoti lėšos) </t>
  </si>
  <si>
    <t xml:space="preserve">     Klaipėdos miesto savivaldybės tarybos</t>
  </si>
  <si>
    <t xml:space="preserve">     2 priedas</t>
  </si>
  <si>
    <t xml:space="preserve">     2015 m.                           d. sprendimo Nr. T2-</t>
  </si>
  <si>
    <t>Specialios tikslinės dotacijos (14+33+38+39+43)</t>
  </si>
  <si>
    <t>Iš viso (64+65):</t>
  </si>
  <si>
    <t xml:space="preserve">Patikslintas planas </t>
  </si>
  <si>
    <t>KLAIPĖDOS MIESTO SAVIVALDYBĖS 2014 METŲ BIUDŽETO ASIGNAVIMŲ PANAUDOJIMAS PAGAL PROGRAMAS</t>
  </si>
  <si>
    <t xml:space="preserve"> 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</si>
  <si>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</si>
  <si>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</si>
  <si>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</si>
  <si>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>Rezultatas (pasikeiti-mas +, -)</t>
  </si>
  <si>
    <t xml:space="preserve"> 2015 m.                  d. sprendimo Nr. T2-</t>
  </si>
  <si>
    <t>2014 METŲ BIUDŽETINIŲ ĮSTAIGŲ PAJAMŲ ĮMOKŲ Į SAVIVALDYBĖS BIUDŽETĄ PAGAL ASIGNAVIMŲ VALDYTOJUS VYKDYMO ATASKAITA</t>
  </si>
  <si>
    <t>5</t>
  </si>
  <si>
    <t>7</t>
  </si>
  <si>
    <t>8</t>
  </si>
  <si>
    <t>14</t>
  </si>
  <si>
    <t>4.</t>
  </si>
  <si>
    <t>Rezultatas (pasikei-timas +,-)</t>
  </si>
  <si>
    <t xml:space="preserve">                  Klaipėdos miesto savivaldybės tarybos</t>
  </si>
  <si>
    <t xml:space="preserve">                  2015 m.                  d. sprendimo Nr. T2-</t>
  </si>
  <si>
    <t xml:space="preserve">                  3 priedas</t>
  </si>
  <si>
    <t>Klaipėdos lopšelis-darželis „Vyturėlis“</t>
  </si>
  <si>
    <t>Dotacija išlaidoms, patirtoms pritaikant informacines sistemas euro įvedimui, kompensuoti</t>
  </si>
  <si>
    <t>KLAIPĖDOS MIESTO SAVIVALDYBĖS 2014 METŲ BIUDŽETO ASIGNAVIMŲ PANAUDOJIMAS INVESTICIJŲ PROJEKTAMS FINANSUOTI PAGAL PROGRAMAS IŠ PASKOLŲ LĖŠŲ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</si>
</sst>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</cellStyleXfs>
  <cellXfs count="111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/>
    <xf numFmtId="0" fontId="4" fillId="0" borderId="0" xfId="1" applyFont="1"/>
    <xf numFmtId="0" fontId="4" fillId="0" borderId="0" xfId="1" applyFont="1" applyAlignment="1">
      <alignment wrapText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1" fillId="0" borderId="0" xfId="1" applyFill="1"/>
    <xf numFmtId="164" fontId="1" fillId="0" borderId="0" xfId="1" applyNumberFormat="1"/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2" fillId="0" borderId="0" xfId="0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justify"/>
    </xf>
    <xf numFmtId="0" fontId="2" fillId="0" borderId="2" xfId="1" applyFont="1" applyBorder="1" applyAlignment="1">
      <alignment horizontal="center" vertical="center" wrapText="1"/>
    </xf>
    <xf numFmtId="0" fontId="1" fillId="0" borderId="0" xfId="1" applyFont="1"/>
    <xf numFmtId="165" fontId="2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0" fontId="4" fillId="0" borderId="0" xfId="1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164" fontId="6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7" fillId="0" borderId="0" xfId="1" applyFont="1" applyAlignment="1">
      <alignment horizontal="center"/>
    </xf>
    <xf numFmtId="0" fontId="1" fillId="0" borderId="1" xfId="1" applyBorder="1"/>
    <xf numFmtId="164" fontId="2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wrapText="1"/>
    </xf>
    <xf numFmtId="164" fontId="1" fillId="0" borderId="1" xfId="1" applyNumberForma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2" fillId="0" borderId="2" xfId="0" applyFont="1" applyFill="1" applyBorder="1" applyAlignment="1">
      <alignment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0" fillId="0" borderId="1" xfId="0" applyBorder="1"/>
    <xf numFmtId="164" fontId="4" fillId="0" borderId="2" xfId="1" applyNumberFormat="1" applyFont="1" applyFill="1" applyBorder="1" applyAlignment="1"/>
    <xf numFmtId="164" fontId="2" fillId="0" borderId="2" xfId="1" applyNumberFormat="1" applyFont="1" applyFill="1" applyBorder="1" applyAlignment="1"/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0" fontId="4" fillId="0" borderId="2" xfId="1" applyFont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Border="1"/>
    <xf numFmtId="164" fontId="2" fillId="0" borderId="2" xfId="1" applyNumberFormat="1" applyFont="1" applyBorder="1"/>
    <xf numFmtId="164" fontId="2" fillId="0" borderId="2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2" fillId="0" borderId="0" xfId="1" applyFont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64" fontId="2" fillId="0" borderId="2" xfId="3" applyNumberFormat="1" applyFont="1" applyFill="1" applyBorder="1" applyAlignment="1" applyProtection="1">
      <alignment horizontal="right" vertical="center"/>
      <protection hidden="1"/>
    </xf>
    <xf numFmtId="164" fontId="2" fillId="0" borderId="2" xfId="3" applyNumberFormat="1" applyFont="1" applyFill="1" applyBorder="1" applyAlignment="1" applyProtection="1">
      <alignment horizontal="right"/>
      <protection hidden="1"/>
    </xf>
    <xf numFmtId="0" fontId="2" fillId="0" borderId="1" xfId="1" applyFont="1" applyFill="1" applyBorder="1"/>
    <xf numFmtId="0" fontId="2" fillId="0" borderId="0" xfId="1" applyFont="1" applyFill="1" applyAlignment="1">
      <alignment wrapText="1"/>
    </xf>
    <xf numFmtId="0" fontId="2" fillId="0" borderId="2" xfId="0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1" applyFill="1" applyBorder="1"/>
    <xf numFmtId="0" fontId="2" fillId="0" borderId="1" xfId="1" applyFont="1" applyFill="1" applyBorder="1" applyAlignment="1">
      <alignment wrapText="1"/>
    </xf>
    <xf numFmtId="0" fontId="2" fillId="0" borderId="1" xfId="1" applyFont="1" applyBorder="1"/>
    <xf numFmtId="0" fontId="4" fillId="0" borderId="1" xfId="1" applyFont="1" applyBorder="1" applyAlignment="1"/>
    <xf numFmtId="164" fontId="2" fillId="0" borderId="2" xfId="3" applyNumberFormat="1" applyFont="1" applyBorder="1" applyAlignment="1" applyProtection="1">
      <alignment horizontal="center" vertical="center" wrapText="1"/>
      <protection hidden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/>
    <xf numFmtId="164" fontId="9" fillId="0" borderId="2" xfId="0" applyNumberFormat="1" applyFont="1" applyBorder="1"/>
    <xf numFmtId="0" fontId="2" fillId="0" borderId="2" xfId="0" applyFont="1" applyBorder="1"/>
    <xf numFmtId="0" fontId="4" fillId="0" borderId="0" xfId="0" applyFont="1"/>
    <xf numFmtId="164" fontId="10" fillId="0" borderId="2" xfId="0" applyNumberFormat="1" applyFont="1" applyBorder="1"/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left" vertical="justify"/>
    </xf>
    <xf numFmtId="0" fontId="2" fillId="0" borderId="0" xfId="1" applyFont="1" applyAlignment="1">
      <alignment vertical="justify"/>
    </xf>
    <xf numFmtId="0" fontId="4" fillId="0" borderId="0" xfId="1" applyFont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64" fontId="2" fillId="0" borderId="2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10">
    <cellStyle name="Įprastas" xfId="0" builtinId="0"/>
    <cellStyle name="Įprastas 2" xfId="1"/>
    <cellStyle name="Įprastas 3" xfId="2"/>
    <cellStyle name="Įprastas 3 2" xfId="7"/>
    <cellStyle name="Normal 2" xfId="4"/>
    <cellStyle name="Normal_adm_dir_rezervas_2005 2" xfId="8"/>
    <cellStyle name="Normal_SAVAPYSsssss" xfId="3"/>
    <cellStyle name="Paprastas_Dir.rez. atask.2008m" xfId="9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Zeros="0" workbookViewId="0">
      <pane xSplit="2" ySplit="9" topLeftCell="C25" activePane="bottomRight" state="frozen"/>
      <selection pane="topRight" activeCell="J1" sqref="J1"/>
      <selection pane="bottomLeft" activeCell="A10" sqref="A10"/>
      <selection pane="bottomRight" activeCell="B83" sqref="B83"/>
    </sheetView>
  </sheetViews>
  <sheetFormatPr defaultRowHeight="12.75" x14ac:dyDescent="0.2"/>
  <cols>
    <col min="1" max="1" width="9.140625" style="2"/>
    <col min="2" max="2" width="70.7109375" style="2" customWidth="1"/>
    <col min="3" max="3" width="13" style="2" customWidth="1"/>
    <col min="4" max="4" width="11.28515625" style="2" customWidth="1"/>
    <col min="5" max="5" width="14" style="2" customWidth="1"/>
    <col min="6" max="6" width="12.85546875" style="2" customWidth="1"/>
    <col min="7" max="245" width="9.140625" style="2"/>
    <col min="246" max="246" width="70.7109375" style="2" customWidth="1"/>
    <col min="247" max="247" width="13" style="2" customWidth="1"/>
    <col min="248" max="248" width="11.28515625" style="2" customWidth="1"/>
    <col min="249" max="249" width="14" style="2" customWidth="1"/>
    <col min="250" max="250" width="12.85546875" style="2" customWidth="1"/>
    <col min="251" max="501" width="9.140625" style="2"/>
    <col min="502" max="502" width="70.7109375" style="2" customWidth="1"/>
    <col min="503" max="503" width="13" style="2" customWidth="1"/>
    <col min="504" max="504" width="11.28515625" style="2" customWidth="1"/>
    <col min="505" max="505" width="14" style="2" customWidth="1"/>
    <col min="506" max="506" width="12.85546875" style="2" customWidth="1"/>
    <col min="507" max="757" width="9.140625" style="2"/>
    <col min="758" max="758" width="70.7109375" style="2" customWidth="1"/>
    <col min="759" max="759" width="13" style="2" customWidth="1"/>
    <col min="760" max="760" width="11.28515625" style="2" customWidth="1"/>
    <col min="761" max="761" width="14" style="2" customWidth="1"/>
    <col min="762" max="762" width="12.85546875" style="2" customWidth="1"/>
    <col min="763" max="1013" width="9.140625" style="2"/>
    <col min="1014" max="1014" width="70.7109375" style="2" customWidth="1"/>
    <col min="1015" max="1015" width="13" style="2" customWidth="1"/>
    <col min="1016" max="1016" width="11.28515625" style="2" customWidth="1"/>
    <col min="1017" max="1017" width="14" style="2" customWidth="1"/>
    <col min="1018" max="1018" width="12.85546875" style="2" customWidth="1"/>
    <col min="1019" max="1269" width="9.140625" style="2"/>
    <col min="1270" max="1270" width="70.7109375" style="2" customWidth="1"/>
    <col min="1271" max="1271" width="13" style="2" customWidth="1"/>
    <col min="1272" max="1272" width="11.28515625" style="2" customWidth="1"/>
    <col min="1273" max="1273" width="14" style="2" customWidth="1"/>
    <col min="1274" max="1274" width="12.85546875" style="2" customWidth="1"/>
    <col min="1275" max="1525" width="9.140625" style="2"/>
    <col min="1526" max="1526" width="70.7109375" style="2" customWidth="1"/>
    <col min="1527" max="1527" width="13" style="2" customWidth="1"/>
    <col min="1528" max="1528" width="11.28515625" style="2" customWidth="1"/>
    <col min="1529" max="1529" width="14" style="2" customWidth="1"/>
    <col min="1530" max="1530" width="12.85546875" style="2" customWidth="1"/>
    <col min="1531" max="1781" width="9.140625" style="2"/>
    <col min="1782" max="1782" width="70.7109375" style="2" customWidth="1"/>
    <col min="1783" max="1783" width="13" style="2" customWidth="1"/>
    <col min="1784" max="1784" width="11.28515625" style="2" customWidth="1"/>
    <col min="1785" max="1785" width="14" style="2" customWidth="1"/>
    <col min="1786" max="1786" width="12.85546875" style="2" customWidth="1"/>
    <col min="1787" max="2037" width="9.140625" style="2"/>
    <col min="2038" max="2038" width="70.7109375" style="2" customWidth="1"/>
    <col min="2039" max="2039" width="13" style="2" customWidth="1"/>
    <col min="2040" max="2040" width="11.28515625" style="2" customWidth="1"/>
    <col min="2041" max="2041" width="14" style="2" customWidth="1"/>
    <col min="2042" max="2042" width="12.85546875" style="2" customWidth="1"/>
    <col min="2043" max="2293" width="9.140625" style="2"/>
    <col min="2294" max="2294" width="70.7109375" style="2" customWidth="1"/>
    <col min="2295" max="2295" width="13" style="2" customWidth="1"/>
    <col min="2296" max="2296" width="11.28515625" style="2" customWidth="1"/>
    <col min="2297" max="2297" width="14" style="2" customWidth="1"/>
    <col min="2298" max="2298" width="12.85546875" style="2" customWidth="1"/>
    <col min="2299" max="2549" width="9.140625" style="2"/>
    <col min="2550" max="2550" width="70.7109375" style="2" customWidth="1"/>
    <col min="2551" max="2551" width="13" style="2" customWidth="1"/>
    <col min="2552" max="2552" width="11.28515625" style="2" customWidth="1"/>
    <col min="2553" max="2553" width="14" style="2" customWidth="1"/>
    <col min="2554" max="2554" width="12.85546875" style="2" customWidth="1"/>
    <col min="2555" max="2805" width="9.140625" style="2"/>
    <col min="2806" max="2806" width="70.7109375" style="2" customWidth="1"/>
    <col min="2807" max="2807" width="13" style="2" customWidth="1"/>
    <col min="2808" max="2808" width="11.28515625" style="2" customWidth="1"/>
    <col min="2809" max="2809" width="14" style="2" customWidth="1"/>
    <col min="2810" max="2810" width="12.85546875" style="2" customWidth="1"/>
    <col min="2811" max="3061" width="9.140625" style="2"/>
    <col min="3062" max="3062" width="70.7109375" style="2" customWidth="1"/>
    <col min="3063" max="3063" width="13" style="2" customWidth="1"/>
    <col min="3064" max="3064" width="11.28515625" style="2" customWidth="1"/>
    <col min="3065" max="3065" width="14" style="2" customWidth="1"/>
    <col min="3066" max="3066" width="12.85546875" style="2" customWidth="1"/>
    <col min="3067" max="3317" width="9.140625" style="2"/>
    <col min="3318" max="3318" width="70.7109375" style="2" customWidth="1"/>
    <col min="3319" max="3319" width="13" style="2" customWidth="1"/>
    <col min="3320" max="3320" width="11.28515625" style="2" customWidth="1"/>
    <col min="3321" max="3321" width="14" style="2" customWidth="1"/>
    <col min="3322" max="3322" width="12.85546875" style="2" customWidth="1"/>
    <col min="3323" max="3573" width="9.140625" style="2"/>
    <col min="3574" max="3574" width="70.7109375" style="2" customWidth="1"/>
    <col min="3575" max="3575" width="13" style="2" customWidth="1"/>
    <col min="3576" max="3576" width="11.28515625" style="2" customWidth="1"/>
    <col min="3577" max="3577" width="14" style="2" customWidth="1"/>
    <col min="3578" max="3578" width="12.85546875" style="2" customWidth="1"/>
    <col min="3579" max="3829" width="9.140625" style="2"/>
    <col min="3830" max="3830" width="70.7109375" style="2" customWidth="1"/>
    <col min="3831" max="3831" width="13" style="2" customWidth="1"/>
    <col min="3832" max="3832" width="11.28515625" style="2" customWidth="1"/>
    <col min="3833" max="3833" width="14" style="2" customWidth="1"/>
    <col min="3834" max="3834" width="12.85546875" style="2" customWidth="1"/>
    <col min="3835" max="4085" width="9.140625" style="2"/>
    <col min="4086" max="4086" width="70.7109375" style="2" customWidth="1"/>
    <col min="4087" max="4087" width="13" style="2" customWidth="1"/>
    <col min="4088" max="4088" width="11.28515625" style="2" customWidth="1"/>
    <col min="4089" max="4089" width="14" style="2" customWidth="1"/>
    <col min="4090" max="4090" width="12.85546875" style="2" customWidth="1"/>
    <col min="4091" max="4341" width="9.140625" style="2"/>
    <col min="4342" max="4342" width="70.7109375" style="2" customWidth="1"/>
    <col min="4343" max="4343" width="13" style="2" customWidth="1"/>
    <col min="4344" max="4344" width="11.28515625" style="2" customWidth="1"/>
    <col min="4345" max="4345" width="14" style="2" customWidth="1"/>
    <col min="4346" max="4346" width="12.85546875" style="2" customWidth="1"/>
    <col min="4347" max="4597" width="9.140625" style="2"/>
    <col min="4598" max="4598" width="70.7109375" style="2" customWidth="1"/>
    <col min="4599" max="4599" width="13" style="2" customWidth="1"/>
    <col min="4600" max="4600" width="11.28515625" style="2" customWidth="1"/>
    <col min="4601" max="4601" width="14" style="2" customWidth="1"/>
    <col min="4602" max="4602" width="12.85546875" style="2" customWidth="1"/>
    <col min="4603" max="4853" width="9.140625" style="2"/>
    <col min="4854" max="4854" width="70.7109375" style="2" customWidth="1"/>
    <col min="4855" max="4855" width="13" style="2" customWidth="1"/>
    <col min="4856" max="4856" width="11.28515625" style="2" customWidth="1"/>
    <col min="4857" max="4857" width="14" style="2" customWidth="1"/>
    <col min="4858" max="4858" width="12.85546875" style="2" customWidth="1"/>
    <col min="4859" max="5109" width="9.140625" style="2"/>
    <col min="5110" max="5110" width="70.7109375" style="2" customWidth="1"/>
    <col min="5111" max="5111" width="13" style="2" customWidth="1"/>
    <col min="5112" max="5112" width="11.28515625" style="2" customWidth="1"/>
    <col min="5113" max="5113" width="14" style="2" customWidth="1"/>
    <col min="5114" max="5114" width="12.85546875" style="2" customWidth="1"/>
    <col min="5115" max="5365" width="9.140625" style="2"/>
    <col min="5366" max="5366" width="70.7109375" style="2" customWidth="1"/>
    <col min="5367" max="5367" width="13" style="2" customWidth="1"/>
    <col min="5368" max="5368" width="11.28515625" style="2" customWidth="1"/>
    <col min="5369" max="5369" width="14" style="2" customWidth="1"/>
    <col min="5370" max="5370" width="12.85546875" style="2" customWidth="1"/>
    <col min="5371" max="5621" width="9.140625" style="2"/>
    <col min="5622" max="5622" width="70.7109375" style="2" customWidth="1"/>
    <col min="5623" max="5623" width="13" style="2" customWidth="1"/>
    <col min="5624" max="5624" width="11.28515625" style="2" customWidth="1"/>
    <col min="5625" max="5625" width="14" style="2" customWidth="1"/>
    <col min="5626" max="5626" width="12.85546875" style="2" customWidth="1"/>
    <col min="5627" max="5877" width="9.140625" style="2"/>
    <col min="5878" max="5878" width="70.7109375" style="2" customWidth="1"/>
    <col min="5879" max="5879" width="13" style="2" customWidth="1"/>
    <col min="5880" max="5880" width="11.28515625" style="2" customWidth="1"/>
    <col min="5881" max="5881" width="14" style="2" customWidth="1"/>
    <col min="5882" max="5882" width="12.85546875" style="2" customWidth="1"/>
    <col min="5883" max="6133" width="9.140625" style="2"/>
    <col min="6134" max="6134" width="70.7109375" style="2" customWidth="1"/>
    <col min="6135" max="6135" width="13" style="2" customWidth="1"/>
    <col min="6136" max="6136" width="11.28515625" style="2" customWidth="1"/>
    <col min="6137" max="6137" width="14" style="2" customWidth="1"/>
    <col min="6138" max="6138" width="12.85546875" style="2" customWidth="1"/>
    <col min="6139" max="6389" width="9.140625" style="2"/>
    <col min="6390" max="6390" width="70.7109375" style="2" customWidth="1"/>
    <col min="6391" max="6391" width="13" style="2" customWidth="1"/>
    <col min="6392" max="6392" width="11.28515625" style="2" customWidth="1"/>
    <col min="6393" max="6393" width="14" style="2" customWidth="1"/>
    <col min="6394" max="6394" width="12.85546875" style="2" customWidth="1"/>
    <col min="6395" max="6645" width="9.140625" style="2"/>
    <col min="6646" max="6646" width="70.7109375" style="2" customWidth="1"/>
    <col min="6647" max="6647" width="13" style="2" customWidth="1"/>
    <col min="6648" max="6648" width="11.28515625" style="2" customWidth="1"/>
    <col min="6649" max="6649" width="14" style="2" customWidth="1"/>
    <col min="6650" max="6650" width="12.85546875" style="2" customWidth="1"/>
    <col min="6651" max="6901" width="9.140625" style="2"/>
    <col min="6902" max="6902" width="70.7109375" style="2" customWidth="1"/>
    <col min="6903" max="6903" width="13" style="2" customWidth="1"/>
    <col min="6904" max="6904" width="11.28515625" style="2" customWidth="1"/>
    <col min="6905" max="6905" width="14" style="2" customWidth="1"/>
    <col min="6906" max="6906" width="12.85546875" style="2" customWidth="1"/>
    <col min="6907" max="7157" width="9.140625" style="2"/>
    <col min="7158" max="7158" width="70.7109375" style="2" customWidth="1"/>
    <col min="7159" max="7159" width="13" style="2" customWidth="1"/>
    <col min="7160" max="7160" width="11.28515625" style="2" customWidth="1"/>
    <col min="7161" max="7161" width="14" style="2" customWidth="1"/>
    <col min="7162" max="7162" width="12.85546875" style="2" customWidth="1"/>
    <col min="7163" max="7413" width="9.140625" style="2"/>
    <col min="7414" max="7414" width="70.7109375" style="2" customWidth="1"/>
    <col min="7415" max="7415" width="13" style="2" customWidth="1"/>
    <col min="7416" max="7416" width="11.28515625" style="2" customWidth="1"/>
    <col min="7417" max="7417" width="14" style="2" customWidth="1"/>
    <col min="7418" max="7418" width="12.85546875" style="2" customWidth="1"/>
    <col min="7419" max="7669" width="9.140625" style="2"/>
    <col min="7670" max="7670" width="70.7109375" style="2" customWidth="1"/>
    <col min="7671" max="7671" width="13" style="2" customWidth="1"/>
    <col min="7672" max="7672" width="11.28515625" style="2" customWidth="1"/>
    <col min="7673" max="7673" width="14" style="2" customWidth="1"/>
    <col min="7674" max="7674" width="12.85546875" style="2" customWidth="1"/>
    <col min="7675" max="7925" width="9.140625" style="2"/>
    <col min="7926" max="7926" width="70.7109375" style="2" customWidth="1"/>
    <col min="7927" max="7927" width="13" style="2" customWidth="1"/>
    <col min="7928" max="7928" width="11.28515625" style="2" customWidth="1"/>
    <col min="7929" max="7929" width="14" style="2" customWidth="1"/>
    <col min="7930" max="7930" width="12.85546875" style="2" customWidth="1"/>
    <col min="7931" max="8181" width="9.140625" style="2"/>
    <col min="8182" max="8182" width="70.7109375" style="2" customWidth="1"/>
    <col min="8183" max="8183" width="13" style="2" customWidth="1"/>
    <col min="8184" max="8184" width="11.28515625" style="2" customWidth="1"/>
    <col min="8185" max="8185" width="14" style="2" customWidth="1"/>
    <col min="8186" max="8186" width="12.85546875" style="2" customWidth="1"/>
    <col min="8187" max="8437" width="9.140625" style="2"/>
    <col min="8438" max="8438" width="70.7109375" style="2" customWidth="1"/>
    <col min="8439" max="8439" width="13" style="2" customWidth="1"/>
    <col min="8440" max="8440" width="11.28515625" style="2" customWidth="1"/>
    <col min="8441" max="8441" width="14" style="2" customWidth="1"/>
    <col min="8442" max="8442" width="12.85546875" style="2" customWidth="1"/>
    <col min="8443" max="8693" width="9.140625" style="2"/>
    <col min="8694" max="8694" width="70.7109375" style="2" customWidth="1"/>
    <col min="8695" max="8695" width="13" style="2" customWidth="1"/>
    <col min="8696" max="8696" width="11.28515625" style="2" customWidth="1"/>
    <col min="8697" max="8697" width="14" style="2" customWidth="1"/>
    <col min="8698" max="8698" width="12.85546875" style="2" customWidth="1"/>
    <col min="8699" max="8949" width="9.140625" style="2"/>
    <col min="8950" max="8950" width="70.7109375" style="2" customWidth="1"/>
    <col min="8951" max="8951" width="13" style="2" customWidth="1"/>
    <col min="8952" max="8952" width="11.28515625" style="2" customWidth="1"/>
    <col min="8953" max="8953" width="14" style="2" customWidth="1"/>
    <col min="8954" max="8954" width="12.85546875" style="2" customWidth="1"/>
    <col min="8955" max="9205" width="9.140625" style="2"/>
    <col min="9206" max="9206" width="70.7109375" style="2" customWidth="1"/>
    <col min="9207" max="9207" width="13" style="2" customWidth="1"/>
    <col min="9208" max="9208" width="11.28515625" style="2" customWidth="1"/>
    <col min="9209" max="9209" width="14" style="2" customWidth="1"/>
    <col min="9210" max="9210" width="12.85546875" style="2" customWidth="1"/>
    <col min="9211" max="9461" width="9.140625" style="2"/>
    <col min="9462" max="9462" width="70.7109375" style="2" customWidth="1"/>
    <col min="9463" max="9463" width="13" style="2" customWidth="1"/>
    <col min="9464" max="9464" width="11.28515625" style="2" customWidth="1"/>
    <col min="9465" max="9465" width="14" style="2" customWidth="1"/>
    <col min="9466" max="9466" width="12.85546875" style="2" customWidth="1"/>
    <col min="9467" max="9717" width="9.140625" style="2"/>
    <col min="9718" max="9718" width="70.7109375" style="2" customWidth="1"/>
    <col min="9719" max="9719" width="13" style="2" customWidth="1"/>
    <col min="9720" max="9720" width="11.28515625" style="2" customWidth="1"/>
    <col min="9721" max="9721" width="14" style="2" customWidth="1"/>
    <col min="9722" max="9722" width="12.85546875" style="2" customWidth="1"/>
    <col min="9723" max="9973" width="9.140625" style="2"/>
    <col min="9974" max="9974" width="70.7109375" style="2" customWidth="1"/>
    <col min="9975" max="9975" width="13" style="2" customWidth="1"/>
    <col min="9976" max="9976" width="11.28515625" style="2" customWidth="1"/>
    <col min="9977" max="9977" width="14" style="2" customWidth="1"/>
    <col min="9978" max="9978" width="12.85546875" style="2" customWidth="1"/>
    <col min="9979" max="10229" width="9.140625" style="2"/>
    <col min="10230" max="10230" width="70.7109375" style="2" customWidth="1"/>
    <col min="10231" max="10231" width="13" style="2" customWidth="1"/>
    <col min="10232" max="10232" width="11.28515625" style="2" customWidth="1"/>
    <col min="10233" max="10233" width="14" style="2" customWidth="1"/>
    <col min="10234" max="10234" width="12.85546875" style="2" customWidth="1"/>
    <col min="10235" max="10485" width="9.140625" style="2"/>
    <col min="10486" max="10486" width="70.7109375" style="2" customWidth="1"/>
    <col min="10487" max="10487" width="13" style="2" customWidth="1"/>
    <col min="10488" max="10488" width="11.28515625" style="2" customWidth="1"/>
    <col min="10489" max="10489" width="14" style="2" customWidth="1"/>
    <col min="10490" max="10490" width="12.85546875" style="2" customWidth="1"/>
    <col min="10491" max="10741" width="9.140625" style="2"/>
    <col min="10742" max="10742" width="70.7109375" style="2" customWidth="1"/>
    <col min="10743" max="10743" width="13" style="2" customWidth="1"/>
    <col min="10744" max="10744" width="11.28515625" style="2" customWidth="1"/>
    <col min="10745" max="10745" width="14" style="2" customWidth="1"/>
    <col min="10746" max="10746" width="12.85546875" style="2" customWidth="1"/>
    <col min="10747" max="10997" width="9.140625" style="2"/>
    <col min="10998" max="10998" width="70.7109375" style="2" customWidth="1"/>
    <col min="10999" max="10999" width="13" style="2" customWidth="1"/>
    <col min="11000" max="11000" width="11.28515625" style="2" customWidth="1"/>
    <col min="11001" max="11001" width="14" style="2" customWidth="1"/>
    <col min="11002" max="11002" width="12.85546875" style="2" customWidth="1"/>
    <col min="11003" max="11253" width="9.140625" style="2"/>
    <col min="11254" max="11254" width="70.7109375" style="2" customWidth="1"/>
    <col min="11255" max="11255" width="13" style="2" customWidth="1"/>
    <col min="11256" max="11256" width="11.28515625" style="2" customWidth="1"/>
    <col min="11257" max="11257" width="14" style="2" customWidth="1"/>
    <col min="11258" max="11258" width="12.85546875" style="2" customWidth="1"/>
    <col min="11259" max="11509" width="9.140625" style="2"/>
    <col min="11510" max="11510" width="70.7109375" style="2" customWidth="1"/>
    <col min="11511" max="11511" width="13" style="2" customWidth="1"/>
    <col min="11512" max="11512" width="11.28515625" style="2" customWidth="1"/>
    <col min="11513" max="11513" width="14" style="2" customWidth="1"/>
    <col min="11514" max="11514" width="12.85546875" style="2" customWidth="1"/>
    <col min="11515" max="11765" width="9.140625" style="2"/>
    <col min="11766" max="11766" width="70.7109375" style="2" customWidth="1"/>
    <col min="11767" max="11767" width="13" style="2" customWidth="1"/>
    <col min="11768" max="11768" width="11.28515625" style="2" customWidth="1"/>
    <col min="11769" max="11769" width="14" style="2" customWidth="1"/>
    <col min="11770" max="11770" width="12.85546875" style="2" customWidth="1"/>
    <col min="11771" max="12021" width="9.140625" style="2"/>
    <col min="12022" max="12022" width="70.7109375" style="2" customWidth="1"/>
    <col min="12023" max="12023" width="13" style="2" customWidth="1"/>
    <col min="12024" max="12024" width="11.28515625" style="2" customWidth="1"/>
    <col min="12025" max="12025" width="14" style="2" customWidth="1"/>
    <col min="12026" max="12026" width="12.85546875" style="2" customWidth="1"/>
    <col min="12027" max="12277" width="9.140625" style="2"/>
    <col min="12278" max="12278" width="70.7109375" style="2" customWidth="1"/>
    <col min="12279" max="12279" width="13" style="2" customWidth="1"/>
    <col min="12280" max="12280" width="11.28515625" style="2" customWidth="1"/>
    <col min="12281" max="12281" width="14" style="2" customWidth="1"/>
    <col min="12282" max="12282" width="12.85546875" style="2" customWidth="1"/>
    <col min="12283" max="12533" width="9.140625" style="2"/>
    <col min="12534" max="12534" width="70.7109375" style="2" customWidth="1"/>
    <col min="12535" max="12535" width="13" style="2" customWidth="1"/>
    <col min="12536" max="12536" width="11.28515625" style="2" customWidth="1"/>
    <col min="12537" max="12537" width="14" style="2" customWidth="1"/>
    <col min="12538" max="12538" width="12.85546875" style="2" customWidth="1"/>
    <col min="12539" max="12789" width="9.140625" style="2"/>
    <col min="12790" max="12790" width="70.7109375" style="2" customWidth="1"/>
    <col min="12791" max="12791" width="13" style="2" customWidth="1"/>
    <col min="12792" max="12792" width="11.28515625" style="2" customWidth="1"/>
    <col min="12793" max="12793" width="14" style="2" customWidth="1"/>
    <col min="12794" max="12794" width="12.85546875" style="2" customWidth="1"/>
    <col min="12795" max="13045" width="9.140625" style="2"/>
    <col min="13046" max="13046" width="70.7109375" style="2" customWidth="1"/>
    <col min="13047" max="13047" width="13" style="2" customWidth="1"/>
    <col min="13048" max="13048" width="11.28515625" style="2" customWidth="1"/>
    <col min="13049" max="13049" width="14" style="2" customWidth="1"/>
    <col min="13050" max="13050" width="12.85546875" style="2" customWidth="1"/>
    <col min="13051" max="13301" width="9.140625" style="2"/>
    <col min="13302" max="13302" width="70.7109375" style="2" customWidth="1"/>
    <col min="13303" max="13303" width="13" style="2" customWidth="1"/>
    <col min="13304" max="13304" width="11.28515625" style="2" customWidth="1"/>
    <col min="13305" max="13305" width="14" style="2" customWidth="1"/>
    <col min="13306" max="13306" width="12.85546875" style="2" customWidth="1"/>
    <col min="13307" max="13557" width="9.140625" style="2"/>
    <col min="13558" max="13558" width="70.7109375" style="2" customWidth="1"/>
    <col min="13559" max="13559" width="13" style="2" customWidth="1"/>
    <col min="13560" max="13560" width="11.28515625" style="2" customWidth="1"/>
    <col min="13561" max="13561" width="14" style="2" customWidth="1"/>
    <col min="13562" max="13562" width="12.85546875" style="2" customWidth="1"/>
    <col min="13563" max="13813" width="9.140625" style="2"/>
    <col min="13814" max="13814" width="70.7109375" style="2" customWidth="1"/>
    <col min="13815" max="13815" width="13" style="2" customWidth="1"/>
    <col min="13816" max="13816" width="11.28515625" style="2" customWidth="1"/>
    <col min="13817" max="13817" width="14" style="2" customWidth="1"/>
    <col min="13818" max="13818" width="12.85546875" style="2" customWidth="1"/>
    <col min="13819" max="14069" width="9.140625" style="2"/>
    <col min="14070" max="14070" width="70.7109375" style="2" customWidth="1"/>
    <col min="14071" max="14071" width="13" style="2" customWidth="1"/>
    <col min="14072" max="14072" width="11.28515625" style="2" customWidth="1"/>
    <col min="14073" max="14073" width="14" style="2" customWidth="1"/>
    <col min="14074" max="14074" width="12.85546875" style="2" customWidth="1"/>
    <col min="14075" max="14325" width="9.140625" style="2"/>
    <col min="14326" max="14326" width="70.7109375" style="2" customWidth="1"/>
    <col min="14327" max="14327" width="13" style="2" customWidth="1"/>
    <col min="14328" max="14328" width="11.28515625" style="2" customWidth="1"/>
    <col min="14329" max="14329" width="14" style="2" customWidth="1"/>
    <col min="14330" max="14330" width="12.85546875" style="2" customWidth="1"/>
    <col min="14331" max="14581" width="9.140625" style="2"/>
    <col min="14582" max="14582" width="70.7109375" style="2" customWidth="1"/>
    <col min="14583" max="14583" width="13" style="2" customWidth="1"/>
    <col min="14584" max="14584" width="11.28515625" style="2" customWidth="1"/>
    <col min="14585" max="14585" width="14" style="2" customWidth="1"/>
    <col min="14586" max="14586" width="12.85546875" style="2" customWidth="1"/>
    <col min="14587" max="14837" width="9.140625" style="2"/>
    <col min="14838" max="14838" width="70.7109375" style="2" customWidth="1"/>
    <col min="14839" max="14839" width="13" style="2" customWidth="1"/>
    <col min="14840" max="14840" width="11.28515625" style="2" customWidth="1"/>
    <col min="14841" max="14841" width="14" style="2" customWidth="1"/>
    <col min="14842" max="14842" width="12.85546875" style="2" customWidth="1"/>
    <col min="14843" max="15093" width="9.140625" style="2"/>
    <col min="15094" max="15094" width="70.7109375" style="2" customWidth="1"/>
    <col min="15095" max="15095" width="13" style="2" customWidth="1"/>
    <col min="15096" max="15096" width="11.28515625" style="2" customWidth="1"/>
    <col min="15097" max="15097" width="14" style="2" customWidth="1"/>
    <col min="15098" max="15098" width="12.85546875" style="2" customWidth="1"/>
    <col min="15099" max="15349" width="9.140625" style="2"/>
    <col min="15350" max="15350" width="70.7109375" style="2" customWidth="1"/>
    <col min="15351" max="15351" width="13" style="2" customWidth="1"/>
    <col min="15352" max="15352" width="11.28515625" style="2" customWidth="1"/>
    <col min="15353" max="15353" width="14" style="2" customWidth="1"/>
    <col min="15354" max="15354" width="12.85546875" style="2" customWidth="1"/>
    <col min="15355" max="15605" width="9.140625" style="2"/>
    <col min="15606" max="15606" width="70.7109375" style="2" customWidth="1"/>
    <col min="15607" max="15607" width="13" style="2" customWidth="1"/>
    <col min="15608" max="15608" width="11.28515625" style="2" customWidth="1"/>
    <col min="15609" max="15609" width="14" style="2" customWidth="1"/>
    <col min="15610" max="15610" width="12.85546875" style="2" customWidth="1"/>
    <col min="15611" max="15861" width="9.140625" style="2"/>
    <col min="15862" max="15862" width="70.7109375" style="2" customWidth="1"/>
    <col min="15863" max="15863" width="13" style="2" customWidth="1"/>
    <col min="15864" max="15864" width="11.28515625" style="2" customWidth="1"/>
    <col min="15865" max="15865" width="14" style="2" customWidth="1"/>
    <col min="15866" max="15866" width="12.85546875" style="2" customWidth="1"/>
    <col min="15867" max="16117" width="9.140625" style="2"/>
    <col min="16118" max="16118" width="70.7109375" style="2" customWidth="1"/>
    <col min="16119" max="16119" width="13" style="2" customWidth="1"/>
    <col min="16120" max="16120" width="11.28515625" style="2" customWidth="1"/>
    <col min="16121" max="16121" width="14" style="2" customWidth="1"/>
    <col min="16122" max="16122" width="12.85546875" style="2" customWidth="1"/>
    <col min="16123" max="16384" width="9.140625" style="2"/>
  </cols>
  <sheetData>
    <row r="1" spans="1:6" ht="16.5" customHeight="1" x14ac:dyDescent="0.25">
      <c r="A1" s="1"/>
      <c r="B1" s="60"/>
      <c r="C1" s="90" t="s">
        <v>293</v>
      </c>
      <c r="D1" s="90"/>
      <c r="E1" s="90"/>
      <c r="F1" s="90"/>
    </row>
    <row r="2" spans="1:6" ht="13.5" customHeight="1" x14ac:dyDescent="0.25">
      <c r="A2" s="1"/>
      <c r="B2" s="60"/>
      <c r="C2" s="90" t="s">
        <v>316</v>
      </c>
      <c r="D2" s="90"/>
      <c r="E2" s="90"/>
      <c r="F2" s="90"/>
    </row>
    <row r="3" spans="1:6" ht="16.5" customHeight="1" x14ac:dyDescent="0.25">
      <c r="A3" s="17"/>
      <c r="B3" s="60"/>
      <c r="C3" s="91" t="s">
        <v>317</v>
      </c>
      <c r="D3" s="91"/>
      <c r="E3" s="91"/>
      <c r="F3" s="91"/>
    </row>
    <row r="4" spans="1:6" ht="12.75" customHeight="1" x14ac:dyDescent="0.25">
      <c r="A4" s="17"/>
      <c r="B4" s="18"/>
      <c r="C4" s="1"/>
      <c r="D4" s="1"/>
      <c r="E4" s="1"/>
      <c r="F4" s="1"/>
    </row>
    <row r="5" spans="1:6" ht="15.75" x14ac:dyDescent="0.25">
      <c r="A5" s="92" t="s">
        <v>318</v>
      </c>
      <c r="B5" s="92"/>
      <c r="C5" s="92"/>
      <c r="D5" s="92"/>
      <c r="E5" s="92"/>
      <c r="F5" s="92"/>
    </row>
    <row r="6" spans="1:6" ht="11.25" customHeight="1" x14ac:dyDescent="0.25">
      <c r="A6" s="17"/>
      <c r="B6" s="3"/>
      <c r="C6" s="1"/>
      <c r="D6" s="1"/>
      <c r="E6" s="1"/>
      <c r="F6" s="1"/>
    </row>
    <row r="7" spans="1:6" ht="15.75" x14ac:dyDescent="0.25">
      <c r="A7" s="17"/>
      <c r="B7" s="4" t="s">
        <v>122</v>
      </c>
      <c r="C7" s="1"/>
      <c r="D7" s="1"/>
      <c r="E7" s="1"/>
      <c r="F7" s="1" t="s">
        <v>0</v>
      </c>
    </row>
    <row r="8" spans="1:6" ht="47.25" customHeight="1" x14ac:dyDescent="0.25">
      <c r="A8" s="19" t="s">
        <v>1</v>
      </c>
      <c r="B8" s="19" t="s">
        <v>123</v>
      </c>
      <c r="C8" s="61" t="s">
        <v>319</v>
      </c>
      <c r="D8" s="61" t="s">
        <v>320</v>
      </c>
      <c r="E8" s="64" t="s">
        <v>321</v>
      </c>
      <c r="F8" s="61" t="s">
        <v>322</v>
      </c>
    </row>
    <row r="9" spans="1:6" s="20" customFormat="1" ht="15.75" x14ac:dyDescent="0.25">
      <c r="A9" s="67">
        <v>1</v>
      </c>
      <c r="B9" s="67">
        <v>2</v>
      </c>
      <c r="C9" s="65">
        <v>3</v>
      </c>
      <c r="D9" s="65">
        <v>4</v>
      </c>
      <c r="E9" s="65">
        <v>5</v>
      </c>
      <c r="F9" s="65">
        <v>6</v>
      </c>
    </row>
    <row r="10" spans="1:6" s="10" customFormat="1" ht="15.75" x14ac:dyDescent="0.25">
      <c r="A10" s="21">
        <v>1</v>
      </c>
      <c r="B10" s="22" t="s">
        <v>124</v>
      </c>
      <c r="C10" s="50">
        <f>SUM(C11:C17)</f>
        <v>227890.9</v>
      </c>
      <c r="D10" s="50">
        <f>SUM(D11:D17)</f>
        <v>235822.5</v>
      </c>
      <c r="E10" s="50">
        <f>SUM(E11:E17)</f>
        <v>7931.6</v>
      </c>
      <c r="F10" s="50">
        <f>+D10/C10*100</f>
        <v>103.5</v>
      </c>
    </row>
    <row r="11" spans="1:6" ht="15.75" x14ac:dyDescent="0.25">
      <c r="A11" s="21">
        <v>2</v>
      </c>
      <c r="B11" s="23" t="s">
        <v>125</v>
      </c>
      <c r="C11" s="49">
        <v>178673</v>
      </c>
      <c r="D11" s="49">
        <v>181623.3</v>
      </c>
      <c r="E11" s="49">
        <f>+D11-C11</f>
        <v>2950.3</v>
      </c>
      <c r="F11" s="49">
        <f t="shared" ref="F11:F73" si="0">+D11/C11*100</f>
        <v>101.7</v>
      </c>
    </row>
    <row r="12" spans="1:6" ht="15.75" x14ac:dyDescent="0.25">
      <c r="A12" s="21">
        <v>3</v>
      </c>
      <c r="B12" s="23" t="s">
        <v>126</v>
      </c>
      <c r="C12" s="49">
        <v>1140</v>
      </c>
      <c r="D12" s="49">
        <v>1108.9000000000001</v>
      </c>
      <c r="E12" s="49">
        <f t="shared" ref="E12:E16" si="1">+D12-C12</f>
        <v>-31.1</v>
      </c>
      <c r="F12" s="49">
        <f t="shared" si="0"/>
        <v>97.3</v>
      </c>
    </row>
    <row r="13" spans="1:6" ht="15.75" x14ac:dyDescent="0.25">
      <c r="A13" s="21">
        <v>4</v>
      </c>
      <c r="B13" s="23" t="s">
        <v>127</v>
      </c>
      <c r="C13" s="49">
        <v>240</v>
      </c>
      <c r="D13" s="49">
        <v>314.5</v>
      </c>
      <c r="E13" s="49">
        <f t="shared" si="1"/>
        <v>74.5</v>
      </c>
      <c r="F13" s="49">
        <f t="shared" si="0"/>
        <v>131</v>
      </c>
    </row>
    <row r="14" spans="1:6" ht="15.75" x14ac:dyDescent="0.25">
      <c r="A14" s="21">
        <v>5</v>
      </c>
      <c r="B14" s="23" t="s">
        <v>128</v>
      </c>
      <c r="C14" s="49">
        <v>23300</v>
      </c>
      <c r="D14" s="49">
        <v>27526.2</v>
      </c>
      <c r="E14" s="49">
        <f t="shared" si="1"/>
        <v>4226.2</v>
      </c>
      <c r="F14" s="49">
        <f t="shared" si="0"/>
        <v>118.1</v>
      </c>
    </row>
    <row r="15" spans="1:6" ht="15.75" x14ac:dyDescent="0.25">
      <c r="A15" s="21">
        <v>6</v>
      </c>
      <c r="B15" s="23" t="s">
        <v>129</v>
      </c>
      <c r="C15" s="49">
        <v>1510</v>
      </c>
      <c r="D15" s="49">
        <v>1512.3</v>
      </c>
      <c r="E15" s="49">
        <f t="shared" si="1"/>
        <v>2.2999999999999998</v>
      </c>
      <c r="F15" s="49">
        <f t="shared" si="0"/>
        <v>100.2</v>
      </c>
    </row>
    <row r="16" spans="1:6" ht="15.75" x14ac:dyDescent="0.25">
      <c r="A16" s="21">
        <v>7</v>
      </c>
      <c r="B16" s="23" t="s">
        <v>130</v>
      </c>
      <c r="C16" s="49">
        <v>430</v>
      </c>
      <c r="D16" s="49">
        <v>461.7</v>
      </c>
      <c r="E16" s="49">
        <f t="shared" si="1"/>
        <v>31.7</v>
      </c>
      <c r="F16" s="49">
        <f t="shared" si="0"/>
        <v>107.4</v>
      </c>
    </row>
    <row r="17" spans="1:6" ht="15.75" x14ac:dyDescent="0.25">
      <c r="A17" s="21">
        <v>8</v>
      </c>
      <c r="B17" s="23" t="s">
        <v>131</v>
      </c>
      <c r="C17" s="49">
        <v>22597.9</v>
      </c>
      <c r="D17" s="49">
        <v>23275.599999999999</v>
      </c>
      <c r="E17" s="49">
        <f>+D17-C17</f>
        <v>677.7</v>
      </c>
      <c r="F17" s="49">
        <f t="shared" si="0"/>
        <v>103</v>
      </c>
    </row>
    <row r="18" spans="1:6" s="10" customFormat="1" ht="15.75" x14ac:dyDescent="0.25">
      <c r="A18" s="21">
        <v>9</v>
      </c>
      <c r="B18" s="22" t="s">
        <v>323</v>
      </c>
      <c r="C18" s="50">
        <f>+C19+C22+C53</f>
        <v>135628.5</v>
      </c>
      <c r="D18" s="50">
        <f>+D19+D22+D53</f>
        <v>134303.5</v>
      </c>
      <c r="E18" s="50">
        <f>+E19+E22+E53</f>
        <v>-1325</v>
      </c>
      <c r="F18" s="50">
        <f t="shared" si="0"/>
        <v>99</v>
      </c>
    </row>
    <row r="19" spans="1:6" s="10" customFormat="1" ht="15.75" x14ac:dyDescent="0.25">
      <c r="A19" s="21">
        <v>10</v>
      </c>
      <c r="B19" s="24" t="s">
        <v>132</v>
      </c>
      <c r="C19" s="50">
        <f>+C20+C21</f>
        <v>1399</v>
      </c>
      <c r="D19" s="50">
        <f>+D20+D21</f>
        <v>1219.7</v>
      </c>
      <c r="E19" s="50">
        <f>+E20+E21</f>
        <v>-179.3</v>
      </c>
      <c r="F19" s="50">
        <f t="shared" si="0"/>
        <v>87.2</v>
      </c>
    </row>
    <row r="20" spans="1:6" ht="15.75" x14ac:dyDescent="0.25">
      <c r="A20" s="21">
        <v>11</v>
      </c>
      <c r="B20" s="25" t="s">
        <v>133</v>
      </c>
      <c r="C20" s="49">
        <v>592.29999999999995</v>
      </c>
      <c r="D20" s="49">
        <v>413.5</v>
      </c>
      <c r="E20" s="49">
        <f>+D20-C20</f>
        <v>-178.8</v>
      </c>
      <c r="F20" s="49">
        <f t="shared" si="0"/>
        <v>69.8</v>
      </c>
    </row>
    <row r="21" spans="1:6" ht="15.75" x14ac:dyDescent="0.25">
      <c r="A21" s="21">
        <v>12</v>
      </c>
      <c r="B21" s="25" t="s">
        <v>134</v>
      </c>
      <c r="C21" s="49">
        <v>806.7</v>
      </c>
      <c r="D21" s="49">
        <v>806.2</v>
      </c>
      <c r="E21" s="49">
        <f>+D21-C21</f>
        <v>-0.5</v>
      </c>
      <c r="F21" s="49">
        <f t="shared" si="0"/>
        <v>99.9</v>
      </c>
    </row>
    <row r="22" spans="1:6" s="10" customFormat="1" ht="15.75" x14ac:dyDescent="0.25">
      <c r="A22" s="21">
        <v>13</v>
      </c>
      <c r="B22" s="22" t="s">
        <v>338</v>
      </c>
      <c r="C22" s="50">
        <f>+C23+C42+C47+C48+C52</f>
        <v>133891.4</v>
      </c>
      <c r="D22" s="50">
        <f>+D23+D42+D47+D48+D52</f>
        <v>132502.70000000001</v>
      </c>
      <c r="E22" s="50">
        <f>+E23+E42+E47+E48+E52</f>
        <v>-1388.7</v>
      </c>
      <c r="F22" s="50">
        <f t="shared" si="0"/>
        <v>99</v>
      </c>
    </row>
    <row r="23" spans="1:6" ht="31.5" x14ac:dyDescent="0.25">
      <c r="A23" s="21">
        <v>14</v>
      </c>
      <c r="B23" s="23" t="s">
        <v>172</v>
      </c>
      <c r="C23" s="49">
        <f>SUM(C24:C41)</f>
        <v>21405.7</v>
      </c>
      <c r="D23" s="49">
        <f>SUM(D24:D41)</f>
        <v>19860.7</v>
      </c>
      <c r="E23" s="49">
        <f>SUM(E24:E41)</f>
        <v>-1545</v>
      </c>
      <c r="F23" s="49">
        <f t="shared" si="0"/>
        <v>92.8</v>
      </c>
    </row>
    <row r="24" spans="1:6" ht="15.75" x14ac:dyDescent="0.25">
      <c r="A24" s="21">
        <v>15</v>
      </c>
      <c r="B24" s="11" t="s">
        <v>135</v>
      </c>
      <c r="C24" s="49">
        <v>2</v>
      </c>
      <c r="D24" s="49">
        <v>2</v>
      </c>
      <c r="E24" s="49">
        <f t="shared" ref="E24:E41" si="2">+D24-C24</f>
        <v>0</v>
      </c>
      <c r="F24" s="49">
        <f t="shared" si="0"/>
        <v>100</v>
      </c>
    </row>
    <row r="25" spans="1:6" ht="15.75" x14ac:dyDescent="0.25">
      <c r="A25" s="21">
        <v>16</v>
      </c>
      <c r="B25" s="11" t="s">
        <v>136</v>
      </c>
      <c r="C25" s="49">
        <v>55.1</v>
      </c>
      <c r="D25" s="49">
        <v>53.8</v>
      </c>
      <c r="E25" s="49">
        <f t="shared" si="2"/>
        <v>-1.3</v>
      </c>
      <c r="F25" s="49">
        <f t="shared" si="0"/>
        <v>97.6</v>
      </c>
    </row>
    <row r="26" spans="1:6" ht="15.75" x14ac:dyDescent="0.25">
      <c r="A26" s="21">
        <v>17</v>
      </c>
      <c r="B26" s="11" t="s">
        <v>137</v>
      </c>
      <c r="C26" s="49">
        <v>35.6</v>
      </c>
      <c r="D26" s="49">
        <v>35.5</v>
      </c>
      <c r="E26" s="49">
        <f t="shared" si="2"/>
        <v>-0.1</v>
      </c>
      <c r="F26" s="49">
        <f t="shared" si="0"/>
        <v>99.7</v>
      </c>
    </row>
    <row r="27" spans="1:6" ht="15.75" x14ac:dyDescent="0.25">
      <c r="A27" s="21">
        <v>18</v>
      </c>
      <c r="B27" s="11" t="s">
        <v>138</v>
      </c>
      <c r="C27" s="49">
        <v>227.3</v>
      </c>
      <c r="D27" s="49">
        <v>227.3</v>
      </c>
      <c r="E27" s="49">
        <f t="shared" si="2"/>
        <v>0</v>
      </c>
      <c r="F27" s="49">
        <f t="shared" si="0"/>
        <v>100</v>
      </c>
    </row>
    <row r="28" spans="1:6" ht="15.75" x14ac:dyDescent="0.25">
      <c r="A28" s="21">
        <v>19</v>
      </c>
      <c r="B28" s="11" t="s">
        <v>139</v>
      </c>
      <c r="C28" s="49">
        <v>109.7</v>
      </c>
      <c r="D28" s="49">
        <v>90.8</v>
      </c>
      <c r="E28" s="49">
        <f t="shared" si="2"/>
        <v>-18.899999999999999</v>
      </c>
      <c r="F28" s="49">
        <f t="shared" si="0"/>
        <v>82.8</v>
      </c>
    </row>
    <row r="29" spans="1:6" ht="15.75" x14ac:dyDescent="0.25">
      <c r="A29" s="21">
        <v>20</v>
      </c>
      <c r="B29" s="11" t="s">
        <v>140</v>
      </c>
      <c r="C29" s="49">
        <v>274.39999999999998</v>
      </c>
      <c r="D29" s="49">
        <f>274.3-0.1</f>
        <v>274.2</v>
      </c>
      <c r="E29" s="49">
        <f t="shared" si="2"/>
        <v>-0.2</v>
      </c>
      <c r="F29" s="49">
        <f t="shared" si="0"/>
        <v>99.9</v>
      </c>
    </row>
    <row r="30" spans="1:6" ht="15.75" x14ac:dyDescent="0.25">
      <c r="A30" s="21">
        <v>21</v>
      </c>
      <c r="B30" s="11" t="s">
        <v>141</v>
      </c>
      <c r="C30" s="49">
        <v>55.4</v>
      </c>
      <c r="D30" s="49">
        <v>55.1</v>
      </c>
      <c r="E30" s="49">
        <f t="shared" si="2"/>
        <v>-0.3</v>
      </c>
      <c r="F30" s="49">
        <f t="shared" si="0"/>
        <v>99.5</v>
      </c>
    </row>
    <row r="31" spans="1:6" ht="15.75" x14ac:dyDescent="0.25">
      <c r="A31" s="21">
        <v>22</v>
      </c>
      <c r="B31" s="11" t="s">
        <v>142</v>
      </c>
      <c r="C31" s="49">
        <v>239.4</v>
      </c>
      <c r="D31" s="49">
        <f>237.8+0.1</f>
        <v>237.9</v>
      </c>
      <c r="E31" s="49">
        <f t="shared" si="2"/>
        <v>-1.5</v>
      </c>
      <c r="F31" s="49">
        <f t="shared" si="0"/>
        <v>99.4</v>
      </c>
    </row>
    <row r="32" spans="1:6" ht="15.75" x14ac:dyDescent="0.25">
      <c r="A32" s="21">
        <v>23</v>
      </c>
      <c r="B32" s="11" t="s">
        <v>143</v>
      </c>
      <c r="C32" s="49">
        <v>8.5</v>
      </c>
      <c r="D32" s="49">
        <v>8.5</v>
      </c>
      <c r="E32" s="49">
        <f t="shared" si="2"/>
        <v>0</v>
      </c>
      <c r="F32" s="49">
        <f t="shared" si="0"/>
        <v>100</v>
      </c>
    </row>
    <row r="33" spans="1:6" ht="31.5" x14ac:dyDescent="0.25">
      <c r="A33" s="21">
        <v>24</v>
      </c>
      <c r="B33" s="11" t="s">
        <v>144</v>
      </c>
      <c r="C33" s="49">
        <v>4</v>
      </c>
      <c r="D33" s="49">
        <v>3.7</v>
      </c>
      <c r="E33" s="49">
        <f t="shared" si="2"/>
        <v>-0.3</v>
      </c>
      <c r="F33" s="49">
        <f t="shared" si="0"/>
        <v>92.5</v>
      </c>
    </row>
    <row r="34" spans="1:6" ht="15.75" x14ac:dyDescent="0.25">
      <c r="A34" s="21">
        <v>25</v>
      </c>
      <c r="B34" s="11" t="s">
        <v>145</v>
      </c>
      <c r="C34" s="49">
        <v>33</v>
      </c>
      <c r="D34" s="49">
        <v>33</v>
      </c>
      <c r="E34" s="49">
        <f t="shared" si="2"/>
        <v>0</v>
      </c>
      <c r="F34" s="49">
        <f t="shared" si="0"/>
        <v>100</v>
      </c>
    </row>
    <row r="35" spans="1:6" ht="15.75" x14ac:dyDescent="0.25">
      <c r="A35" s="21">
        <v>26</v>
      </c>
      <c r="B35" s="23" t="s">
        <v>146</v>
      </c>
      <c r="C35" s="49">
        <v>912.5</v>
      </c>
      <c r="D35" s="49">
        <v>899.5</v>
      </c>
      <c r="E35" s="49">
        <f t="shared" si="2"/>
        <v>-13</v>
      </c>
      <c r="F35" s="49">
        <f t="shared" si="0"/>
        <v>98.6</v>
      </c>
    </row>
    <row r="36" spans="1:6" ht="31.5" x14ac:dyDescent="0.25">
      <c r="A36" s="21">
        <v>27</v>
      </c>
      <c r="B36" s="11" t="s">
        <v>147</v>
      </c>
      <c r="C36" s="49">
        <v>991.1</v>
      </c>
      <c r="D36" s="49">
        <v>959.4</v>
      </c>
      <c r="E36" s="49">
        <f t="shared" si="2"/>
        <v>-31.7</v>
      </c>
      <c r="F36" s="49">
        <f t="shared" si="0"/>
        <v>96.8</v>
      </c>
    </row>
    <row r="37" spans="1:6" ht="15.75" x14ac:dyDescent="0.25">
      <c r="A37" s="21">
        <v>28</v>
      </c>
      <c r="B37" s="11" t="s">
        <v>148</v>
      </c>
      <c r="C37" s="49">
        <v>6670.8</v>
      </c>
      <c r="D37" s="49">
        <v>6269.5</v>
      </c>
      <c r="E37" s="49">
        <f t="shared" si="2"/>
        <v>-401.3</v>
      </c>
      <c r="F37" s="49">
        <f t="shared" si="0"/>
        <v>94</v>
      </c>
    </row>
    <row r="38" spans="1:6" ht="15.75" x14ac:dyDescent="0.25">
      <c r="A38" s="21">
        <v>29</v>
      </c>
      <c r="B38" s="11" t="s">
        <v>149</v>
      </c>
      <c r="C38" s="49">
        <v>7954.3</v>
      </c>
      <c r="D38" s="49">
        <v>7003.8</v>
      </c>
      <c r="E38" s="49">
        <f t="shared" si="2"/>
        <v>-950.5</v>
      </c>
      <c r="F38" s="49">
        <f t="shared" si="0"/>
        <v>88.1</v>
      </c>
    </row>
    <row r="39" spans="1:6" ht="15.75" x14ac:dyDescent="0.25">
      <c r="A39" s="21">
        <v>30</v>
      </c>
      <c r="B39" s="11" t="s">
        <v>150</v>
      </c>
      <c r="C39" s="49">
        <v>2394.5</v>
      </c>
      <c r="D39" s="49">
        <v>2269.1</v>
      </c>
      <c r="E39" s="49">
        <f t="shared" si="2"/>
        <v>-125.4</v>
      </c>
      <c r="F39" s="49">
        <f t="shared" si="0"/>
        <v>94.8</v>
      </c>
    </row>
    <row r="40" spans="1:6" ht="15.75" x14ac:dyDescent="0.25">
      <c r="A40" s="21">
        <v>31</v>
      </c>
      <c r="B40" s="11" t="s">
        <v>151</v>
      </c>
      <c r="C40" s="45">
        <v>871.8</v>
      </c>
      <c r="D40" s="49">
        <f>871.8-0.2</f>
        <v>871.6</v>
      </c>
      <c r="E40" s="49">
        <f t="shared" si="2"/>
        <v>-0.2</v>
      </c>
      <c r="F40" s="49">
        <f t="shared" si="0"/>
        <v>100</v>
      </c>
    </row>
    <row r="41" spans="1:6" ht="15.75" x14ac:dyDescent="0.25">
      <c r="A41" s="21">
        <v>32</v>
      </c>
      <c r="B41" s="11" t="s">
        <v>152</v>
      </c>
      <c r="C41" s="45">
        <v>566.29999999999995</v>
      </c>
      <c r="D41" s="49">
        <f>566.3-0.3</f>
        <v>566</v>
      </c>
      <c r="E41" s="49">
        <f t="shared" si="2"/>
        <v>-0.3</v>
      </c>
      <c r="F41" s="49">
        <f t="shared" si="0"/>
        <v>99.9</v>
      </c>
    </row>
    <row r="42" spans="1:6" ht="31.5" x14ac:dyDescent="0.25">
      <c r="A42" s="21">
        <v>33</v>
      </c>
      <c r="B42" s="23" t="s">
        <v>324</v>
      </c>
      <c r="C42" s="49">
        <f>+C43+C44+C45+C46</f>
        <v>2774</v>
      </c>
      <c r="D42" s="49">
        <f>+D43+D44+D45+D46</f>
        <v>2997</v>
      </c>
      <c r="E42" s="49">
        <f>+E43+E44+E45+E46</f>
        <v>223</v>
      </c>
      <c r="F42" s="49">
        <f t="shared" si="0"/>
        <v>108</v>
      </c>
    </row>
    <row r="43" spans="1:6" ht="15.75" x14ac:dyDescent="0.25">
      <c r="A43" s="21">
        <v>34</v>
      </c>
      <c r="B43" s="25" t="s">
        <v>153</v>
      </c>
      <c r="C43" s="49">
        <v>474</v>
      </c>
      <c r="D43" s="49">
        <v>474</v>
      </c>
      <c r="E43" s="49">
        <f>+D43-C43</f>
        <v>0</v>
      </c>
      <c r="F43" s="49">
        <f t="shared" si="0"/>
        <v>100</v>
      </c>
    </row>
    <row r="44" spans="1:6" ht="31.5" x14ac:dyDescent="0.25">
      <c r="A44" s="21">
        <v>35</v>
      </c>
      <c r="B44" s="23" t="s">
        <v>154</v>
      </c>
      <c r="C44" s="49">
        <v>1000</v>
      </c>
      <c r="D44" s="49">
        <v>1000</v>
      </c>
      <c r="E44" s="49">
        <f>+D44-C44</f>
        <v>0</v>
      </c>
      <c r="F44" s="49">
        <f t="shared" si="0"/>
        <v>100</v>
      </c>
    </row>
    <row r="45" spans="1:6" ht="15.75" x14ac:dyDescent="0.25">
      <c r="A45" s="21">
        <v>36</v>
      </c>
      <c r="B45" s="23" t="s">
        <v>294</v>
      </c>
      <c r="C45" s="49">
        <v>1300</v>
      </c>
      <c r="D45" s="49">
        <v>1300</v>
      </c>
      <c r="E45" s="49">
        <f>+D45-C45</f>
        <v>0</v>
      </c>
      <c r="F45" s="49">
        <f t="shared" si="0"/>
        <v>100</v>
      </c>
    </row>
    <row r="46" spans="1:6" ht="31.5" x14ac:dyDescent="0.25">
      <c r="A46" s="21">
        <v>37</v>
      </c>
      <c r="B46" s="23" t="s">
        <v>325</v>
      </c>
      <c r="C46" s="49"/>
      <c r="D46" s="49">
        <v>223</v>
      </c>
      <c r="E46" s="49">
        <f>+D46-C46</f>
        <v>223</v>
      </c>
      <c r="F46" s="49"/>
    </row>
    <row r="47" spans="1:6" ht="15.75" x14ac:dyDescent="0.25">
      <c r="A47" s="21">
        <v>38</v>
      </c>
      <c r="B47" s="23" t="s">
        <v>155</v>
      </c>
      <c r="C47" s="49">
        <v>102721</v>
      </c>
      <c r="D47" s="49">
        <v>102681.1</v>
      </c>
      <c r="E47" s="49">
        <f>+D47-C47</f>
        <v>-39.9</v>
      </c>
      <c r="F47" s="49">
        <f t="shared" si="0"/>
        <v>100</v>
      </c>
    </row>
    <row r="48" spans="1:6" ht="15.75" x14ac:dyDescent="0.25">
      <c r="A48" s="21">
        <v>39</v>
      </c>
      <c r="B48" s="23" t="s">
        <v>326</v>
      </c>
      <c r="C48" s="49">
        <f>+C49+C50+C51</f>
        <v>6931.7</v>
      </c>
      <c r="D48" s="49">
        <f>+D49+D50+D51</f>
        <v>6904.9</v>
      </c>
      <c r="E48" s="49">
        <f>+E49+E50+E51</f>
        <v>-26.8</v>
      </c>
      <c r="F48" s="49">
        <f t="shared" si="0"/>
        <v>99.6</v>
      </c>
    </row>
    <row r="49" spans="1:6" ht="15.75" x14ac:dyDescent="0.25">
      <c r="A49" s="21">
        <v>40</v>
      </c>
      <c r="B49" s="23" t="s">
        <v>156</v>
      </c>
      <c r="C49" s="49">
        <v>2100.6999999999998</v>
      </c>
      <c r="D49" s="49">
        <v>2092.1999999999998</v>
      </c>
      <c r="E49" s="49">
        <f>+D49-C49</f>
        <v>-8.5</v>
      </c>
      <c r="F49" s="49">
        <f t="shared" si="0"/>
        <v>99.6</v>
      </c>
    </row>
    <row r="50" spans="1:6" ht="15.75" x14ac:dyDescent="0.25">
      <c r="A50" s="21">
        <v>41</v>
      </c>
      <c r="B50" s="23" t="s">
        <v>157</v>
      </c>
      <c r="C50" s="49">
        <v>1908</v>
      </c>
      <c r="D50" s="49">
        <v>1901.1</v>
      </c>
      <c r="E50" s="49">
        <f>+D50-C50</f>
        <v>-6.9</v>
      </c>
      <c r="F50" s="49">
        <f t="shared" si="0"/>
        <v>99.6</v>
      </c>
    </row>
    <row r="51" spans="1:6" ht="15.75" x14ac:dyDescent="0.25">
      <c r="A51" s="21">
        <v>42</v>
      </c>
      <c r="B51" s="23" t="s">
        <v>158</v>
      </c>
      <c r="C51" s="49">
        <v>2923</v>
      </c>
      <c r="D51" s="49">
        <v>2911.6</v>
      </c>
      <c r="E51" s="49">
        <f>+D51-C51</f>
        <v>-11.4</v>
      </c>
      <c r="F51" s="49">
        <f t="shared" si="0"/>
        <v>99.6</v>
      </c>
    </row>
    <row r="52" spans="1:6" ht="31.5" x14ac:dyDescent="0.25">
      <c r="A52" s="21">
        <v>43</v>
      </c>
      <c r="B52" s="23" t="s">
        <v>159</v>
      </c>
      <c r="C52" s="49">
        <v>59</v>
      </c>
      <c r="D52" s="49">
        <v>59</v>
      </c>
      <c r="E52" s="49">
        <f>+D52-C52</f>
        <v>0</v>
      </c>
      <c r="F52" s="49">
        <f t="shared" si="0"/>
        <v>100</v>
      </c>
    </row>
    <row r="53" spans="1:6" s="10" customFormat="1" ht="15.75" x14ac:dyDescent="0.25">
      <c r="A53" s="21">
        <v>44</v>
      </c>
      <c r="B53" s="22" t="s">
        <v>327</v>
      </c>
      <c r="C53" s="50">
        <f>+C55+C54+C56</f>
        <v>338.1</v>
      </c>
      <c r="D53" s="50">
        <f>+D55+D54+D56</f>
        <v>581.1</v>
      </c>
      <c r="E53" s="50">
        <f>+E55+E54+E56</f>
        <v>243</v>
      </c>
      <c r="F53" s="50">
        <f t="shared" si="0"/>
        <v>171.9</v>
      </c>
    </row>
    <row r="54" spans="1:6" ht="15.75" x14ac:dyDescent="0.25">
      <c r="A54" s="21">
        <v>45</v>
      </c>
      <c r="B54" s="23" t="s">
        <v>295</v>
      </c>
      <c r="C54" s="49">
        <v>324</v>
      </c>
      <c r="D54" s="49">
        <v>321.60000000000002</v>
      </c>
      <c r="E54" s="49">
        <f>+D54-C54</f>
        <v>-2.4</v>
      </c>
      <c r="F54" s="49">
        <f t="shared" si="0"/>
        <v>99.3</v>
      </c>
    </row>
    <row r="55" spans="1:6" ht="15.75" x14ac:dyDescent="0.25">
      <c r="A55" s="21">
        <v>46</v>
      </c>
      <c r="B55" s="23" t="s">
        <v>303</v>
      </c>
      <c r="C55" s="49">
        <v>14.1</v>
      </c>
      <c r="D55" s="49">
        <v>14</v>
      </c>
      <c r="E55" s="49">
        <f>+D55-C55</f>
        <v>-0.1</v>
      </c>
      <c r="F55" s="49">
        <f t="shared" si="0"/>
        <v>99.3</v>
      </c>
    </row>
    <row r="56" spans="1:6" ht="31.5" x14ac:dyDescent="0.25">
      <c r="A56" s="21">
        <v>47</v>
      </c>
      <c r="B56" s="23" t="s">
        <v>359</v>
      </c>
      <c r="C56" s="49"/>
      <c r="D56" s="49">
        <v>245.5</v>
      </c>
      <c r="E56" s="49">
        <f>+D56-C56</f>
        <v>245.5</v>
      </c>
      <c r="F56" s="49"/>
    </row>
    <row r="57" spans="1:6" ht="15.75" x14ac:dyDescent="0.25">
      <c r="A57" s="21">
        <v>48</v>
      </c>
      <c r="B57" s="22" t="s">
        <v>328</v>
      </c>
      <c r="C57" s="50">
        <f>SUM(C58:C67)</f>
        <v>39059.199999999997</v>
      </c>
      <c r="D57" s="50">
        <f>SUM(D58:D67)</f>
        <v>42047.7</v>
      </c>
      <c r="E57" s="50">
        <f>SUM(E58:E67)</f>
        <v>2988.5</v>
      </c>
      <c r="F57" s="50">
        <f t="shared" si="0"/>
        <v>107.7</v>
      </c>
    </row>
    <row r="58" spans="1:6" ht="15.75" x14ac:dyDescent="0.25">
      <c r="A58" s="21">
        <v>49</v>
      </c>
      <c r="B58" s="23" t="s">
        <v>160</v>
      </c>
      <c r="C58" s="49">
        <v>110</v>
      </c>
      <c r="D58" s="49">
        <v>254.8</v>
      </c>
      <c r="E58" s="49">
        <f t="shared" ref="E58:E67" si="3">+D58-C58</f>
        <v>144.80000000000001</v>
      </c>
      <c r="F58" s="49">
        <f t="shared" si="0"/>
        <v>231.6</v>
      </c>
    </row>
    <row r="59" spans="1:6" ht="15.75" x14ac:dyDescent="0.25">
      <c r="A59" s="21">
        <v>50</v>
      </c>
      <c r="B59" s="23" t="s">
        <v>161</v>
      </c>
      <c r="C59" s="49">
        <v>6062.6</v>
      </c>
      <c r="D59" s="49">
        <v>6062.6</v>
      </c>
      <c r="E59" s="49">
        <f t="shared" si="3"/>
        <v>0</v>
      </c>
      <c r="F59" s="49">
        <f t="shared" si="0"/>
        <v>100</v>
      </c>
    </row>
    <row r="60" spans="1:6" ht="31.5" x14ac:dyDescent="0.25">
      <c r="A60" s="21">
        <v>51</v>
      </c>
      <c r="B60" s="23" t="s">
        <v>162</v>
      </c>
      <c r="C60" s="49">
        <v>7100</v>
      </c>
      <c r="D60" s="49">
        <v>7656.7</v>
      </c>
      <c r="E60" s="49">
        <f t="shared" si="3"/>
        <v>556.70000000000005</v>
      </c>
      <c r="F60" s="49">
        <f t="shared" si="0"/>
        <v>107.8</v>
      </c>
    </row>
    <row r="61" spans="1:6" ht="15.75" x14ac:dyDescent="0.25">
      <c r="A61" s="21">
        <v>52</v>
      </c>
      <c r="B61" s="23" t="s">
        <v>163</v>
      </c>
      <c r="C61" s="49">
        <v>221.1</v>
      </c>
      <c r="D61" s="49">
        <v>225.1</v>
      </c>
      <c r="E61" s="49">
        <f t="shared" si="3"/>
        <v>4</v>
      </c>
      <c r="F61" s="49">
        <f t="shared" si="0"/>
        <v>101.8</v>
      </c>
    </row>
    <row r="62" spans="1:6" ht="15.75" x14ac:dyDescent="0.25">
      <c r="A62" s="21">
        <v>53</v>
      </c>
      <c r="B62" s="23" t="s">
        <v>164</v>
      </c>
      <c r="C62" s="49">
        <v>4921.2</v>
      </c>
      <c r="D62" s="49">
        <v>5353.2</v>
      </c>
      <c r="E62" s="49">
        <f t="shared" si="3"/>
        <v>432</v>
      </c>
      <c r="F62" s="49">
        <f t="shared" si="0"/>
        <v>108.8</v>
      </c>
    </row>
    <row r="63" spans="1:6" ht="15.75" x14ac:dyDescent="0.25">
      <c r="A63" s="21">
        <v>54</v>
      </c>
      <c r="B63" s="23" t="s">
        <v>165</v>
      </c>
      <c r="C63" s="49">
        <v>3802.7</v>
      </c>
      <c r="D63" s="49">
        <v>4024.8</v>
      </c>
      <c r="E63" s="49">
        <f t="shared" si="3"/>
        <v>222.1</v>
      </c>
      <c r="F63" s="49">
        <f t="shared" si="0"/>
        <v>105.8</v>
      </c>
    </row>
    <row r="64" spans="1:6" ht="15.75" x14ac:dyDescent="0.25">
      <c r="A64" s="21">
        <v>55</v>
      </c>
      <c r="B64" s="23" t="s">
        <v>166</v>
      </c>
      <c r="C64" s="49">
        <v>15547.6</v>
      </c>
      <c r="D64" s="49">
        <v>16727.099999999999</v>
      </c>
      <c r="E64" s="49">
        <f t="shared" si="3"/>
        <v>1179.5</v>
      </c>
      <c r="F64" s="49">
        <f t="shared" si="0"/>
        <v>107.6</v>
      </c>
    </row>
    <row r="65" spans="1:6" ht="15.75" x14ac:dyDescent="0.25">
      <c r="A65" s="21">
        <v>56</v>
      </c>
      <c r="B65" s="23" t="s">
        <v>167</v>
      </c>
      <c r="C65" s="49">
        <v>700</v>
      </c>
      <c r="D65" s="49">
        <v>762.7</v>
      </c>
      <c r="E65" s="49">
        <f t="shared" si="3"/>
        <v>62.7</v>
      </c>
      <c r="F65" s="49">
        <f t="shared" si="0"/>
        <v>109</v>
      </c>
    </row>
    <row r="66" spans="1:6" ht="15.75" x14ac:dyDescent="0.25">
      <c r="A66" s="21">
        <v>57</v>
      </c>
      <c r="B66" s="23" t="s">
        <v>168</v>
      </c>
      <c r="C66" s="49">
        <v>274</v>
      </c>
      <c r="D66" s="49">
        <v>312.7</v>
      </c>
      <c r="E66" s="49">
        <f t="shared" si="3"/>
        <v>38.700000000000003</v>
      </c>
      <c r="F66" s="49">
        <f t="shared" si="0"/>
        <v>114.1</v>
      </c>
    </row>
    <row r="67" spans="1:6" ht="15.75" x14ac:dyDescent="0.25">
      <c r="A67" s="21">
        <v>58</v>
      </c>
      <c r="B67" s="23" t="s">
        <v>169</v>
      </c>
      <c r="C67" s="49">
        <v>320</v>
      </c>
      <c r="D67" s="49">
        <v>668</v>
      </c>
      <c r="E67" s="49">
        <f t="shared" si="3"/>
        <v>348</v>
      </c>
      <c r="F67" s="49">
        <f t="shared" si="0"/>
        <v>208.8</v>
      </c>
    </row>
    <row r="68" spans="1:6" ht="31.5" x14ac:dyDescent="0.25">
      <c r="A68" s="21">
        <v>59</v>
      </c>
      <c r="B68" s="22" t="s">
        <v>329</v>
      </c>
      <c r="C68" s="50">
        <f>+C69</f>
        <v>1800</v>
      </c>
      <c r="D68" s="50">
        <f>+D69</f>
        <v>8718.2999999999993</v>
      </c>
      <c r="E68" s="50">
        <f>+E69</f>
        <v>6918.3</v>
      </c>
      <c r="F68" s="50">
        <f t="shared" si="0"/>
        <v>484.4</v>
      </c>
    </row>
    <row r="69" spans="1:6" ht="15.75" x14ac:dyDescent="0.25">
      <c r="A69" s="21">
        <v>60</v>
      </c>
      <c r="B69" s="22" t="s">
        <v>330</v>
      </c>
      <c r="C69" s="50">
        <f>+C70+C71+C72</f>
        <v>1800</v>
      </c>
      <c r="D69" s="50">
        <f>+D70+D71+D72</f>
        <v>8718.2999999999993</v>
      </c>
      <c r="E69" s="50">
        <f>+E70+E71+E72</f>
        <v>6918.3</v>
      </c>
      <c r="F69" s="50">
        <f t="shared" si="0"/>
        <v>484.4</v>
      </c>
    </row>
    <row r="70" spans="1:6" ht="15.75" x14ac:dyDescent="0.25">
      <c r="A70" s="21">
        <v>61</v>
      </c>
      <c r="B70" s="23" t="s">
        <v>170</v>
      </c>
      <c r="C70" s="49">
        <v>1500</v>
      </c>
      <c r="D70" s="49">
        <v>8205.1</v>
      </c>
      <c r="E70" s="49">
        <f>+D70-C70</f>
        <v>6705.1</v>
      </c>
      <c r="F70" s="49">
        <f t="shared" si="0"/>
        <v>547</v>
      </c>
    </row>
    <row r="71" spans="1:6" ht="15.75" x14ac:dyDescent="0.25">
      <c r="A71" s="21">
        <v>62</v>
      </c>
      <c r="B71" s="23" t="s">
        <v>171</v>
      </c>
      <c r="C71" s="49">
        <v>300</v>
      </c>
      <c r="D71" s="49">
        <v>327.2</v>
      </c>
      <c r="E71" s="49">
        <f>+D71-C71</f>
        <v>27.2</v>
      </c>
      <c r="F71" s="49">
        <f t="shared" si="0"/>
        <v>109.1</v>
      </c>
    </row>
    <row r="72" spans="1:6" ht="15.75" x14ac:dyDescent="0.25">
      <c r="A72" s="21">
        <v>63</v>
      </c>
      <c r="B72" s="23" t="s">
        <v>331</v>
      </c>
      <c r="C72" s="49"/>
      <c r="D72" s="49">
        <v>186</v>
      </c>
      <c r="E72" s="49">
        <f>+D72-C72</f>
        <v>186</v>
      </c>
      <c r="F72" s="50"/>
    </row>
    <row r="73" spans="1:6" ht="15.75" x14ac:dyDescent="0.25">
      <c r="A73" s="21">
        <v>64</v>
      </c>
      <c r="B73" s="24" t="s">
        <v>332</v>
      </c>
      <c r="C73" s="50">
        <f>+C10+C18+C57+C68</f>
        <v>404378.6</v>
      </c>
      <c r="D73" s="50">
        <f>+D10+D18+D57+D68</f>
        <v>420892</v>
      </c>
      <c r="E73" s="50">
        <f>+E10+E18+E57+E68</f>
        <v>16513.400000000001</v>
      </c>
      <c r="F73" s="50">
        <f t="shared" si="0"/>
        <v>104.1</v>
      </c>
    </row>
    <row r="74" spans="1:6" ht="15.75" x14ac:dyDescent="0.25">
      <c r="A74" s="21">
        <v>65</v>
      </c>
      <c r="B74" s="48" t="s">
        <v>290</v>
      </c>
      <c r="C74" s="51">
        <v>4201.3</v>
      </c>
      <c r="D74" s="50">
        <v>4201.3</v>
      </c>
      <c r="E74" s="50">
        <f>+D74-C74</f>
        <v>0</v>
      </c>
      <c r="F74" s="50">
        <v>100</v>
      </c>
    </row>
    <row r="75" spans="1:6" ht="15.75" x14ac:dyDescent="0.25">
      <c r="A75" s="21">
        <v>66</v>
      </c>
      <c r="B75" s="48" t="s">
        <v>339</v>
      </c>
      <c r="C75" s="53">
        <f>+C73+C74</f>
        <v>408579.9</v>
      </c>
      <c r="D75" s="53">
        <f t="shared" ref="D75:E75" si="4">+D73+D74</f>
        <v>425093.3</v>
      </c>
      <c r="E75" s="53">
        <f t="shared" si="4"/>
        <v>16513.400000000001</v>
      </c>
      <c r="F75" s="53">
        <f>+D75/C75*100</f>
        <v>104</v>
      </c>
    </row>
    <row r="76" spans="1:6" ht="15.75" x14ac:dyDescent="0.25">
      <c r="A76" s="1"/>
      <c r="B76" s="1"/>
      <c r="C76" s="1"/>
      <c r="D76" s="1"/>
      <c r="E76" s="1"/>
      <c r="F76" s="1"/>
    </row>
  </sheetData>
  <mergeCells count="4">
    <mergeCell ref="C1:F1"/>
    <mergeCell ref="C2:F2"/>
    <mergeCell ref="C3:F3"/>
    <mergeCell ref="A5:F5"/>
  </mergeCells>
  <pageMargins left="0.78740157480314965" right="0.39370078740157483" top="0.98425196850393704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0"/>
  <sheetViews>
    <sheetView showZeros="0" zoomScale="80" zoomScaleNormal="80" workbookViewId="0">
      <pane xSplit="2" ySplit="7" topLeftCell="C146" activePane="bottomRight" state="frozen"/>
      <selection pane="topRight" activeCell="C1" sqref="C1"/>
      <selection pane="bottomLeft" activeCell="A7" sqref="A7"/>
      <selection pane="bottomRight" activeCell="N149" sqref="N149"/>
    </sheetView>
  </sheetViews>
  <sheetFormatPr defaultColWidth="10.140625" defaultRowHeight="15" x14ac:dyDescent="0.2"/>
  <cols>
    <col min="1" max="1" width="6" style="31" customWidth="1"/>
    <col min="2" max="2" width="44" style="2" customWidth="1"/>
    <col min="3" max="3" width="10.85546875" style="2" customWidth="1"/>
    <col min="4" max="4" width="11.7109375" style="2" bestFit="1" customWidth="1"/>
    <col min="5" max="5" width="10.28515625" style="2" bestFit="1" customWidth="1"/>
    <col min="6" max="6" width="8" style="2" customWidth="1"/>
    <col min="7" max="7" width="10.5703125" style="2" customWidth="1"/>
    <col min="8" max="8" width="11.7109375" style="2" bestFit="1" customWidth="1"/>
    <col min="9" max="9" width="10.42578125" style="2" customWidth="1"/>
    <col min="10" max="10" width="11.7109375" style="2" bestFit="1" customWidth="1"/>
    <col min="11" max="11" width="10.5703125" style="2" bestFit="1" customWidth="1"/>
    <col min="12" max="12" width="10.42578125" style="2" customWidth="1"/>
    <col min="13" max="13" width="10.140625" style="2" customWidth="1"/>
    <col min="14" max="159" width="10.140625" style="2"/>
    <col min="160" max="160" width="6" style="2" customWidth="1"/>
    <col min="161" max="161" width="44" style="2" customWidth="1"/>
    <col min="162" max="162" width="9.85546875" style="2" customWidth="1"/>
    <col min="163" max="163" width="12.42578125" style="2" customWidth="1"/>
    <col min="164" max="164" width="9.85546875" style="2" customWidth="1"/>
    <col min="165" max="165" width="8.7109375" style="2" customWidth="1"/>
    <col min="166" max="166" width="10.42578125" style="2" customWidth="1"/>
    <col min="167" max="415" width="10.140625" style="2"/>
    <col min="416" max="416" width="6" style="2" customWidth="1"/>
    <col min="417" max="417" width="44" style="2" customWidth="1"/>
    <col min="418" max="418" width="9.85546875" style="2" customWidth="1"/>
    <col min="419" max="419" width="12.42578125" style="2" customWidth="1"/>
    <col min="420" max="420" width="9.85546875" style="2" customWidth="1"/>
    <col min="421" max="421" width="8.7109375" style="2" customWidth="1"/>
    <col min="422" max="422" width="10.42578125" style="2" customWidth="1"/>
    <col min="423" max="671" width="10.140625" style="2"/>
    <col min="672" max="672" width="6" style="2" customWidth="1"/>
    <col min="673" max="673" width="44" style="2" customWidth="1"/>
    <col min="674" max="674" width="9.85546875" style="2" customWidth="1"/>
    <col min="675" max="675" width="12.42578125" style="2" customWidth="1"/>
    <col min="676" max="676" width="9.85546875" style="2" customWidth="1"/>
    <col min="677" max="677" width="8.7109375" style="2" customWidth="1"/>
    <col min="678" max="678" width="10.42578125" style="2" customWidth="1"/>
    <col min="679" max="927" width="10.140625" style="2"/>
    <col min="928" max="928" width="6" style="2" customWidth="1"/>
    <col min="929" max="929" width="44" style="2" customWidth="1"/>
    <col min="930" max="930" width="9.85546875" style="2" customWidth="1"/>
    <col min="931" max="931" width="12.42578125" style="2" customWidth="1"/>
    <col min="932" max="932" width="9.85546875" style="2" customWidth="1"/>
    <col min="933" max="933" width="8.7109375" style="2" customWidth="1"/>
    <col min="934" max="934" width="10.42578125" style="2" customWidth="1"/>
    <col min="935" max="1183" width="10.140625" style="2"/>
    <col min="1184" max="1184" width="6" style="2" customWidth="1"/>
    <col min="1185" max="1185" width="44" style="2" customWidth="1"/>
    <col min="1186" max="1186" width="9.85546875" style="2" customWidth="1"/>
    <col min="1187" max="1187" width="12.42578125" style="2" customWidth="1"/>
    <col min="1188" max="1188" width="9.85546875" style="2" customWidth="1"/>
    <col min="1189" max="1189" width="8.7109375" style="2" customWidth="1"/>
    <col min="1190" max="1190" width="10.42578125" style="2" customWidth="1"/>
    <col min="1191" max="1439" width="10.140625" style="2"/>
    <col min="1440" max="1440" width="6" style="2" customWidth="1"/>
    <col min="1441" max="1441" width="44" style="2" customWidth="1"/>
    <col min="1442" max="1442" width="9.85546875" style="2" customWidth="1"/>
    <col min="1443" max="1443" width="12.42578125" style="2" customWidth="1"/>
    <col min="1444" max="1444" width="9.85546875" style="2" customWidth="1"/>
    <col min="1445" max="1445" width="8.7109375" style="2" customWidth="1"/>
    <col min="1446" max="1446" width="10.42578125" style="2" customWidth="1"/>
    <col min="1447" max="1695" width="10.140625" style="2"/>
    <col min="1696" max="1696" width="6" style="2" customWidth="1"/>
    <col min="1697" max="1697" width="44" style="2" customWidth="1"/>
    <col min="1698" max="1698" width="9.85546875" style="2" customWidth="1"/>
    <col min="1699" max="1699" width="12.42578125" style="2" customWidth="1"/>
    <col min="1700" max="1700" width="9.85546875" style="2" customWidth="1"/>
    <col min="1701" max="1701" width="8.7109375" style="2" customWidth="1"/>
    <col min="1702" max="1702" width="10.42578125" style="2" customWidth="1"/>
    <col min="1703" max="1951" width="10.140625" style="2"/>
    <col min="1952" max="1952" width="6" style="2" customWidth="1"/>
    <col min="1953" max="1953" width="44" style="2" customWidth="1"/>
    <col min="1954" max="1954" width="9.85546875" style="2" customWidth="1"/>
    <col min="1955" max="1955" width="12.42578125" style="2" customWidth="1"/>
    <col min="1956" max="1956" width="9.85546875" style="2" customWidth="1"/>
    <col min="1957" max="1957" width="8.7109375" style="2" customWidth="1"/>
    <col min="1958" max="1958" width="10.42578125" style="2" customWidth="1"/>
    <col min="1959" max="2207" width="10.140625" style="2"/>
    <col min="2208" max="2208" width="6" style="2" customWidth="1"/>
    <col min="2209" max="2209" width="44" style="2" customWidth="1"/>
    <col min="2210" max="2210" width="9.85546875" style="2" customWidth="1"/>
    <col min="2211" max="2211" width="12.42578125" style="2" customWidth="1"/>
    <col min="2212" max="2212" width="9.85546875" style="2" customWidth="1"/>
    <col min="2213" max="2213" width="8.7109375" style="2" customWidth="1"/>
    <col min="2214" max="2214" width="10.42578125" style="2" customWidth="1"/>
    <col min="2215" max="2463" width="10.140625" style="2"/>
    <col min="2464" max="2464" width="6" style="2" customWidth="1"/>
    <col min="2465" max="2465" width="44" style="2" customWidth="1"/>
    <col min="2466" max="2466" width="9.85546875" style="2" customWidth="1"/>
    <col min="2467" max="2467" width="12.42578125" style="2" customWidth="1"/>
    <col min="2468" max="2468" width="9.85546875" style="2" customWidth="1"/>
    <col min="2469" max="2469" width="8.7109375" style="2" customWidth="1"/>
    <col min="2470" max="2470" width="10.42578125" style="2" customWidth="1"/>
    <col min="2471" max="2719" width="10.140625" style="2"/>
    <col min="2720" max="2720" width="6" style="2" customWidth="1"/>
    <col min="2721" max="2721" width="44" style="2" customWidth="1"/>
    <col min="2722" max="2722" width="9.85546875" style="2" customWidth="1"/>
    <col min="2723" max="2723" width="12.42578125" style="2" customWidth="1"/>
    <col min="2724" max="2724" width="9.85546875" style="2" customWidth="1"/>
    <col min="2725" max="2725" width="8.7109375" style="2" customWidth="1"/>
    <col min="2726" max="2726" width="10.42578125" style="2" customWidth="1"/>
    <col min="2727" max="2975" width="10.140625" style="2"/>
    <col min="2976" max="2976" width="6" style="2" customWidth="1"/>
    <col min="2977" max="2977" width="44" style="2" customWidth="1"/>
    <col min="2978" max="2978" width="9.85546875" style="2" customWidth="1"/>
    <col min="2979" max="2979" width="12.42578125" style="2" customWidth="1"/>
    <col min="2980" max="2980" width="9.85546875" style="2" customWidth="1"/>
    <col min="2981" max="2981" width="8.7109375" style="2" customWidth="1"/>
    <col min="2982" max="2982" width="10.42578125" style="2" customWidth="1"/>
    <col min="2983" max="3231" width="10.140625" style="2"/>
    <col min="3232" max="3232" width="6" style="2" customWidth="1"/>
    <col min="3233" max="3233" width="44" style="2" customWidth="1"/>
    <col min="3234" max="3234" width="9.85546875" style="2" customWidth="1"/>
    <col min="3235" max="3235" width="12.42578125" style="2" customWidth="1"/>
    <col min="3236" max="3236" width="9.85546875" style="2" customWidth="1"/>
    <col min="3237" max="3237" width="8.7109375" style="2" customWidth="1"/>
    <col min="3238" max="3238" width="10.42578125" style="2" customWidth="1"/>
    <col min="3239" max="3487" width="10.140625" style="2"/>
    <col min="3488" max="3488" width="6" style="2" customWidth="1"/>
    <col min="3489" max="3489" width="44" style="2" customWidth="1"/>
    <col min="3490" max="3490" width="9.85546875" style="2" customWidth="1"/>
    <col min="3491" max="3491" width="12.42578125" style="2" customWidth="1"/>
    <col min="3492" max="3492" width="9.85546875" style="2" customWidth="1"/>
    <col min="3493" max="3493" width="8.7109375" style="2" customWidth="1"/>
    <col min="3494" max="3494" width="10.42578125" style="2" customWidth="1"/>
    <col min="3495" max="3743" width="10.140625" style="2"/>
    <col min="3744" max="3744" width="6" style="2" customWidth="1"/>
    <col min="3745" max="3745" width="44" style="2" customWidth="1"/>
    <col min="3746" max="3746" width="9.85546875" style="2" customWidth="1"/>
    <col min="3747" max="3747" width="12.42578125" style="2" customWidth="1"/>
    <col min="3748" max="3748" width="9.85546875" style="2" customWidth="1"/>
    <col min="3749" max="3749" width="8.7109375" style="2" customWidth="1"/>
    <col min="3750" max="3750" width="10.42578125" style="2" customWidth="1"/>
    <col min="3751" max="3999" width="10.140625" style="2"/>
    <col min="4000" max="4000" width="6" style="2" customWidth="1"/>
    <col min="4001" max="4001" width="44" style="2" customWidth="1"/>
    <col min="4002" max="4002" width="9.85546875" style="2" customWidth="1"/>
    <col min="4003" max="4003" width="12.42578125" style="2" customWidth="1"/>
    <col min="4004" max="4004" width="9.85546875" style="2" customWidth="1"/>
    <col min="4005" max="4005" width="8.7109375" style="2" customWidth="1"/>
    <col min="4006" max="4006" width="10.42578125" style="2" customWidth="1"/>
    <col min="4007" max="4255" width="10.140625" style="2"/>
    <col min="4256" max="4256" width="6" style="2" customWidth="1"/>
    <col min="4257" max="4257" width="44" style="2" customWidth="1"/>
    <col min="4258" max="4258" width="9.85546875" style="2" customWidth="1"/>
    <col min="4259" max="4259" width="12.42578125" style="2" customWidth="1"/>
    <col min="4260" max="4260" width="9.85546875" style="2" customWidth="1"/>
    <col min="4261" max="4261" width="8.7109375" style="2" customWidth="1"/>
    <col min="4262" max="4262" width="10.42578125" style="2" customWidth="1"/>
    <col min="4263" max="4511" width="10.140625" style="2"/>
    <col min="4512" max="4512" width="6" style="2" customWidth="1"/>
    <col min="4513" max="4513" width="44" style="2" customWidth="1"/>
    <col min="4514" max="4514" width="9.85546875" style="2" customWidth="1"/>
    <col min="4515" max="4515" width="12.42578125" style="2" customWidth="1"/>
    <col min="4516" max="4516" width="9.85546875" style="2" customWidth="1"/>
    <col min="4517" max="4517" width="8.7109375" style="2" customWidth="1"/>
    <col min="4518" max="4518" width="10.42578125" style="2" customWidth="1"/>
    <col min="4519" max="4767" width="10.140625" style="2"/>
    <col min="4768" max="4768" width="6" style="2" customWidth="1"/>
    <col min="4769" max="4769" width="44" style="2" customWidth="1"/>
    <col min="4770" max="4770" width="9.85546875" style="2" customWidth="1"/>
    <col min="4771" max="4771" width="12.42578125" style="2" customWidth="1"/>
    <col min="4772" max="4772" width="9.85546875" style="2" customWidth="1"/>
    <col min="4773" max="4773" width="8.7109375" style="2" customWidth="1"/>
    <col min="4774" max="4774" width="10.42578125" style="2" customWidth="1"/>
    <col min="4775" max="5023" width="10.140625" style="2"/>
    <col min="5024" max="5024" width="6" style="2" customWidth="1"/>
    <col min="5025" max="5025" width="44" style="2" customWidth="1"/>
    <col min="5026" max="5026" width="9.85546875" style="2" customWidth="1"/>
    <col min="5027" max="5027" width="12.42578125" style="2" customWidth="1"/>
    <col min="5028" max="5028" width="9.85546875" style="2" customWidth="1"/>
    <col min="5029" max="5029" width="8.7109375" style="2" customWidth="1"/>
    <col min="5030" max="5030" width="10.42578125" style="2" customWidth="1"/>
    <col min="5031" max="5279" width="10.140625" style="2"/>
    <col min="5280" max="5280" width="6" style="2" customWidth="1"/>
    <col min="5281" max="5281" width="44" style="2" customWidth="1"/>
    <col min="5282" max="5282" width="9.85546875" style="2" customWidth="1"/>
    <col min="5283" max="5283" width="12.42578125" style="2" customWidth="1"/>
    <col min="5284" max="5284" width="9.85546875" style="2" customWidth="1"/>
    <col min="5285" max="5285" width="8.7109375" style="2" customWidth="1"/>
    <col min="5286" max="5286" width="10.42578125" style="2" customWidth="1"/>
    <col min="5287" max="5535" width="10.140625" style="2"/>
    <col min="5536" max="5536" width="6" style="2" customWidth="1"/>
    <col min="5537" max="5537" width="44" style="2" customWidth="1"/>
    <col min="5538" max="5538" width="9.85546875" style="2" customWidth="1"/>
    <col min="5539" max="5539" width="12.42578125" style="2" customWidth="1"/>
    <col min="5540" max="5540" width="9.85546875" style="2" customWidth="1"/>
    <col min="5541" max="5541" width="8.7109375" style="2" customWidth="1"/>
    <col min="5542" max="5542" width="10.42578125" style="2" customWidth="1"/>
    <col min="5543" max="5791" width="10.140625" style="2"/>
    <col min="5792" max="5792" width="6" style="2" customWidth="1"/>
    <col min="5793" max="5793" width="44" style="2" customWidth="1"/>
    <col min="5794" max="5794" width="9.85546875" style="2" customWidth="1"/>
    <col min="5795" max="5795" width="12.42578125" style="2" customWidth="1"/>
    <col min="5796" max="5796" width="9.85546875" style="2" customWidth="1"/>
    <col min="5797" max="5797" width="8.7109375" style="2" customWidth="1"/>
    <col min="5798" max="5798" width="10.42578125" style="2" customWidth="1"/>
    <col min="5799" max="6047" width="10.140625" style="2"/>
    <col min="6048" max="6048" width="6" style="2" customWidth="1"/>
    <col min="6049" max="6049" width="44" style="2" customWidth="1"/>
    <col min="6050" max="6050" width="9.85546875" style="2" customWidth="1"/>
    <col min="6051" max="6051" width="12.42578125" style="2" customWidth="1"/>
    <col min="6052" max="6052" width="9.85546875" style="2" customWidth="1"/>
    <col min="6053" max="6053" width="8.7109375" style="2" customWidth="1"/>
    <col min="6054" max="6054" width="10.42578125" style="2" customWidth="1"/>
    <col min="6055" max="6303" width="10.140625" style="2"/>
    <col min="6304" max="6304" width="6" style="2" customWidth="1"/>
    <col min="6305" max="6305" width="44" style="2" customWidth="1"/>
    <col min="6306" max="6306" width="9.85546875" style="2" customWidth="1"/>
    <col min="6307" max="6307" width="12.42578125" style="2" customWidth="1"/>
    <col min="6308" max="6308" width="9.85546875" style="2" customWidth="1"/>
    <col min="6309" max="6309" width="8.7109375" style="2" customWidth="1"/>
    <col min="6310" max="6310" width="10.42578125" style="2" customWidth="1"/>
    <col min="6311" max="6559" width="10.140625" style="2"/>
    <col min="6560" max="6560" width="6" style="2" customWidth="1"/>
    <col min="6561" max="6561" width="44" style="2" customWidth="1"/>
    <col min="6562" max="6562" width="9.85546875" style="2" customWidth="1"/>
    <col min="6563" max="6563" width="12.42578125" style="2" customWidth="1"/>
    <col min="6564" max="6564" width="9.85546875" style="2" customWidth="1"/>
    <col min="6565" max="6565" width="8.7109375" style="2" customWidth="1"/>
    <col min="6566" max="6566" width="10.42578125" style="2" customWidth="1"/>
    <col min="6567" max="6815" width="10.140625" style="2"/>
    <col min="6816" max="6816" width="6" style="2" customWidth="1"/>
    <col min="6817" max="6817" width="44" style="2" customWidth="1"/>
    <col min="6818" max="6818" width="9.85546875" style="2" customWidth="1"/>
    <col min="6819" max="6819" width="12.42578125" style="2" customWidth="1"/>
    <col min="6820" max="6820" width="9.85546875" style="2" customWidth="1"/>
    <col min="6821" max="6821" width="8.7109375" style="2" customWidth="1"/>
    <col min="6822" max="6822" width="10.42578125" style="2" customWidth="1"/>
    <col min="6823" max="7071" width="10.140625" style="2"/>
    <col min="7072" max="7072" width="6" style="2" customWidth="1"/>
    <col min="7073" max="7073" width="44" style="2" customWidth="1"/>
    <col min="7074" max="7074" width="9.85546875" style="2" customWidth="1"/>
    <col min="7075" max="7075" width="12.42578125" style="2" customWidth="1"/>
    <col min="7076" max="7076" width="9.85546875" style="2" customWidth="1"/>
    <col min="7077" max="7077" width="8.7109375" style="2" customWidth="1"/>
    <col min="7078" max="7078" width="10.42578125" style="2" customWidth="1"/>
    <col min="7079" max="7327" width="10.140625" style="2"/>
    <col min="7328" max="7328" width="6" style="2" customWidth="1"/>
    <col min="7329" max="7329" width="44" style="2" customWidth="1"/>
    <col min="7330" max="7330" width="9.85546875" style="2" customWidth="1"/>
    <col min="7331" max="7331" width="12.42578125" style="2" customWidth="1"/>
    <col min="7332" max="7332" width="9.85546875" style="2" customWidth="1"/>
    <col min="7333" max="7333" width="8.7109375" style="2" customWidth="1"/>
    <col min="7334" max="7334" width="10.42578125" style="2" customWidth="1"/>
    <col min="7335" max="7583" width="10.140625" style="2"/>
    <col min="7584" max="7584" width="6" style="2" customWidth="1"/>
    <col min="7585" max="7585" width="44" style="2" customWidth="1"/>
    <col min="7586" max="7586" width="9.85546875" style="2" customWidth="1"/>
    <col min="7587" max="7587" width="12.42578125" style="2" customWidth="1"/>
    <col min="7588" max="7588" width="9.85546875" style="2" customWidth="1"/>
    <col min="7589" max="7589" width="8.7109375" style="2" customWidth="1"/>
    <col min="7590" max="7590" width="10.42578125" style="2" customWidth="1"/>
    <col min="7591" max="7839" width="10.140625" style="2"/>
    <col min="7840" max="7840" width="6" style="2" customWidth="1"/>
    <col min="7841" max="7841" width="44" style="2" customWidth="1"/>
    <col min="7842" max="7842" width="9.85546875" style="2" customWidth="1"/>
    <col min="7843" max="7843" width="12.42578125" style="2" customWidth="1"/>
    <col min="7844" max="7844" width="9.85546875" style="2" customWidth="1"/>
    <col min="7845" max="7845" width="8.7109375" style="2" customWidth="1"/>
    <col min="7846" max="7846" width="10.42578125" style="2" customWidth="1"/>
    <col min="7847" max="8095" width="10.140625" style="2"/>
    <col min="8096" max="8096" width="6" style="2" customWidth="1"/>
    <col min="8097" max="8097" width="44" style="2" customWidth="1"/>
    <col min="8098" max="8098" width="9.85546875" style="2" customWidth="1"/>
    <col min="8099" max="8099" width="12.42578125" style="2" customWidth="1"/>
    <col min="8100" max="8100" width="9.85546875" style="2" customWidth="1"/>
    <col min="8101" max="8101" width="8.7109375" style="2" customWidth="1"/>
    <col min="8102" max="8102" width="10.42578125" style="2" customWidth="1"/>
    <col min="8103" max="8351" width="10.140625" style="2"/>
    <col min="8352" max="8352" width="6" style="2" customWidth="1"/>
    <col min="8353" max="8353" width="44" style="2" customWidth="1"/>
    <col min="8354" max="8354" width="9.85546875" style="2" customWidth="1"/>
    <col min="8355" max="8355" width="12.42578125" style="2" customWidth="1"/>
    <col min="8356" max="8356" width="9.85546875" style="2" customWidth="1"/>
    <col min="8357" max="8357" width="8.7109375" style="2" customWidth="1"/>
    <col min="8358" max="8358" width="10.42578125" style="2" customWidth="1"/>
    <col min="8359" max="8607" width="10.140625" style="2"/>
    <col min="8608" max="8608" width="6" style="2" customWidth="1"/>
    <col min="8609" max="8609" width="44" style="2" customWidth="1"/>
    <col min="8610" max="8610" width="9.85546875" style="2" customWidth="1"/>
    <col min="8611" max="8611" width="12.42578125" style="2" customWidth="1"/>
    <col min="8612" max="8612" width="9.85546875" style="2" customWidth="1"/>
    <col min="8613" max="8613" width="8.7109375" style="2" customWidth="1"/>
    <col min="8614" max="8614" width="10.42578125" style="2" customWidth="1"/>
    <col min="8615" max="8863" width="10.140625" style="2"/>
    <col min="8864" max="8864" width="6" style="2" customWidth="1"/>
    <col min="8865" max="8865" width="44" style="2" customWidth="1"/>
    <col min="8866" max="8866" width="9.85546875" style="2" customWidth="1"/>
    <col min="8867" max="8867" width="12.42578125" style="2" customWidth="1"/>
    <col min="8868" max="8868" width="9.85546875" style="2" customWidth="1"/>
    <col min="8869" max="8869" width="8.7109375" style="2" customWidth="1"/>
    <col min="8870" max="8870" width="10.42578125" style="2" customWidth="1"/>
    <col min="8871" max="9119" width="10.140625" style="2"/>
    <col min="9120" max="9120" width="6" style="2" customWidth="1"/>
    <col min="9121" max="9121" width="44" style="2" customWidth="1"/>
    <col min="9122" max="9122" width="9.85546875" style="2" customWidth="1"/>
    <col min="9123" max="9123" width="12.42578125" style="2" customWidth="1"/>
    <col min="9124" max="9124" width="9.85546875" style="2" customWidth="1"/>
    <col min="9125" max="9125" width="8.7109375" style="2" customWidth="1"/>
    <col min="9126" max="9126" width="10.42578125" style="2" customWidth="1"/>
    <col min="9127" max="9375" width="10.140625" style="2"/>
    <col min="9376" max="9376" width="6" style="2" customWidth="1"/>
    <col min="9377" max="9377" width="44" style="2" customWidth="1"/>
    <col min="9378" max="9378" width="9.85546875" style="2" customWidth="1"/>
    <col min="9379" max="9379" width="12.42578125" style="2" customWidth="1"/>
    <col min="9380" max="9380" width="9.85546875" style="2" customWidth="1"/>
    <col min="9381" max="9381" width="8.7109375" style="2" customWidth="1"/>
    <col min="9382" max="9382" width="10.42578125" style="2" customWidth="1"/>
    <col min="9383" max="9631" width="10.140625" style="2"/>
    <col min="9632" max="9632" width="6" style="2" customWidth="1"/>
    <col min="9633" max="9633" width="44" style="2" customWidth="1"/>
    <col min="9634" max="9634" width="9.85546875" style="2" customWidth="1"/>
    <col min="9635" max="9635" width="12.42578125" style="2" customWidth="1"/>
    <col min="9636" max="9636" width="9.85546875" style="2" customWidth="1"/>
    <col min="9637" max="9637" width="8.7109375" style="2" customWidth="1"/>
    <col min="9638" max="9638" width="10.42578125" style="2" customWidth="1"/>
    <col min="9639" max="9887" width="10.140625" style="2"/>
    <col min="9888" max="9888" width="6" style="2" customWidth="1"/>
    <col min="9889" max="9889" width="44" style="2" customWidth="1"/>
    <col min="9890" max="9890" width="9.85546875" style="2" customWidth="1"/>
    <col min="9891" max="9891" width="12.42578125" style="2" customWidth="1"/>
    <col min="9892" max="9892" width="9.85546875" style="2" customWidth="1"/>
    <col min="9893" max="9893" width="8.7109375" style="2" customWidth="1"/>
    <col min="9894" max="9894" width="10.42578125" style="2" customWidth="1"/>
    <col min="9895" max="10143" width="10.140625" style="2"/>
    <col min="10144" max="10144" width="6" style="2" customWidth="1"/>
    <col min="10145" max="10145" width="44" style="2" customWidth="1"/>
    <col min="10146" max="10146" width="9.85546875" style="2" customWidth="1"/>
    <col min="10147" max="10147" width="12.42578125" style="2" customWidth="1"/>
    <col min="10148" max="10148" width="9.85546875" style="2" customWidth="1"/>
    <col min="10149" max="10149" width="8.7109375" style="2" customWidth="1"/>
    <col min="10150" max="10150" width="10.42578125" style="2" customWidth="1"/>
    <col min="10151" max="10399" width="10.140625" style="2"/>
    <col min="10400" max="10400" width="6" style="2" customWidth="1"/>
    <col min="10401" max="10401" width="44" style="2" customWidth="1"/>
    <col min="10402" max="10402" width="9.85546875" style="2" customWidth="1"/>
    <col min="10403" max="10403" width="12.42578125" style="2" customWidth="1"/>
    <col min="10404" max="10404" width="9.85546875" style="2" customWidth="1"/>
    <col min="10405" max="10405" width="8.7109375" style="2" customWidth="1"/>
    <col min="10406" max="10406" width="10.42578125" style="2" customWidth="1"/>
    <col min="10407" max="10655" width="10.140625" style="2"/>
    <col min="10656" max="10656" width="6" style="2" customWidth="1"/>
    <col min="10657" max="10657" width="44" style="2" customWidth="1"/>
    <col min="10658" max="10658" width="9.85546875" style="2" customWidth="1"/>
    <col min="10659" max="10659" width="12.42578125" style="2" customWidth="1"/>
    <col min="10660" max="10660" width="9.85546875" style="2" customWidth="1"/>
    <col min="10661" max="10661" width="8.7109375" style="2" customWidth="1"/>
    <col min="10662" max="10662" width="10.42578125" style="2" customWidth="1"/>
    <col min="10663" max="10911" width="10.140625" style="2"/>
    <col min="10912" max="10912" width="6" style="2" customWidth="1"/>
    <col min="10913" max="10913" width="44" style="2" customWidth="1"/>
    <col min="10914" max="10914" width="9.85546875" style="2" customWidth="1"/>
    <col min="10915" max="10915" width="12.42578125" style="2" customWidth="1"/>
    <col min="10916" max="10916" width="9.85546875" style="2" customWidth="1"/>
    <col min="10917" max="10917" width="8.7109375" style="2" customWidth="1"/>
    <col min="10918" max="10918" width="10.42578125" style="2" customWidth="1"/>
    <col min="10919" max="11167" width="10.140625" style="2"/>
    <col min="11168" max="11168" width="6" style="2" customWidth="1"/>
    <col min="11169" max="11169" width="44" style="2" customWidth="1"/>
    <col min="11170" max="11170" width="9.85546875" style="2" customWidth="1"/>
    <col min="11171" max="11171" width="12.42578125" style="2" customWidth="1"/>
    <col min="11172" max="11172" width="9.85546875" style="2" customWidth="1"/>
    <col min="11173" max="11173" width="8.7109375" style="2" customWidth="1"/>
    <col min="11174" max="11174" width="10.42578125" style="2" customWidth="1"/>
    <col min="11175" max="11423" width="10.140625" style="2"/>
    <col min="11424" max="11424" width="6" style="2" customWidth="1"/>
    <col min="11425" max="11425" width="44" style="2" customWidth="1"/>
    <col min="11426" max="11426" width="9.85546875" style="2" customWidth="1"/>
    <col min="11427" max="11427" width="12.42578125" style="2" customWidth="1"/>
    <col min="11428" max="11428" width="9.85546875" style="2" customWidth="1"/>
    <col min="11429" max="11429" width="8.7109375" style="2" customWidth="1"/>
    <col min="11430" max="11430" width="10.42578125" style="2" customWidth="1"/>
    <col min="11431" max="11679" width="10.140625" style="2"/>
    <col min="11680" max="11680" width="6" style="2" customWidth="1"/>
    <col min="11681" max="11681" width="44" style="2" customWidth="1"/>
    <col min="11682" max="11682" width="9.85546875" style="2" customWidth="1"/>
    <col min="11683" max="11683" width="12.42578125" style="2" customWidth="1"/>
    <col min="11684" max="11684" width="9.85546875" style="2" customWidth="1"/>
    <col min="11685" max="11685" width="8.7109375" style="2" customWidth="1"/>
    <col min="11686" max="11686" width="10.42578125" style="2" customWidth="1"/>
    <col min="11687" max="11935" width="10.140625" style="2"/>
    <col min="11936" max="11936" width="6" style="2" customWidth="1"/>
    <col min="11937" max="11937" width="44" style="2" customWidth="1"/>
    <col min="11938" max="11938" width="9.85546875" style="2" customWidth="1"/>
    <col min="11939" max="11939" width="12.42578125" style="2" customWidth="1"/>
    <col min="11940" max="11940" width="9.85546875" style="2" customWidth="1"/>
    <col min="11941" max="11941" width="8.7109375" style="2" customWidth="1"/>
    <col min="11942" max="11942" width="10.42578125" style="2" customWidth="1"/>
    <col min="11943" max="12191" width="10.140625" style="2"/>
    <col min="12192" max="12192" width="6" style="2" customWidth="1"/>
    <col min="12193" max="12193" width="44" style="2" customWidth="1"/>
    <col min="12194" max="12194" width="9.85546875" style="2" customWidth="1"/>
    <col min="12195" max="12195" width="12.42578125" style="2" customWidth="1"/>
    <col min="12196" max="12196" width="9.85546875" style="2" customWidth="1"/>
    <col min="12197" max="12197" width="8.7109375" style="2" customWidth="1"/>
    <col min="12198" max="12198" width="10.42578125" style="2" customWidth="1"/>
    <col min="12199" max="12447" width="10.140625" style="2"/>
    <col min="12448" max="12448" width="6" style="2" customWidth="1"/>
    <col min="12449" max="12449" width="44" style="2" customWidth="1"/>
    <col min="12450" max="12450" width="9.85546875" style="2" customWidth="1"/>
    <col min="12451" max="12451" width="12.42578125" style="2" customWidth="1"/>
    <col min="12452" max="12452" width="9.85546875" style="2" customWidth="1"/>
    <col min="12453" max="12453" width="8.7109375" style="2" customWidth="1"/>
    <col min="12454" max="12454" width="10.42578125" style="2" customWidth="1"/>
    <col min="12455" max="12703" width="10.140625" style="2"/>
    <col min="12704" max="12704" width="6" style="2" customWidth="1"/>
    <col min="12705" max="12705" width="44" style="2" customWidth="1"/>
    <col min="12706" max="12706" width="9.85546875" style="2" customWidth="1"/>
    <col min="12707" max="12707" width="12.42578125" style="2" customWidth="1"/>
    <col min="12708" max="12708" width="9.85546875" style="2" customWidth="1"/>
    <col min="12709" max="12709" width="8.7109375" style="2" customWidth="1"/>
    <col min="12710" max="12710" width="10.42578125" style="2" customWidth="1"/>
    <col min="12711" max="12959" width="10.140625" style="2"/>
    <col min="12960" max="12960" width="6" style="2" customWidth="1"/>
    <col min="12961" max="12961" width="44" style="2" customWidth="1"/>
    <col min="12962" max="12962" width="9.85546875" style="2" customWidth="1"/>
    <col min="12963" max="12963" width="12.42578125" style="2" customWidth="1"/>
    <col min="12964" max="12964" width="9.85546875" style="2" customWidth="1"/>
    <col min="12965" max="12965" width="8.7109375" style="2" customWidth="1"/>
    <col min="12966" max="12966" width="10.42578125" style="2" customWidth="1"/>
    <col min="12967" max="13215" width="10.140625" style="2"/>
    <col min="13216" max="13216" width="6" style="2" customWidth="1"/>
    <col min="13217" max="13217" width="44" style="2" customWidth="1"/>
    <col min="13218" max="13218" width="9.85546875" style="2" customWidth="1"/>
    <col min="13219" max="13219" width="12.42578125" style="2" customWidth="1"/>
    <col min="13220" max="13220" width="9.85546875" style="2" customWidth="1"/>
    <col min="13221" max="13221" width="8.7109375" style="2" customWidth="1"/>
    <col min="13222" max="13222" width="10.42578125" style="2" customWidth="1"/>
    <col min="13223" max="13471" width="10.140625" style="2"/>
    <col min="13472" max="13472" width="6" style="2" customWidth="1"/>
    <col min="13473" max="13473" width="44" style="2" customWidth="1"/>
    <col min="13474" max="13474" width="9.85546875" style="2" customWidth="1"/>
    <col min="13475" max="13475" width="12.42578125" style="2" customWidth="1"/>
    <col min="13476" max="13476" width="9.85546875" style="2" customWidth="1"/>
    <col min="13477" max="13477" width="8.7109375" style="2" customWidth="1"/>
    <col min="13478" max="13478" width="10.42578125" style="2" customWidth="1"/>
    <col min="13479" max="13727" width="10.140625" style="2"/>
    <col min="13728" max="13728" width="6" style="2" customWidth="1"/>
    <col min="13729" max="13729" width="44" style="2" customWidth="1"/>
    <col min="13730" max="13730" width="9.85546875" style="2" customWidth="1"/>
    <col min="13731" max="13731" width="12.42578125" style="2" customWidth="1"/>
    <col min="13732" max="13732" width="9.85546875" style="2" customWidth="1"/>
    <col min="13733" max="13733" width="8.7109375" style="2" customWidth="1"/>
    <col min="13734" max="13734" width="10.42578125" style="2" customWidth="1"/>
    <col min="13735" max="13983" width="10.140625" style="2"/>
    <col min="13984" max="13984" width="6" style="2" customWidth="1"/>
    <col min="13985" max="13985" width="44" style="2" customWidth="1"/>
    <col min="13986" max="13986" width="9.85546875" style="2" customWidth="1"/>
    <col min="13987" max="13987" width="12.42578125" style="2" customWidth="1"/>
    <col min="13988" max="13988" width="9.85546875" style="2" customWidth="1"/>
    <col min="13989" max="13989" width="8.7109375" style="2" customWidth="1"/>
    <col min="13990" max="13990" width="10.42578125" style="2" customWidth="1"/>
    <col min="13991" max="14239" width="10.140625" style="2"/>
    <col min="14240" max="14240" width="6" style="2" customWidth="1"/>
    <col min="14241" max="14241" width="44" style="2" customWidth="1"/>
    <col min="14242" max="14242" width="9.85546875" style="2" customWidth="1"/>
    <col min="14243" max="14243" width="12.42578125" style="2" customWidth="1"/>
    <col min="14244" max="14244" width="9.85546875" style="2" customWidth="1"/>
    <col min="14245" max="14245" width="8.7109375" style="2" customWidth="1"/>
    <col min="14246" max="14246" width="10.42578125" style="2" customWidth="1"/>
    <col min="14247" max="14495" width="10.140625" style="2"/>
    <col min="14496" max="14496" width="6" style="2" customWidth="1"/>
    <col min="14497" max="14497" width="44" style="2" customWidth="1"/>
    <col min="14498" max="14498" width="9.85546875" style="2" customWidth="1"/>
    <col min="14499" max="14499" width="12.42578125" style="2" customWidth="1"/>
    <col min="14500" max="14500" width="9.85546875" style="2" customWidth="1"/>
    <col min="14501" max="14501" width="8.7109375" style="2" customWidth="1"/>
    <col min="14502" max="14502" width="10.42578125" style="2" customWidth="1"/>
    <col min="14503" max="14751" width="10.140625" style="2"/>
    <col min="14752" max="14752" width="6" style="2" customWidth="1"/>
    <col min="14753" max="14753" width="44" style="2" customWidth="1"/>
    <col min="14754" max="14754" width="9.85546875" style="2" customWidth="1"/>
    <col min="14755" max="14755" width="12.42578125" style="2" customWidth="1"/>
    <col min="14756" max="14756" width="9.85546875" style="2" customWidth="1"/>
    <col min="14757" max="14757" width="8.7109375" style="2" customWidth="1"/>
    <col min="14758" max="14758" width="10.42578125" style="2" customWidth="1"/>
    <col min="14759" max="15007" width="10.140625" style="2"/>
    <col min="15008" max="15008" width="6" style="2" customWidth="1"/>
    <col min="15009" max="15009" width="44" style="2" customWidth="1"/>
    <col min="15010" max="15010" width="9.85546875" style="2" customWidth="1"/>
    <col min="15011" max="15011" width="12.42578125" style="2" customWidth="1"/>
    <col min="15012" max="15012" width="9.85546875" style="2" customWidth="1"/>
    <col min="15013" max="15013" width="8.7109375" style="2" customWidth="1"/>
    <col min="15014" max="15014" width="10.42578125" style="2" customWidth="1"/>
    <col min="15015" max="15263" width="10.140625" style="2"/>
    <col min="15264" max="15264" width="6" style="2" customWidth="1"/>
    <col min="15265" max="15265" width="44" style="2" customWidth="1"/>
    <col min="15266" max="15266" width="9.85546875" style="2" customWidth="1"/>
    <col min="15267" max="15267" width="12.42578125" style="2" customWidth="1"/>
    <col min="15268" max="15268" width="9.85546875" style="2" customWidth="1"/>
    <col min="15269" max="15269" width="8.7109375" style="2" customWidth="1"/>
    <col min="15270" max="15270" width="10.42578125" style="2" customWidth="1"/>
    <col min="15271" max="15519" width="10.140625" style="2"/>
    <col min="15520" max="15520" width="6" style="2" customWidth="1"/>
    <col min="15521" max="15521" width="44" style="2" customWidth="1"/>
    <col min="15522" max="15522" width="9.85546875" style="2" customWidth="1"/>
    <col min="15523" max="15523" width="12.42578125" style="2" customWidth="1"/>
    <col min="15524" max="15524" width="9.85546875" style="2" customWidth="1"/>
    <col min="15525" max="15525" width="8.7109375" style="2" customWidth="1"/>
    <col min="15526" max="15526" width="10.42578125" style="2" customWidth="1"/>
    <col min="15527" max="15775" width="10.140625" style="2"/>
    <col min="15776" max="15776" width="6" style="2" customWidth="1"/>
    <col min="15777" max="15777" width="44" style="2" customWidth="1"/>
    <col min="15778" max="15778" width="9.85546875" style="2" customWidth="1"/>
    <col min="15779" max="15779" width="12.42578125" style="2" customWidth="1"/>
    <col min="15780" max="15780" width="9.85546875" style="2" customWidth="1"/>
    <col min="15781" max="15781" width="8.7109375" style="2" customWidth="1"/>
    <col min="15782" max="15782" width="10.42578125" style="2" customWidth="1"/>
    <col min="15783" max="16031" width="10.140625" style="2"/>
    <col min="16032" max="16032" width="6" style="2" customWidth="1"/>
    <col min="16033" max="16033" width="44" style="2" customWidth="1"/>
    <col min="16034" max="16034" width="9.85546875" style="2" customWidth="1"/>
    <col min="16035" max="16035" width="12.42578125" style="2" customWidth="1"/>
    <col min="16036" max="16036" width="9.85546875" style="2" customWidth="1"/>
    <col min="16037" max="16037" width="8.7109375" style="2" customWidth="1"/>
    <col min="16038" max="16038" width="10.42578125" style="2" customWidth="1"/>
    <col min="16039" max="16384" width="10.140625" style="2"/>
  </cols>
  <sheetData>
    <row r="1" spans="1:12" ht="15.75" x14ac:dyDescent="0.25">
      <c r="A1" s="26" t="s">
        <v>173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26"/>
      <c r="B2" s="1"/>
      <c r="C2" s="1"/>
      <c r="D2" s="1"/>
      <c r="E2" s="1"/>
      <c r="F2" s="1"/>
      <c r="G2" s="1"/>
      <c r="H2" s="1"/>
      <c r="I2" s="1"/>
      <c r="J2" s="1"/>
      <c r="K2" s="1" t="s">
        <v>0</v>
      </c>
      <c r="L2" s="1"/>
    </row>
    <row r="3" spans="1:12" ht="15.75" x14ac:dyDescent="0.25">
      <c r="A3" s="93" t="s">
        <v>1</v>
      </c>
      <c r="B3" s="93" t="s">
        <v>174</v>
      </c>
      <c r="C3" s="94" t="s">
        <v>306</v>
      </c>
      <c r="D3" s="94" t="s">
        <v>307</v>
      </c>
      <c r="E3" s="94" t="s">
        <v>308</v>
      </c>
      <c r="F3" s="95" t="s">
        <v>309</v>
      </c>
      <c r="G3" s="96" t="s">
        <v>310</v>
      </c>
      <c r="H3" s="96"/>
      <c r="I3" s="96"/>
      <c r="J3" s="96"/>
      <c r="K3" s="96"/>
      <c r="L3" s="96"/>
    </row>
    <row r="4" spans="1:12" ht="13.5" customHeight="1" x14ac:dyDescent="0.25">
      <c r="A4" s="93"/>
      <c r="B4" s="93"/>
      <c r="C4" s="94"/>
      <c r="D4" s="94"/>
      <c r="E4" s="94"/>
      <c r="F4" s="95"/>
      <c r="G4" s="94" t="s">
        <v>175</v>
      </c>
      <c r="H4" s="94"/>
      <c r="I4" s="94"/>
      <c r="J4" s="94"/>
      <c r="K4" s="94" t="s">
        <v>176</v>
      </c>
      <c r="L4" s="94"/>
    </row>
    <row r="5" spans="1:12" ht="15.75" customHeight="1" x14ac:dyDescent="0.25">
      <c r="A5" s="93"/>
      <c r="B5" s="93"/>
      <c r="C5" s="94"/>
      <c r="D5" s="94"/>
      <c r="E5" s="94"/>
      <c r="F5" s="95"/>
      <c r="G5" s="94" t="s">
        <v>311</v>
      </c>
      <c r="H5" s="94" t="s">
        <v>307</v>
      </c>
      <c r="I5" s="94" t="s">
        <v>312</v>
      </c>
      <c r="J5" s="94"/>
      <c r="K5" s="94" t="s">
        <v>311</v>
      </c>
      <c r="L5" s="94" t="s">
        <v>307</v>
      </c>
    </row>
    <row r="6" spans="1:12" ht="51.75" customHeight="1" x14ac:dyDescent="0.25">
      <c r="A6" s="93"/>
      <c r="B6" s="93"/>
      <c r="C6" s="94"/>
      <c r="D6" s="94"/>
      <c r="E6" s="94"/>
      <c r="F6" s="95"/>
      <c r="G6" s="94"/>
      <c r="H6" s="94"/>
      <c r="I6" s="40" t="s">
        <v>311</v>
      </c>
      <c r="J6" s="40" t="s">
        <v>307</v>
      </c>
      <c r="K6" s="94"/>
      <c r="L6" s="94"/>
    </row>
    <row r="7" spans="1:12" ht="15.75" x14ac:dyDescent="0.25">
      <c r="A7" s="65">
        <v>1</v>
      </c>
      <c r="B7" s="61">
        <v>2</v>
      </c>
      <c r="C7" s="65">
        <v>3</v>
      </c>
      <c r="D7" s="61">
        <v>4</v>
      </c>
      <c r="E7" s="65">
        <v>5</v>
      </c>
      <c r="F7" s="61">
        <v>6</v>
      </c>
      <c r="G7" s="65">
        <v>7</v>
      </c>
      <c r="H7" s="61">
        <v>8</v>
      </c>
      <c r="I7" s="65">
        <v>9</v>
      </c>
      <c r="J7" s="61">
        <v>10</v>
      </c>
      <c r="K7" s="65">
        <v>11</v>
      </c>
      <c r="L7" s="61">
        <v>12</v>
      </c>
    </row>
    <row r="8" spans="1:12" ht="21.75" customHeight="1" x14ac:dyDescent="0.25">
      <c r="A8" s="27">
        <v>1</v>
      </c>
      <c r="B8" s="14" t="s">
        <v>177</v>
      </c>
      <c r="C8" s="50">
        <f>+C9</f>
        <v>419.9</v>
      </c>
      <c r="D8" s="50">
        <f>+D9</f>
        <v>417.7</v>
      </c>
      <c r="E8" s="50">
        <f>+D8-C8</f>
        <v>-2.2000000000000002</v>
      </c>
      <c r="F8" s="50">
        <f>+D8/C8*100</f>
        <v>99.5</v>
      </c>
      <c r="G8" s="50">
        <f>+G9</f>
        <v>407.9</v>
      </c>
      <c r="H8" s="50">
        <f t="shared" ref="H8:L8" si="0">+H9</f>
        <v>405.8</v>
      </c>
      <c r="I8" s="50">
        <f t="shared" si="0"/>
        <v>288.10000000000002</v>
      </c>
      <c r="J8" s="50">
        <f t="shared" si="0"/>
        <v>286.3</v>
      </c>
      <c r="K8" s="50">
        <f t="shared" si="0"/>
        <v>12</v>
      </c>
      <c r="L8" s="50">
        <f t="shared" si="0"/>
        <v>11.9</v>
      </c>
    </row>
    <row r="9" spans="1:12" ht="34.5" customHeight="1" x14ac:dyDescent="0.25">
      <c r="A9" s="27">
        <v>2</v>
      </c>
      <c r="B9" s="14" t="s">
        <v>178</v>
      </c>
      <c r="C9" s="49">
        <f t="shared" ref="C9:C73" si="1">+G9+K9</f>
        <v>419.9</v>
      </c>
      <c r="D9" s="49">
        <f t="shared" ref="D9:D73" si="2">+H9+L9</f>
        <v>417.7</v>
      </c>
      <c r="E9" s="49">
        <f t="shared" ref="E9:E73" si="3">+D9-C9</f>
        <v>-2.2000000000000002</v>
      </c>
      <c r="F9" s="49">
        <f t="shared" ref="F9:F73" si="4">+D9/C9*100</f>
        <v>99.5</v>
      </c>
      <c r="G9" s="49">
        <f>419.9-12</f>
        <v>407.9</v>
      </c>
      <c r="H9" s="49">
        <f>417.7-11.9</f>
        <v>405.8</v>
      </c>
      <c r="I9" s="49">
        <v>288.10000000000002</v>
      </c>
      <c r="J9" s="49">
        <v>286.3</v>
      </c>
      <c r="K9" s="49">
        <v>12</v>
      </c>
      <c r="L9" s="49">
        <v>11.9</v>
      </c>
    </row>
    <row r="10" spans="1:12" ht="19.5" customHeight="1" x14ac:dyDescent="0.25">
      <c r="A10" s="27">
        <v>3</v>
      </c>
      <c r="B10" s="14" t="s">
        <v>9</v>
      </c>
      <c r="C10" s="50">
        <f>+C11+C12+C44+C45+C46+C47</f>
        <v>39320.6</v>
      </c>
      <c r="D10" s="50">
        <f t="shared" ref="D10:E10" si="5">+D11+D12+D44+D45+D46+D47</f>
        <v>37793.4</v>
      </c>
      <c r="E10" s="50">
        <f t="shared" si="5"/>
        <v>-1527.2</v>
      </c>
      <c r="F10" s="50">
        <f t="shared" si="4"/>
        <v>96.1</v>
      </c>
      <c r="G10" s="50">
        <f t="shared" ref="G10" si="6">+G11+G12+G44+G45+G46+G47</f>
        <v>26561.8</v>
      </c>
      <c r="H10" s="50">
        <f t="shared" ref="H10" si="7">+H11+H12+H44+H45+H46+H47</f>
        <v>25348.3</v>
      </c>
      <c r="I10" s="50">
        <f t="shared" ref="I10" si="8">+I11+I12+I44+I45+I46+I47</f>
        <v>13362.6</v>
      </c>
      <c r="J10" s="50">
        <f t="shared" ref="J10" si="9">+J11+J12+J44+J45+J46+J47</f>
        <v>13283.6</v>
      </c>
      <c r="K10" s="50">
        <f t="shared" ref="K10" si="10">+K11+K12+K44+K45+K46+K47</f>
        <v>12758.8</v>
      </c>
      <c r="L10" s="50">
        <f t="shared" ref="L10" si="11">+L11+L12+L44+L45+L46+L47</f>
        <v>12445.1</v>
      </c>
    </row>
    <row r="11" spans="1:12" ht="32.25" customHeight="1" x14ac:dyDescent="0.25">
      <c r="A11" s="27">
        <v>4</v>
      </c>
      <c r="B11" s="14" t="s">
        <v>179</v>
      </c>
      <c r="C11" s="50">
        <f t="shared" si="1"/>
        <v>25</v>
      </c>
      <c r="D11" s="49">
        <f t="shared" si="2"/>
        <v>0</v>
      </c>
      <c r="E11" s="50">
        <f t="shared" si="3"/>
        <v>-25</v>
      </c>
      <c r="F11" s="49">
        <f t="shared" si="4"/>
        <v>0</v>
      </c>
      <c r="G11" s="50">
        <v>25</v>
      </c>
      <c r="H11" s="49"/>
      <c r="I11" s="50">
        <v>0</v>
      </c>
      <c r="J11" s="49"/>
      <c r="K11" s="50">
        <v>0</v>
      </c>
      <c r="L11" s="49"/>
    </row>
    <row r="12" spans="1:12" ht="18" customHeight="1" x14ac:dyDescent="0.25">
      <c r="A12" s="27">
        <v>5</v>
      </c>
      <c r="B12" s="14" t="s">
        <v>180</v>
      </c>
      <c r="C12" s="50">
        <f t="shared" ref="C12" si="12">+G12+K12</f>
        <v>36573.9</v>
      </c>
      <c r="D12" s="50">
        <f t="shared" ref="D12" si="13">+H12+L12</f>
        <v>35373.800000000003</v>
      </c>
      <c r="E12" s="50">
        <f t="shared" ref="E12" si="14">+D12-C12</f>
        <v>-1200.0999999999999</v>
      </c>
      <c r="F12" s="50">
        <f t="shared" ref="F12" si="15">+D12/C12*100</f>
        <v>96.7</v>
      </c>
      <c r="G12" s="50">
        <f>+G14+G15+G16+G17+G18+G38+G43+G19</f>
        <v>25563.599999999999</v>
      </c>
      <c r="H12" s="50">
        <f t="shared" ref="H12:L12" si="16">+H14+H15+H16+H17+H18+H38+H43+H19</f>
        <v>24418.799999999999</v>
      </c>
      <c r="I12" s="50">
        <f t="shared" si="16"/>
        <v>13356.8</v>
      </c>
      <c r="J12" s="50">
        <f t="shared" si="16"/>
        <v>13277.9</v>
      </c>
      <c r="K12" s="50">
        <f t="shared" si="16"/>
        <v>11010.3</v>
      </c>
      <c r="L12" s="50">
        <f t="shared" si="16"/>
        <v>10955</v>
      </c>
    </row>
    <row r="13" spans="1:12" ht="15.75" x14ac:dyDescent="0.25">
      <c r="A13" s="27">
        <v>6</v>
      </c>
      <c r="B13" s="61" t="s">
        <v>4</v>
      </c>
      <c r="C13" s="50">
        <f t="shared" si="1"/>
        <v>0</v>
      </c>
      <c r="D13" s="49">
        <f t="shared" si="2"/>
        <v>0</v>
      </c>
      <c r="E13" s="49">
        <f t="shared" si="3"/>
        <v>0</v>
      </c>
      <c r="F13" s="49"/>
      <c r="G13" s="49">
        <v>0</v>
      </c>
      <c r="H13" s="49"/>
      <c r="I13" s="49">
        <v>0</v>
      </c>
      <c r="J13" s="49"/>
      <c r="K13" s="49">
        <v>0</v>
      </c>
      <c r="L13" s="49"/>
    </row>
    <row r="14" spans="1:12" ht="34.5" customHeight="1" x14ac:dyDescent="0.25">
      <c r="A14" s="27">
        <v>7</v>
      </c>
      <c r="B14" s="11" t="s">
        <v>181</v>
      </c>
      <c r="C14" s="49">
        <f t="shared" si="1"/>
        <v>743.1</v>
      </c>
      <c r="D14" s="49">
        <f t="shared" si="2"/>
        <v>690.1</v>
      </c>
      <c r="E14" s="49">
        <f t="shared" si="3"/>
        <v>-53</v>
      </c>
      <c r="F14" s="49">
        <f t="shared" si="4"/>
        <v>92.9</v>
      </c>
      <c r="G14" s="49">
        <v>743.1</v>
      </c>
      <c r="H14" s="49">
        <v>690.1</v>
      </c>
      <c r="I14" s="49">
        <v>248.1</v>
      </c>
      <c r="J14" s="49">
        <v>218.9</v>
      </c>
      <c r="K14" s="49">
        <v>0</v>
      </c>
      <c r="L14" s="49"/>
    </row>
    <row r="15" spans="1:12" ht="33.75" customHeight="1" x14ac:dyDescent="0.25">
      <c r="A15" s="27">
        <v>8</v>
      </c>
      <c r="B15" s="11" t="s">
        <v>182</v>
      </c>
      <c r="C15" s="49">
        <f t="shared" si="1"/>
        <v>296.8</v>
      </c>
      <c r="D15" s="49">
        <f t="shared" si="2"/>
        <v>280.60000000000002</v>
      </c>
      <c r="E15" s="49">
        <f t="shared" si="3"/>
        <v>-16.2</v>
      </c>
      <c r="F15" s="49">
        <f t="shared" si="4"/>
        <v>94.5</v>
      </c>
      <c r="G15" s="49">
        <v>296.8</v>
      </c>
      <c r="H15" s="49">
        <v>280.60000000000002</v>
      </c>
      <c r="I15" s="49">
        <v>204.1</v>
      </c>
      <c r="J15" s="49">
        <v>203.8</v>
      </c>
      <c r="K15" s="49">
        <v>0</v>
      </c>
      <c r="L15" s="49"/>
    </row>
    <row r="16" spans="1:12" ht="50.25" customHeight="1" x14ac:dyDescent="0.25">
      <c r="A16" s="27">
        <v>9</v>
      </c>
      <c r="B16" s="11" t="s">
        <v>183</v>
      </c>
      <c r="C16" s="49">
        <f t="shared" si="1"/>
        <v>32821.599999999999</v>
      </c>
      <c r="D16" s="49">
        <f t="shared" si="2"/>
        <v>31668</v>
      </c>
      <c r="E16" s="49">
        <f t="shared" si="3"/>
        <v>-1153.5999999999999</v>
      </c>
      <c r="F16" s="49">
        <f t="shared" si="4"/>
        <v>96.5</v>
      </c>
      <c r="G16" s="49">
        <v>21827.3</v>
      </c>
      <c r="H16" s="49">
        <f>20725.8+0.1</f>
        <v>20725.900000000001</v>
      </c>
      <c r="I16" s="49">
        <v>11318</v>
      </c>
      <c r="J16" s="49">
        <v>11306</v>
      </c>
      <c r="K16" s="49">
        <v>10994.3</v>
      </c>
      <c r="L16" s="49">
        <f>10942.2-0.1</f>
        <v>10942.1</v>
      </c>
    </row>
    <row r="17" spans="1:12" ht="34.5" customHeight="1" x14ac:dyDescent="0.25">
      <c r="A17" s="27">
        <v>10</v>
      </c>
      <c r="B17" s="11" t="s">
        <v>184</v>
      </c>
      <c r="C17" s="49">
        <f t="shared" si="1"/>
        <v>100</v>
      </c>
      <c r="D17" s="49">
        <f t="shared" si="2"/>
        <v>0</v>
      </c>
      <c r="E17" s="49">
        <f t="shared" si="3"/>
        <v>-100</v>
      </c>
      <c r="F17" s="49">
        <f t="shared" si="4"/>
        <v>0</v>
      </c>
      <c r="G17" s="49">
        <v>100</v>
      </c>
      <c r="H17" s="49"/>
      <c r="I17" s="49">
        <v>0</v>
      </c>
      <c r="J17" s="49"/>
      <c r="K17" s="49">
        <v>0</v>
      </c>
      <c r="L17" s="49"/>
    </row>
    <row r="18" spans="1:12" s="20" customFormat="1" ht="35.25" customHeight="1" x14ac:dyDescent="0.25">
      <c r="A18" s="27">
        <v>11</v>
      </c>
      <c r="B18" s="11" t="s">
        <v>185</v>
      </c>
      <c r="C18" s="49">
        <f t="shared" si="1"/>
        <v>40.5</v>
      </c>
      <c r="D18" s="49">
        <f t="shared" si="2"/>
        <v>31.6</v>
      </c>
      <c r="E18" s="49">
        <f t="shared" si="3"/>
        <v>-8.9</v>
      </c>
      <c r="F18" s="49">
        <f t="shared" si="4"/>
        <v>78</v>
      </c>
      <c r="G18" s="49">
        <v>40.5</v>
      </c>
      <c r="H18" s="49">
        <v>31.6</v>
      </c>
      <c r="I18" s="49">
        <v>0</v>
      </c>
      <c r="J18" s="49"/>
      <c r="K18" s="49">
        <v>0</v>
      </c>
      <c r="L18" s="49"/>
    </row>
    <row r="19" spans="1:12" s="20" customFormat="1" ht="64.5" customHeight="1" x14ac:dyDescent="0.25">
      <c r="A19" s="27">
        <v>12</v>
      </c>
      <c r="B19" s="11" t="s">
        <v>186</v>
      </c>
      <c r="C19" s="49">
        <f>SUM(C21:C37)</f>
        <v>2523.5</v>
      </c>
      <c r="D19" s="49">
        <f t="shared" ref="D19:L19" si="17">SUM(D21:D37)</f>
        <v>2418</v>
      </c>
      <c r="E19" s="49">
        <f t="shared" si="17"/>
        <v>-105.5</v>
      </c>
      <c r="F19" s="49">
        <f t="shared" si="4"/>
        <v>95.8</v>
      </c>
      <c r="G19" s="49">
        <f t="shared" si="17"/>
        <v>2507.5</v>
      </c>
      <c r="H19" s="49">
        <f t="shared" si="17"/>
        <v>2405.1</v>
      </c>
      <c r="I19" s="49">
        <f t="shared" si="17"/>
        <v>1549.7</v>
      </c>
      <c r="J19" s="49">
        <f t="shared" si="17"/>
        <v>1518.5</v>
      </c>
      <c r="K19" s="49">
        <f t="shared" si="17"/>
        <v>16</v>
      </c>
      <c r="L19" s="49">
        <f t="shared" si="17"/>
        <v>12.9</v>
      </c>
    </row>
    <row r="20" spans="1:12" s="20" customFormat="1" ht="17.25" customHeight="1" x14ac:dyDescent="0.25">
      <c r="A20" s="27">
        <v>13</v>
      </c>
      <c r="B20" s="61" t="s">
        <v>4</v>
      </c>
      <c r="C20" s="49">
        <f t="shared" si="1"/>
        <v>0</v>
      </c>
      <c r="D20" s="49">
        <f t="shared" si="2"/>
        <v>0</v>
      </c>
      <c r="E20" s="49">
        <f t="shared" si="3"/>
        <v>0</v>
      </c>
      <c r="F20" s="49"/>
      <c r="G20" s="49">
        <v>0</v>
      </c>
      <c r="H20" s="49"/>
      <c r="I20" s="49">
        <v>0</v>
      </c>
      <c r="J20" s="49"/>
      <c r="K20" s="49">
        <v>0</v>
      </c>
      <c r="L20" s="49"/>
    </row>
    <row r="21" spans="1:12" s="20" customFormat="1" ht="32.25" customHeight="1" x14ac:dyDescent="0.25">
      <c r="A21" s="27">
        <v>14</v>
      </c>
      <c r="B21" s="11" t="s">
        <v>135</v>
      </c>
      <c r="C21" s="49">
        <f t="shared" si="1"/>
        <v>2</v>
      </c>
      <c r="D21" s="49">
        <f t="shared" si="2"/>
        <v>2</v>
      </c>
      <c r="E21" s="49">
        <f t="shared" si="3"/>
        <v>0</v>
      </c>
      <c r="F21" s="49">
        <f t="shared" si="4"/>
        <v>100</v>
      </c>
      <c r="G21" s="49">
        <v>2</v>
      </c>
      <c r="H21" s="49">
        <v>2</v>
      </c>
      <c r="I21" s="49">
        <v>1.5</v>
      </c>
      <c r="J21" s="49">
        <v>1.5</v>
      </c>
      <c r="K21" s="49">
        <v>0</v>
      </c>
      <c r="L21" s="49"/>
    </row>
    <row r="22" spans="1:12" s="20" customFormat="1" ht="17.25" customHeight="1" x14ac:dyDescent="0.25">
      <c r="A22" s="27">
        <v>15</v>
      </c>
      <c r="B22" s="11" t="s">
        <v>136</v>
      </c>
      <c r="C22" s="49">
        <f t="shared" si="1"/>
        <v>55.1</v>
      </c>
      <c r="D22" s="49">
        <f t="shared" si="2"/>
        <v>53.8</v>
      </c>
      <c r="E22" s="49">
        <f t="shared" si="3"/>
        <v>-1.3</v>
      </c>
      <c r="F22" s="49">
        <f t="shared" si="4"/>
        <v>97.6</v>
      </c>
      <c r="G22" s="49">
        <v>55.1</v>
      </c>
      <c r="H22" s="49">
        <v>53.8</v>
      </c>
      <c r="I22" s="49">
        <v>37.6</v>
      </c>
      <c r="J22" s="49">
        <v>37.299999999999997</v>
      </c>
      <c r="K22" s="49">
        <v>0</v>
      </c>
      <c r="L22" s="49"/>
    </row>
    <row r="23" spans="1:12" s="20" customFormat="1" ht="32.25" customHeight="1" x14ac:dyDescent="0.25">
      <c r="A23" s="27">
        <v>16</v>
      </c>
      <c r="B23" s="11" t="s">
        <v>137</v>
      </c>
      <c r="C23" s="49">
        <f t="shared" si="1"/>
        <v>35.6</v>
      </c>
      <c r="D23" s="49">
        <f t="shared" si="2"/>
        <v>35.5</v>
      </c>
      <c r="E23" s="49">
        <f t="shared" si="3"/>
        <v>-0.1</v>
      </c>
      <c r="F23" s="49">
        <f t="shared" si="4"/>
        <v>99.7</v>
      </c>
      <c r="G23" s="49">
        <v>35.6</v>
      </c>
      <c r="H23" s="49">
        <v>35.5</v>
      </c>
      <c r="I23" s="49">
        <v>27.2</v>
      </c>
      <c r="J23" s="49">
        <v>27.2</v>
      </c>
      <c r="K23" s="49">
        <v>0</v>
      </c>
      <c r="L23" s="49"/>
    </row>
    <row r="24" spans="1:12" s="20" customFormat="1" ht="17.25" customHeight="1" x14ac:dyDescent="0.25">
      <c r="A24" s="27">
        <v>17</v>
      </c>
      <c r="B24" s="11" t="s">
        <v>138</v>
      </c>
      <c r="C24" s="49">
        <f t="shared" si="1"/>
        <v>227.3</v>
      </c>
      <c r="D24" s="49">
        <f t="shared" si="2"/>
        <v>227.3</v>
      </c>
      <c r="E24" s="49">
        <f t="shared" si="3"/>
        <v>0</v>
      </c>
      <c r="F24" s="49">
        <f t="shared" si="4"/>
        <v>100</v>
      </c>
      <c r="G24" s="49">
        <v>227.3</v>
      </c>
      <c r="H24" s="49">
        <v>227.3</v>
      </c>
      <c r="I24" s="49">
        <v>136</v>
      </c>
      <c r="J24" s="49">
        <v>136</v>
      </c>
      <c r="K24" s="49">
        <v>0</v>
      </c>
      <c r="L24" s="49"/>
    </row>
    <row r="25" spans="1:12" s="20" customFormat="1" ht="17.25" customHeight="1" x14ac:dyDescent="0.25">
      <c r="A25" s="27">
        <v>18</v>
      </c>
      <c r="B25" s="11" t="s">
        <v>139</v>
      </c>
      <c r="C25" s="49">
        <f t="shared" si="1"/>
        <v>109.7</v>
      </c>
      <c r="D25" s="49">
        <f t="shared" si="2"/>
        <v>90.8</v>
      </c>
      <c r="E25" s="49">
        <f t="shared" si="3"/>
        <v>-18.899999999999999</v>
      </c>
      <c r="F25" s="49">
        <f t="shared" si="4"/>
        <v>82.8</v>
      </c>
      <c r="G25" s="49">
        <v>109.7</v>
      </c>
      <c r="H25" s="49">
        <v>90.8</v>
      </c>
      <c r="I25" s="49">
        <v>61.8</v>
      </c>
      <c r="J25" s="49">
        <v>56.8</v>
      </c>
      <c r="K25" s="49">
        <v>0</v>
      </c>
      <c r="L25" s="49"/>
    </row>
    <row r="26" spans="1:12" s="20" customFormat="1" ht="17.25" customHeight="1" x14ac:dyDescent="0.25">
      <c r="A26" s="27">
        <v>19</v>
      </c>
      <c r="B26" s="11" t="s">
        <v>140</v>
      </c>
      <c r="C26" s="49">
        <f t="shared" si="1"/>
        <v>274.39999999999998</v>
      </c>
      <c r="D26" s="49">
        <f t="shared" si="2"/>
        <v>274.2</v>
      </c>
      <c r="E26" s="49">
        <f t="shared" si="3"/>
        <v>-0.2</v>
      </c>
      <c r="F26" s="49">
        <f t="shared" si="4"/>
        <v>99.9</v>
      </c>
      <c r="G26" s="49">
        <v>274.39999999999998</v>
      </c>
      <c r="H26" s="49">
        <f>274.3-0.1</f>
        <v>274.2</v>
      </c>
      <c r="I26" s="49">
        <v>209.5</v>
      </c>
      <c r="J26" s="49">
        <v>209.5</v>
      </c>
      <c r="K26" s="49">
        <v>0</v>
      </c>
      <c r="L26" s="49"/>
    </row>
    <row r="27" spans="1:12" s="20" customFormat="1" ht="16.5" customHeight="1" x14ac:dyDescent="0.25">
      <c r="A27" s="27">
        <v>20</v>
      </c>
      <c r="B27" s="11" t="s">
        <v>141</v>
      </c>
      <c r="C27" s="49">
        <f t="shared" si="1"/>
        <v>55.4</v>
      </c>
      <c r="D27" s="49">
        <f t="shared" si="2"/>
        <v>55.1</v>
      </c>
      <c r="E27" s="49">
        <f t="shared" si="3"/>
        <v>-0.3</v>
      </c>
      <c r="F27" s="49">
        <f t="shared" si="4"/>
        <v>99.5</v>
      </c>
      <c r="G27" s="49">
        <v>55.4</v>
      </c>
      <c r="H27" s="49">
        <v>55.1</v>
      </c>
      <c r="I27" s="49">
        <v>42</v>
      </c>
      <c r="J27" s="49">
        <v>42</v>
      </c>
      <c r="K27" s="49">
        <v>0</v>
      </c>
      <c r="L27" s="49"/>
    </row>
    <row r="28" spans="1:12" s="20" customFormat="1" ht="17.25" customHeight="1" x14ac:dyDescent="0.25">
      <c r="A28" s="27">
        <v>21</v>
      </c>
      <c r="B28" s="11" t="s">
        <v>142</v>
      </c>
      <c r="C28" s="49">
        <f t="shared" si="1"/>
        <v>239.4</v>
      </c>
      <c r="D28" s="49">
        <f t="shared" si="2"/>
        <v>237.9</v>
      </c>
      <c r="E28" s="49">
        <f t="shared" si="3"/>
        <v>-1.5</v>
      </c>
      <c r="F28" s="49">
        <f t="shared" si="4"/>
        <v>99.4</v>
      </c>
      <c r="G28" s="49">
        <v>239.4</v>
      </c>
      <c r="H28" s="49">
        <v>237.9</v>
      </c>
      <c r="I28" s="49">
        <v>104</v>
      </c>
      <c r="J28" s="49">
        <v>103.4</v>
      </c>
      <c r="K28" s="49">
        <v>0</v>
      </c>
      <c r="L28" s="49"/>
    </row>
    <row r="29" spans="1:12" s="20" customFormat="1" ht="31.5" customHeight="1" x14ac:dyDescent="0.25">
      <c r="A29" s="27">
        <v>22</v>
      </c>
      <c r="B29" s="11" t="s">
        <v>143</v>
      </c>
      <c r="C29" s="49">
        <f t="shared" si="1"/>
        <v>8.5</v>
      </c>
      <c r="D29" s="49">
        <f t="shared" si="2"/>
        <v>8.5</v>
      </c>
      <c r="E29" s="49">
        <f t="shared" si="3"/>
        <v>0</v>
      </c>
      <c r="F29" s="49">
        <f t="shared" si="4"/>
        <v>100</v>
      </c>
      <c r="G29" s="49">
        <v>8.5</v>
      </c>
      <c r="H29" s="49">
        <v>8.5</v>
      </c>
      <c r="I29" s="49">
        <v>0</v>
      </c>
      <c r="J29" s="49"/>
      <c r="K29" s="49">
        <v>0</v>
      </c>
      <c r="L29" s="49"/>
    </row>
    <row r="30" spans="1:12" s="20" customFormat="1" ht="49.5" customHeight="1" x14ac:dyDescent="0.25">
      <c r="A30" s="27">
        <v>23</v>
      </c>
      <c r="B30" s="11" t="s">
        <v>144</v>
      </c>
      <c r="C30" s="49">
        <f t="shared" si="1"/>
        <v>4</v>
      </c>
      <c r="D30" s="49">
        <f t="shared" si="2"/>
        <v>3.7</v>
      </c>
      <c r="E30" s="49">
        <f t="shared" si="3"/>
        <v>-0.3</v>
      </c>
      <c r="F30" s="49">
        <f t="shared" si="4"/>
        <v>92.5</v>
      </c>
      <c r="G30" s="49">
        <v>4</v>
      </c>
      <c r="H30" s="49">
        <v>3.7</v>
      </c>
      <c r="I30" s="49">
        <v>3.1</v>
      </c>
      <c r="J30" s="49">
        <v>2.9</v>
      </c>
      <c r="K30" s="49">
        <v>0</v>
      </c>
      <c r="L30" s="49"/>
    </row>
    <row r="31" spans="1:12" s="20" customFormat="1" ht="17.25" customHeight="1" x14ac:dyDescent="0.25">
      <c r="A31" s="27">
        <v>24</v>
      </c>
      <c r="B31" s="11" t="s">
        <v>187</v>
      </c>
      <c r="C31" s="49">
        <f t="shared" si="1"/>
        <v>863.7</v>
      </c>
      <c r="D31" s="49">
        <f t="shared" si="2"/>
        <v>855.1</v>
      </c>
      <c r="E31" s="49">
        <f t="shared" si="3"/>
        <v>-8.6</v>
      </c>
      <c r="F31" s="49">
        <f t="shared" si="4"/>
        <v>99</v>
      </c>
      <c r="G31" s="49">
        <v>863.7</v>
      </c>
      <c r="H31" s="49">
        <v>855.1</v>
      </c>
      <c r="I31" s="49">
        <v>589.79999999999995</v>
      </c>
      <c r="J31" s="49">
        <v>584.4</v>
      </c>
      <c r="K31" s="49">
        <v>0</v>
      </c>
      <c r="L31" s="49"/>
    </row>
    <row r="32" spans="1:12" s="20" customFormat="1" ht="17.25" customHeight="1" x14ac:dyDescent="0.25">
      <c r="A32" s="27">
        <v>25</v>
      </c>
      <c r="B32" s="25" t="s">
        <v>188</v>
      </c>
      <c r="C32" s="49">
        <f t="shared" si="1"/>
        <v>48.8</v>
      </c>
      <c r="D32" s="49">
        <f t="shared" si="2"/>
        <v>44.4</v>
      </c>
      <c r="E32" s="49">
        <f t="shared" si="3"/>
        <v>-4.4000000000000004</v>
      </c>
      <c r="F32" s="49">
        <f t="shared" si="4"/>
        <v>91</v>
      </c>
      <c r="G32" s="49">
        <v>48.8</v>
      </c>
      <c r="H32" s="49">
        <v>44.4</v>
      </c>
      <c r="I32" s="49">
        <v>37.299999999999997</v>
      </c>
      <c r="J32" s="49">
        <v>34</v>
      </c>
      <c r="K32" s="49">
        <v>0</v>
      </c>
      <c r="L32" s="49"/>
    </row>
    <row r="33" spans="1:12" s="20" customFormat="1" ht="48.75" customHeight="1" x14ac:dyDescent="0.25">
      <c r="A33" s="27">
        <v>26</v>
      </c>
      <c r="B33" s="11" t="s">
        <v>189</v>
      </c>
      <c r="C33" s="49">
        <f t="shared" si="1"/>
        <v>45</v>
      </c>
      <c r="D33" s="49">
        <f t="shared" si="2"/>
        <v>45</v>
      </c>
      <c r="E33" s="49">
        <f t="shared" si="3"/>
        <v>0</v>
      </c>
      <c r="F33" s="49">
        <f t="shared" si="4"/>
        <v>100</v>
      </c>
      <c r="G33" s="49">
        <v>45</v>
      </c>
      <c r="H33" s="49">
        <v>45</v>
      </c>
      <c r="I33" s="49">
        <v>29.1</v>
      </c>
      <c r="J33" s="49">
        <v>29.1</v>
      </c>
      <c r="K33" s="49">
        <v>0</v>
      </c>
      <c r="L33" s="49"/>
    </row>
    <row r="34" spans="1:12" s="20" customFormat="1" ht="17.25" customHeight="1" x14ac:dyDescent="0.25">
      <c r="A34" s="27">
        <v>27</v>
      </c>
      <c r="B34" s="11" t="s">
        <v>190</v>
      </c>
      <c r="C34" s="49">
        <f t="shared" si="1"/>
        <v>178.9</v>
      </c>
      <c r="D34" s="49">
        <f t="shared" si="2"/>
        <v>152.80000000000001</v>
      </c>
      <c r="E34" s="49">
        <f t="shared" si="3"/>
        <v>-26.1</v>
      </c>
      <c r="F34" s="49">
        <f t="shared" si="4"/>
        <v>85.4</v>
      </c>
      <c r="G34" s="49">
        <v>170.9</v>
      </c>
      <c r="H34" s="49">
        <f>146.3+0.1</f>
        <v>146.4</v>
      </c>
      <c r="I34" s="49">
        <v>93.3</v>
      </c>
      <c r="J34" s="49">
        <v>89.8</v>
      </c>
      <c r="K34" s="49">
        <v>8</v>
      </c>
      <c r="L34" s="49">
        <v>6.4</v>
      </c>
    </row>
    <row r="35" spans="1:12" s="20" customFormat="1" ht="30" customHeight="1" x14ac:dyDescent="0.25">
      <c r="A35" s="27">
        <v>28</v>
      </c>
      <c r="B35" s="11" t="s">
        <v>191</v>
      </c>
      <c r="C35" s="49">
        <f t="shared" si="1"/>
        <v>275.10000000000002</v>
      </c>
      <c r="D35" s="49">
        <f t="shared" si="2"/>
        <v>239.2</v>
      </c>
      <c r="E35" s="49">
        <f t="shared" si="3"/>
        <v>-35.9</v>
      </c>
      <c r="F35" s="49">
        <f t="shared" si="4"/>
        <v>87</v>
      </c>
      <c r="G35" s="49">
        <v>267.10000000000002</v>
      </c>
      <c r="H35" s="49">
        <v>232.7</v>
      </c>
      <c r="I35" s="49">
        <v>105.1</v>
      </c>
      <c r="J35" s="49">
        <v>95.5</v>
      </c>
      <c r="K35" s="49">
        <v>8</v>
      </c>
      <c r="L35" s="49">
        <v>6.5</v>
      </c>
    </row>
    <row r="36" spans="1:12" s="20" customFormat="1" ht="35.25" customHeight="1" x14ac:dyDescent="0.25">
      <c r="A36" s="27">
        <v>29</v>
      </c>
      <c r="B36" s="11" t="s">
        <v>192</v>
      </c>
      <c r="C36" s="49">
        <f t="shared" si="1"/>
        <v>92.1</v>
      </c>
      <c r="D36" s="49">
        <f t="shared" si="2"/>
        <v>84.5</v>
      </c>
      <c r="E36" s="49">
        <f t="shared" si="3"/>
        <v>-7.6</v>
      </c>
      <c r="F36" s="49">
        <f t="shared" si="4"/>
        <v>91.7</v>
      </c>
      <c r="G36" s="49">
        <v>92.1</v>
      </c>
      <c r="H36" s="49">
        <v>84.5</v>
      </c>
      <c r="I36" s="49">
        <v>65.900000000000006</v>
      </c>
      <c r="J36" s="49">
        <v>62.7</v>
      </c>
      <c r="K36" s="49">
        <v>0</v>
      </c>
      <c r="L36" s="49"/>
    </row>
    <row r="37" spans="1:12" s="20" customFormat="1" ht="38.25" customHeight="1" x14ac:dyDescent="0.25">
      <c r="A37" s="27">
        <v>30</v>
      </c>
      <c r="B37" s="11" t="s">
        <v>152</v>
      </c>
      <c r="C37" s="49">
        <f t="shared" si="1"/>
        <v>8.5</v>
      </c>
      <c r="D37" s="49">
        <f t="shared" si="2"/>
        <v>8.1999999999999993</v>
      </c>
      <c r="E37" s="49">
        <f t="shared" si="3"/>
        <v>-0.3</v>
      </c>
      <c r="F37" s="49">
        <f t="shared" si="4"/>
        <v>96.5</v>
      </c>
      <c r="G37" s="49">
        <v>8.5</v>
      </c>
      <c r="H37" s="49">
        <v>8.1999999999999993</v>
      </c>
      <c r="I37" s="49">
        <v>6.5</v>
      </c>
      <c r="J37" s="49">
        <v>6.4</v>
      </c>
      <c r="K37" s="49">
        <v>0</v>
      </c>
      <c r="L37" s="49"/>
    </row>
    <row r="38" spans="1:12" s="20" customFormat="1" ht="50.25" customHeight="1" x14ac:dyDescent="0.25">
      <c r="A38" s="27">
        <v>31</v>
      </c>
      <c r="B38" s="28" t="s">
        <v>193</v>
      </c>
      <c r="C38" s="49">
        <f>SUM(C40:C42)</f>
        <v>48.4</v>
      </c>
      <c r="D38" s="49">
        <f t="shared" ref="D38:L38" si="18">SUM(D40:D42)</f>
        <v>40</v>
      </c>
      <c r="E38" s="49">
        <f t="shared" si="18"/>
        <v>-8.4</v>
      </c>
      <c r="F38" s="49">
        <f t="shared" si="4"/>
        <v>82.6</v>
      </c>
      <c r="G38" s="49">
        <f t="shared" si="18"/>
        <v>48.4</v>
      </c>
      <c r="H38" s="49">
        <f t="shared" si="18"/>
        <v>40</v>
      </c>
      <c r="I38" s="49">
        <f t="shared" si="18"/>
        <v>36.9</v>
      </c>
      <c r="J38" s="49">
        <f t="shared" si="18"/>
        <v>30.7</v>
      </c>
      <c r="K38" s="49">
        <f t="shared" si="18"/>
        <v>0</v>
      </c>
      <c r="L38" s="49">
        <f t="shared" si="18"/>
        <v>0</v>
      </c>
    </row>
    <row r="39" spans="1:12" s="20" customFormat="1" ht="17.25" customHeight="1" x14ac:dyDescent="0.25">
      <c r="A39" s="27">
        <v>32</v>
      </c>
      <c r="B39" s="61" t="s">
        <v>4</v>
      </c>
      <c r="C39" s="49">
        <f t="shared" si="1"/>
        <v>0</v>
      </c>
      <c r="D39" s="49">
        <f t="shared" si="2"/>
        <v>0</v>
      </c>
      <c r="E39" s="49">
        <f t="shared" si="3"/>
        <v>0</v>
      </c>
      <c r="F39" s="49"/>
      <c r="G39" s="49">
        <v>0</v>
      </c>
      <c r="H39" s="49"/>
      <c r="I39" s="49">
        <v>0</v>
      </c>
      <c r="J39" s="49"/>
      <c r="K39" s="49">
        <v>0</v>
      </c>
      <c r="L39" s="49"/>
    </row>
    <row r="40" spans="1:12" s="20" customFormat="1" ht="17.25" customHeight="1" x14ac:dyDescent="0.25">
      <c r="A40" s="27">
        <v>33</v>
      </c>
      <c r="B40" s="25" t="s">
        <v>156</v>
      </c>
      <c r="C40" s="49">
        <f t="shared" si="1"/>
        <v>20.6</v>
      </c>
      <c r="D40" s="49">
        <f t="shared" si="2"/>
        <v>12.9</v>
      </c>
      <c r="E40" s="49">
        <f t="shared" si="3"/>
        <v>-7.7</v>
      </c>
      <c r="F40" s="49">
        <f t="shared" si="4"/>
        <v>62.6</v>
      </c>
      <c r="G40" s="49">
        <v>20.6</v>
      </c>
      <c r="H40" s="49">
        <v>12.9</v>
      </c>
      <c r="I40" s="49">
        <v>15.7</v>
      </c>
      <c r="J40" s="49">
        <v>9.8000000000000007</v>
      </c>
      <c r="K40" s="49">
        <v>0</v>
      </c>
      <c r="L40" s="49"/>
    </row>
    <row r="41" spans="1:12" s="20" customFormat="1" ht="17.25" customHeight="1" x14ac:dyDescent="0.25">
      <c r="A41" s="27">
        <v>34</v>
      </c>
      <c r="B41" s="25" t="s">
        <v>157</v>
      </c>
      <c r="C41" s="49">
        <f t="shared" si="1"/>
        <v>15.1</v>
      </c>
      <c r="D41" s="49">
        <f t="shared" si="2"/>
        <v>15</v>
      </c>
      <c r="E41" s="49">
        <f t="shared" si="3"/>
        <v>-0.1</v>
      </c>
      <c r="F41" s="49">
        <f t="shared" si="4"/>
        <v>99.3</v>
      </c>
      <c r="G41" s="49">
        <v>15.1</v>
      </c>
      <c r="H41" s="49">
        <v>15</v>
      </c>
      <c r="I41" s="49">
        <v>11.5</v>
      </c>
      <c r="J41" s="49">
        <v>11.5</v>
      </c>
      <c r="K41" s="49">
        <v>0</v>
      </c>
      <c r="L41" s="49"/>
    </row>
    <row r="42" spans="1:12" s="20" customFormat="1" ht="17.25" customHeight="1" x14ac:dyDescent="0.25">
      <c r="A42" s="27">
        <v>35</v>
      </c>
      <c r="B42" s="25" t="s">
        <v>158</v>
      </c>
      <c r="C42" s="49">
        <f t="shared" si="1"/>
        <v>12.7</v>
      </c>
      <c r="D42" s="49">
        <f t="shared" si="2"/>
        <v>12.1</v>
      </c>
      <c r="E42" s="49">
        <f t="shared" si="3"/>
        <v>-0.6</v>
      </c>
      <c r="F42" s="49">
        <f t="shared" si="4"/>
        <v>95.3</v>
      </c>
      <c r="G42" s="49">
        <v>12.7</v>
      </c>
      <c r="H42" s="49">
        <v>12.1</v>
      </c>
      <c r="I42" s="49">
        <v>9.6999999999999993</v>
      </c>
      <c r="J42" s="49">
        <v>9.4</v>
      </c>
      <c r="K42" s="49">
        <v>0</v>
      </c>
      <c r="L42" s="49"/>
    </row>
    <row r="43" spans="1:12" s="20" customFormat="1" ht="57" customHeight="1" x14ac:dyDescent="0.25">
      <c r="A43" s="27">
        <v>36</v>
      </c>
      <c r="B43" s="25" t="s">
        <v>333</v>
      </c>
      <c r="C43" s="49">
        <f t="shared" ref="C43" si="19">+G43+K43</f>
        <v>0</v>
      </c>
      <c r="D43" s="49">
        <f t="shared" ref="D43" si="20">+H43+L43</f>
        <v>245.5</v>
      </c>
      <c r="E43" s="49">
        <f t="shared" ref="E43" si="21">+D43-C43</f>
        <v>245.5</v>
      </c>
      <c r="F43" s="49"/>
      <c r="G43" s="49"/>
      <c r="H43" s="49">
        <v>245.5</v>
      </c>
      <c r="I43" s="49"/>
      <c r="J43" s="49"/>
      <c r="K43" s="49"/>
      <c r="L43" s="49"/>
    </row>
    <row r="44" spans="1:12" s="20" customFormat="1" ht="35.25" customHeight="1" x14ac:dyDescent="0.25">
      <c r="A44" s="27">
        <v>37</v>
      </c>
      <c r="B44" s="11" t="s">
        <v>194</v>
      </c>
      <c r="C44" s="50">
        <f t="shared" si="1"/>
        <v>216.6</v>
      </c>
      <c r="D44" s="50">
        <f t="shared" si="2"/>
        <v>216</v>
      </c>
      <c r="E44" s="50">
        <f t="shared" si="3"/>
        <v>-0.6</v>
      </c>
      <c r="F44" s="50">
        <f t="shared" si="4"/>
        <v>99.7</v>
      </c>
      <c r="G44" s="50">
        <v>216.6</v>
      </c>
      <c r="H44" s="50">
        <v>216</v>
      </c>
      <c r="I44" s="50">
        <v>0</v>
      </c>
      <c r="J44" s="50"/>
      <c r="K44" s="50">
        <v>0</v>
      </c>
      <c r="L44" s="50"/>
    </row>
    <row r="45" spans="1:12" ht="49.5" customHeight="1" x14ac:dyDescent="0.25">
      <c r="A45" s="27">
        <v>38</v>
      </c>
      <c r="B45" s="25" t="s">
        <v>195</v>
      </c>
      <c r="C45" s="50">
        <f t="shared" si="1"/>
        <v>610.4</v>
      </c>
      <c r="D45" s="50">
        <f t="shared" si="2"/>
        <v>610.4</v>
      </c>
      <c r="E45" s="50">
        <f t="shared" si="3"/>
        <v>0</v>
      </c>
      <c r="F45" s="50">
        <f t="shared" si="4"/>
        <v>100</v>
      </c>
      <c r="G45" s="50">
        <v>610.4</v>
      </c>
      <c r="H45" s="50">
        <v>610.4</v>
      </c>
      <c r="I45" s="50">
        <v>0</v>
      </c>
      <c r="J45" s="50"/>
      <c r="K45" s="50">
        <v>0</v>
      </c>
      <c r="L45" s="50"/>
    </row>
    <row r="46" spans="1:12" ht="33.75" customHeight="1" x14ac:dyDescent="0.25">
      <c r="A46" s="27">
        <v>39</v>
      </c>
      <c r="B46" s="29" t="s">
        <v>196</v>
      </c>
      <c r="C46" s="50">
        <f t="shared" si="1"/>
        <v>294.7</v>
      </c>
      <c r="D46" s="50">
        <f t="shared" si="2"/>
        <v>239.2</v>
      </c>
      <c r="E46" s="50">
        <f t="shared" si="3"/>
        <v>-55.5</v>
      </c>
      <c r="F46" s="50">
        <f t="shared" si="4"/>
        <v>81.2</v>
      </c>
      <c r="G46" s="50">
        <v>146.19999999999999</v>
      </c>
      <c r="H46" s="50">
        <v>103.1</v>
      </c>
      <c r="I46" s="50">
        <v>5.8</v>
      </c>
      <c r="J46" s="50">
        <v>5.7</v>
      </c>
      <c r="K46" s="50">
        <v>148.5</v>
      </c>
      <c r="L46" s="50">
        <v>136.1</v>
      </c>
    </row>
    <row r="47" spans="1:12" ht="32.25" customHeight="1" x14ac:dyDescent="0.25">
      <c r="A47" s="27">
        <v>40</v>
      </c>
      <c r="B47" s="24" t="s">
        <v>225</v>
      </c>
      <c r="C47" s="50">
        <f>+C49+C50</f>
        <v>1600</v>
      </c>
      <c r="D47" s="50">
        <f t="shared" ref="D47:L47" si="22">+D49+D50</f>
        <v>1354</v>
      </c>
      <c r="E47" s="50">
        <f t="shared" si="22"/>
        <v>-246</v>
      </c>
      <c r="F47" s="49">
        <f t="shared" si="4"/>
        <v>84.6</v>
      </c>
      <c r="G47" s="50">
        <f t="shared" si="22"/>
        <v>0</v>
      </c>
      <c r="H47" s="50">
        <f t="shared" si="22"/>
        <v>0</v>
      </c>
      <c r="I47" s="50">
        <f t="shared" si="22"/>
        <v>0</v>
      </c>
      <c r="J47" s="50">
        <f t="shared" si="22"/>
        <v>0</v>
      </c>
      <c r="K47" s="50">
        <f t="shared" si="22"/>
        <v>1600</v>
      </c>
      <c r="L47" s="50">
        <f t="shared" si="22"/>
        <v>1354</v>
      </c>
    </row>
    <row r="48" spans="1:12" ht="15.75" x14ac:dyDescent="0.25">
      <c r="A48" s="27">
        <v>41</v>
      </c>
      <c r="B48" s="61" t="s">
        <v>4</v>
      </c>
      <c r="C48" s="50">
        <f t="shared" si="1"/>
        <v>0</v>
      </c>
      <c r="D48" s="49">
        <f t="shared" si="2"/>
        <v>0</v>
      </c>
      <c r="E48" s="49">
        <f t="shared" si="3"/>
        <v>0</v>
      </c>
      <c r="F48" s="49"/>
      <c r="G48" s="50"/>
      <c r="H48" s="49"/>
      <c r="I48" s="50"/>
      <c r="J48" s="49"/>
      <c r="K48" s="50"/>
      <c r="L48" s="49"/>
    </row>
    <row r="49" spans="1:12" ht="32.25" customHeight="1" x14ac:dyDescent="0.25">
      <c r="A49" s="27">
        <v>42</v>
      </c>
      <c r="B49" s="25" t="s">
        <v>226</v>
      </c>
      <c r="C49" s="49">
        <f t="shared" si="1"/>
        <v>300</v>
      </c>
      <c r="D49" s="49">
        <f t="shared" si="2"/>
        <v>54</v>
      </c>
      <c r="E49" s="49">
        <f t="shared" si="3"/>
        <v>-246</v>
      </c>
      <c r="F49" s="49">
        <f t="shared" si="4"/>
        <v>18</v>
      </c>
      <c r="G49" s="49">
        <v>0</v>
      </c>
      <c r="H49" s="49"/>
      <c r="I49" s="49">
        <v>0</v>
      </c>
      <c r="J49" s="49"/>
      <c r="K49" s="49">
        <v>300</v>
      </c>
      <c r="L49" s="49">
        <v>54</v>
      </c>
    </row>
    <row r="50" spans="1:12" s="10" customFormat="1" ht="63" x14ac:dyDescent="0.25">
      <c r="A50" s="27">
        <v>43</v>
      </c>
      <c r="B50" s="25" t="s">
        <v>296</v>
      </c>
      <c r="C50" s="49">
        <f t="shared" si="1"/>
        <v>1300</v>
      </c>
      <c r="D50" s="49">
        <f t="shared" si="2"/>
        <v>1300</v>
      </c>
      <c r="E50" s="49">
        <f t="shared" si="3"/>
        <v>0</v>
      </c>
      <c r="F50" s="49">
        <f t="shared" si="4"/>
        <v>100</v>
      </c>
      <c r="G50" s="49">
        <v>0</v>
      </c>
      <c r="H50" s="49"/>
      <c r="I50" s="49">
        <v>0</v>
      </c>
      <c r="J50" s="49"/>
      <c r="K50" s="49">
        <v>1300</v>
      </c>
      <c r="L50" s="49">
        <v>1300</v>
      </c>
    </row>
    <row r="51" spans="1:12" ht="21" customHeight="1" x14ac:dyDescent="0.25">
      <c r="A51" s="27">
        <v>44</v>
      </c>
      <c r="B51" s="29" t="s">
        <v>198</v>
      </c>
      <c r="C51" s="50">
        <f t="shared" si="1"/>
        <v>30353.9</v>
      </c>
      <c r="D51" s="50">
        <f t="shared" si="2"/>
        <v>26477</v>
      </c>
      <c r="E51" s="50">
        <f t="shared" si="3"/>
        <v>-3876.9</v>
      </c>
      <c r="F51" s="50">
        <f t="shared" si="4"/>
        <v>87.2</v>
      </c>
      <c r="G51" s="50">
        <f t="shared" ref="G51:L51" si="23">+G52+G53+G57+G65+G69+G74+G78+G82+G86+G90++G94</f>
        <v>2568.6999999999998</v>
      </c>
      <c r="H51" s="50">
        <f t="shared" si="23"/>
        <v>2368.6999999999998</v>
      </c>
      <c r="I51" s="50">
        <f t="shared" si="23"/>
        <v>31.7</v>
      </c>
      <c r="J51" s="50">
        <f t="shared" si="23"/>
        <v>25.2</v>
      </c>
      <c r="K51" s="50">
        <f t="shared" si="23"/>
        <v>27785.200000000001</v>
      </c>
      <c r="L51" s="50">
        <f t="shared" si="23"/>
        <v>24108.3</v>
      </c>
    </row>
    <row r="52" spans="1:12" ht="34.5" customHeight="1" x14ac:dyDescent="0.25">
      <c r="A52" s="27">
        <v>45</v>
      </c>
      <c r="B52" s="14" t="s">
        <v>179</v>
      </c>
      <c r="C52" s="50">
        <f t="shared" si="1"/>
        <v>25</v>
      </c>
      <c r="D52" s="49">
        <f t="shared" si="2"/>
        <v>0</v>
      </c>
      <c r="E52" s="50">
        <f t="shared" si="3"/>
        <v>-25</v>
      </c>
      <c r="F52" s="49">
        <f t="shared" si="4"/>
        <v>0</v>
      </c>
      <c r="G52" s="50">
        <v>25</v>
      </c>
      <c r="H52" s="49"/>
      <c r="I52" s="50">
        <v>0</v>
      </c>
      <c r="J52" s="49"/>
      <c r="K52" s="50">
        <v>0</v>
      </c>
      <c r="L52" s="49"/>
    </row>
    <row r="53" spans="1:12" ht="33.75" customHeight="1" x14ac:dyDescent="0.25">
      <c r="A53" s="27">
        <v>46</v>
      </c>
      <c r="B53" s="24" t="s">
        <v>199</v>
      </c>
      <c r="C53" s="50">
        <f>+C55+C56</f>
        <v>3595.6</v>
      </c>
      <c r="D53" s="50">
        <f t="shared" ref="D53:L53" si="24">+D55+D56</f>
        <v>3156.4</v>
      </c>
      <c r="E53" s="50">
        <f t="shared" si="24"/>
        <v>-439.2</v>
      </c>
      <c r="F53" s="49">
        <f t="shared" si="4"/>
        <v>87.8</v>
      </c>
      <c r="G53" s="50">
        <f t="shared" si="24"/>
        <v>606.29999999999995</v>
      </c>
      <c r="H53" s="50">
        <f t="shared" si="24"/>
        <v>602.29999999999995</v>
      </c>
      <c r="I53" s="50">
        <f t="shared" si="24"/>
        <v>0</v>
      </c>
      <c r="J53" s="50">
        <f t="shared" si="24"/>
        <v>0</v>
      </c>
      <c r="K53" s="50">
        <f t="shared" si="24"/>
        <v>2989.3</v>
      </c>
      <c r="L53" s="50">
        <f t="shared" si="24"/>
        <v>2554.1</v>
      </c>
    </row>
    <row r="54" spans="1:12" ht="14.25" customHeight="1" x14ac:dyDescent="0.25">
      <c r="A54" s="27">
        <v>47</v>
      </c>
      <c r="B54" s="61" t="s">
        <v>4</v>
      </c>
      <c r="C54" s="50">
        <f t="shared" si="1"/>
        <v>0</v>
      </c>
      <c r="D54" s="49">
        <f t="shared" si="2"/>
        <v>0</v>
      </c>
      <c r="E54" s="49">
        <f t="shared" si="3"/>
        <v>0</v>
      </c>
      <c r="F54" s="49"/>
      <c r="G54" s="49">
        <v>0</v>
      </c>
      <c r="H54" s="49"/>
      <c r="I54" s="49">
        <v>0</v>
      </c>
      <c r="J54" s="49"/>
      <c r="K54" s="49">
        <v>0</v>
      </c>
      <c r="L54" s="49"/>
    </row>
    <row r="55" spans="1:12" ht="33.75" customHeight="1" x14ac:dyDescent="0.25">
      <c r="A55" s="27">
        <v>48</v>
      </c>
      <c r="B55" s="25" t="s">
        <v>200</v>
      </c>
      <c r="C55" s="49">
        <f t="shared" si="1"/>
        <v>606.29999999999995</v>
      </c>
      <c r="D55" s="49">
        <f t="shared" si="2"/>
        <v>602.29999999999995</v>
      </c>
      <c r="E55" s="49">
        <f t="shared" si="3"/>
        <v>-4</v>
      </c>
      <c r="F55" s="49">
        <f t="shared" si="4"/>
        <v>99.3</v>
      </c>
      <c r="G55" s="49">
        <v>606.29999999999995</v>
      </c>
      <c r="H55" s="49">
        <v>602.29999999999995</v>
      </c>
      <c r="I55" s="49">
        <v>0</v>
      </c>
      <c r="J55" s="49"/>
      <c r="K55" s="49">
        <v>0</v>
      </c>
      <c r="L55" s="49"/>
    </row>
    <row r="56" spans="1:12" ht="36" customHeight="1" x14ac:dyDescent="0.25">
      <c r="A56" s="27">
        <v>49</v>
      </c>
      <c r="B56" s="25" t="s">
        <v>201</v>
      </c>
      <c r="C56" s="49">
        <f t="shared" si="1"/>
        <v>2989.3</v>
      </c>
      <c r="D56" s="49">
        <f t="shared" si="2"/>
        <v>2554.1</v>
      </c>
      <c r="E56" s="49">
        <f t="shared" si="3"/>
        <v>-435.2</v>
      </c>
      <c r="F56" s="49">
        <f t="shared" si="4"/>
        <v>85.4</v>
      </c>
      <c r="G56" s="49">
        <v>0</v>
      </c>
      <c r="H56" s="49"/>
      <c r="I56" s="49">
        <v>0</v>
      </c>
      <c r="J56" s="49"/>
      <c r="K56" s="49">
        <v>2989.3</v>
      </c>
      <c r="L56" s="49">
        <v>2554.1</v>
      </c>
    </row>
    <row r="57" spans="1:12" s="10" customFormat="1" ht="24" customHeight="1" x14ac:dyDescent="0.25">
      <c r="A57" s="27">
        <v>50</v>
      </c>
      <c r="B57" s="14" t="s">
        <v>202</v>
      </c>
      <c r="C57" s="50">
        <f>+C59+C60+C61</f>
        <v>1841</v>
      </c>
      <c r="D57" s="50">
        <f t="shared" ref="D57:L57" si="25">+D59+D60+D61</f>
        <v>1050.2</v>
      </c>
      <c r="E57" s="50">
        <f t="shared" si="25"/>
        <v>-790.8</v>
      </c>
      <c r="F57" s="50">
        <f t="shared" si="4"/>
        <v>57</v>
      </c>
      <c r="G57" s="50">
        <f t="shared" si="25"/>
        <v>1169.7</v>
      </c>
      <c r="H57" s="50">
        <f t="shared" si="25"/>
        <v>1049.2</v>
      </c>
      <c r="I57" s="50">
        <f t="shared" si="25"/>
        <v>8.4</v>
      </c>
      <c r="J57" s="50">
        <f t="shared" si="25"/>
        <v>2.8</v>
      </c>
      <c r="K57" s="50">
        <f t="shared" si="25"/>
        <v>671.3</v>
      </c>
      <c r="L57" s="50">
        <f t="shared" si="25"/>
        <v>1</v>
      </c>
    </row>
    <row r="58" spans="1:12" s="10" customFormat="1" ht="20.25" customHeight="1" x14ac:dyDescent="0.25">
      <c r="A58" s="27">
        <v>51</v>
      </c>
      <c r="B58" s="30" t="s">
        <v>4</v>
      </c>
      <c r="C58" s="50">
        <f t="shared" si="1"/>
        <v>0</v>
      </c>
      <c r="D58" s="49">
        <f t="shared" si="2"/>
        <v>0</v>
      </c>
      <c r="E58" s="49">
        <f t="shared" si="3"/>
        <v>0</v>
      </c>
      <c r="F58" s="49"/>
      <c r="G58" s="49">
        <v>0</v>
      </c>
      <c r="H58" s="50"/>
      <c r="I58" s="49">
        <v>0</v>
      </c>
      <c r="J58" s="50"/>
      <c r="K58" s="49">
        <v>0</v>
      </c>
      <c r="L58" s="50"/>
    </row>
    <row r="59" spans="1:12" s="10" customFormat="1" ht="37.5" customHeight="1" x14ac:dyDescent="0.25">
      <c r="A59" s="27">
        <v>52</v>
      </c>
      <c r="B59" s="11" t="s">
        <v>203</v>
      </c>
      <c r="C59" s="49">
        <f t="shared" si="1"/>
        <v>266.89999999999998</v>
      </c>
      <c r="D59" s="49">
        <f t="shared" si="2"/>
        <v>102.8</v>
      </c>
      <c r="E59" s="49">
        <f t="shared" si="3"/>
        <v>-164.1</v>
      </c>
      <c r="F59" s="49">
        <f t="shared" si="4"/>
        <v>38.5</v>
      </c>
      <c r="G59" s="49">
        <v>190.6</v>
      </c>
      <c r="H59" s="49">
        <v>101.8</v>
      </c>
      <c r="I59" s="49">
        <v>8.4</v>
      </c>
      <c r="J59" s="49">
        <v>2.8</v>
      </c>
      <c r="K59" s="49">
        <v>76.3</v>
      </c>
      <c r="L59" s="49">
        <v>1</v>
      </c>
    </row>
    <row r="60" spans="1:12" s="10" customFormat="1" ht="37.5" customHeight="1" x14ac:dyDescent="0.25">
      <c r="A60" s="27">
        <v>53</v>
      </c>
      <c r="B60" s="11" t="s">
        <v>204</v>
      </c>
      <c r="C60" s="49">
        <f t="shared" si="1"/>
        <v>595</v>
      </c>
      <c r="D60" s="49">
        <f t="shared" si="2"/>
        <v>0</v>
      </c>
      <c r="E60" s="49">
        <f t="shared" si="3"/>
        <v>-595</v>
      </c>
      <c r="F60" s="49">
        <f t="shared" si="4"/>
        <v>0</v>
      </c>
      <c r="G60" s="49">
        <v>0</v>
      </c>
      <c r="H60" s="49"/>
      <c r="I60" s="49">
        <v>0</v>
      </c>
      <c r="J60" s="49"/>
      <c r="K60" s="49">
        <v>595</v>
      </c>
      <c r="L60" s="49"/>
    </row>
    <row r="61" spans="1:12" s="10" customFormat="1" ht="68.25" customHeight="1" x14ac:dyDescent="0.25">
      <c r="A61" s="27">
        <v>54</v>
      </c>
      <c r="B61" s="14" t="s">
        <v>205</v>
      </c>
      <c r="C61" s="49">
        <f>+C63+C64</f>
        <v>979.1</v>
      </c>
      <c r="D61" s="49">
        <f t="shared" ref="D61:L61" si="26">+D63+D64</f>
        <v>947.4</v>
      </c>
      <c r="E61" s="49">
        <f t="shared" si="26"/>
        <v>-31.7</v>
      </c>
      <c r="F61" s="49">
        <f t="shared" si="4"/>
        <v>96.8</v>
      </c>
      <c r="G61" s="49">
        <f t="shared" si="26"/>
        <v>979.1</v>
      </c>
      <c r="H61" s="49">
        <f t="shared" si="26"/>
        <v>947.4</v>
      </c>
      <c r="I61" s="49">
        <f t="shared" si="26"/>
        <v>0</v>
      </c>
      <c r="J61" s="49">
        <f t="shared" si="26"/>
        <v>0</v>
      </c>
      <c r="K61" s="49">
        <f t="shared" si="26"/>
        <v>0</v>
      </c>
      <c r="L61" s="49">
        <f t="shared" si="26"/>
        <v>0</v>
      </c>
    </row>
    <row r="62" spans="1:12" s="10" customFormat="1" ht="17.25" customHeight="1" x14ac:dyDescent="0.25">
      <c r="A62" s="27">
        <v>55</v>
      </c>
      <c r="B62" s="30" t="s">
        <v>4</v>
      </c>
      <c r="C62" s="50">
        <f t="shared" si="1"/>
        <v>0</v>
      </c>
      <c r="D62" s="49">
        <f t="shared" si="2"/>
        <v>0</v>
      </c>
      <c r="E62" s="49">
        <f t="shared" si="3"/>
        <v>0</v>
      </c>
      <c r="F62" s="49"/>
      <c r="G62" s="49">
        <v>0</v>
      </c>
      <c r="H62" s="50"/>
      <c r="I62" s="49">
        <v>0</v>
      </c>
      <c r="J62" s="50"/>
      <c r="K62" s="49">
        <v>0</v>
      </c>
      <c r="L62" s="50"/>
    </row>
    <row r="63" spans="1:12" ht="31.5" x14ac:dyDescent="0.25">
      <c r="A63" s="27">
        <v>56</v>
      </c>
      <c r="B63" s="11" t="s">
        <v>147</v>
      </c>
      <c r="C63" s="49">
        <f t="shared" si="1"/>
        <v>946.1</v>
      </c>
      <c r="D63" s="49">
        <f t="shared" si="2"/>
        <v>914.4</v>
      </c>
      <c r="E63" s="49">
        <f t="shared" si="3"/>
        <v>-31.7</v>
      </c>
      <c r="F63" s="49">
        <f t="shared" si="4"/>
        <v>96.6</v>
      </c>
      <c r="G63" s="49">
        <v>946.1</v>
      </c>
      <c r="H63" s="49">
        <v>914.4</v>
      </c>
      <c r="I63" s="49">
        <v>0</v>
      </c>
      <c r="J63" s="49"/>
      <c r="K63" s="49">
        <v>0</v>
      </c>
      <c r="L63" s="49"/>
    </row>
    <row r="64" spans="1:12" ht="18" customHeight="1" x14ac:dyDescent="0.25">
      <c r="A64" s="27">
        <v>57</v>
      </c>
      <c r="B64" s="11" t="s">
        <v>145</v>
      </c>
      <c r="C64" s="49">
        <f t="shared" si="1"/>
        <v>33</v>
      </c>
      <c r="D64" s="49">
        <f t="shared" si="2"/>
        <v>33</v>
      </c>
      <c r="E64" s="49">
        <f t="shared" si="3"/>
        <v>0</v>
      </c>
      <c r="F64" s="49">
        <f t="shared" si="4"/>
        <v>100</v>
      </c>
      <c r="G64" s="49">
        <v>33</v>
      </c>
      <c r="H64" s="49">
        <v>33</v>
      </c>
      <c r="I64" s="49">
        <v>0</v>
      </c>
      <c r="J64" s="49"/>
      <c r="K64" s="49">
        <v>0</v>
      </c>
      <c r="L64" s="49"/>
    </row>
    <row r="65" spans="1:12" ht="31.5" x14ac:dyDescent="0.25">
      <c r="A65" s="27">
        <v>58</v>
      </c>
      <c r="B65" s="14" t="s">
        <v>206</v>
      </c>
      <c r="C65" s="50">
        <f>+C67+C68</f>
        <v>1979.6</v>
      </c>
      <c r="D65" s="50">
        <f t="shared" ref="D65:L65" si="27">+D67+D68</f>
        <v>1947.1</v>
      </c>
      <c r="E65" s="50">
        <f t="shared" si="27"/>
        <v>-32.5</v>
      </c>
      <c r="F65" s="50">
        <f t="shared" si="4"/>
        <v>98.4</v>
      </c>
      <c r="G65" s="50">
        <f t="shared" si="27"/>
        <v>256.60000000000002</v>
      </c>
      <c r="H65" s="50">
        <f t="shared" si="27"/>
        <v>252.2</v>
      </c>
      <c r="I65" s="50">
        <f t="shared" si="27"/>
        <v>0</v>
      </c>
      <c r="J65" s="50">
        <f t="shared" si="27"/>
        <v>0</v>
      </c>
      <c r="K65" s="50">
        <f t="shared" si="27"/>
        <v>1723</v>
      </c>
      <c r="L65" s="50">
        <f t="shared" si="27"/>
        <v>1694.9</v>
      </c>
    </row>
    <row r="66" spans="1:12" ht="15.75" x14ac:dyDescent="0.25">
      <c r="A66" s="27">
        <v>59</v>
      </c>
      <c r="B66" s="61" t="s">
        <v>4</v>
      </c>
      <c r="C66" s="50">
        <f t="shared" si="1"/>
        <v>0</v>
      </c>
      <c r="D66" s="49">
        <f t="shared" si="2"/>
        <v>0</v>
      </c>
      <c r="E66" s="49">
        <f t="shared" si="3"/>
        <v>0</v>
      </c>
      <c r="F66" s="49"/>
      <c r="G66" s="49">
        <v>0</v>
      </c>
      <c r="H66" s="49"/>
      <c r="I66" s="49">
        <v>0</v>
      </c>
      <c r="J66" s="49"/>
      <c r="K66" s="49">
        <v>0</v>
      </c>
      <c r="L66" s="49"/>
    </row>
    <row r="67" spans="1:12" ht="36" customHeight="1" x14ac:dyDescent="0.25">
      <c r="A67" s="27">
        <v>60</v>
      </c>
      <c r="B67" s="11" t="s">
        <v>207</v>
      </c>
      <c r="C67" s="49">
        <f t="shared" si="1"/>
        <v>448.6</v>
      </c>
      <c r="D67" s="49">
        <f t="shared" si="2"/>
        <v>444.2</v>
      </c>
      <c r="E67" s="49">
        <f t="shared" si="3"/>
        <v>-4.4000000000000004</v>
      </c>
      <c r="F67" s="49">
        <f t="shared" si="4"/>
        <v>99</v>
      </c>
      <c r="G67" s="49">
        <v>256.60000000000002</v>
      </c>
      <c r="H67" s="49">
        <v>252.2</v>
      </c>
      <c r="I67" s="49">
        <v>0</v>
      </c>
      <c r="J67" s="49"/>
      <c r="K67" s="49">
        <v>192</v>
      </c>
      <c r="L67" s="49">
        <v>192</v>
      </c>
    </row>
    <row r="68" spans="1:12" ht="31.5" x14ac:dyDescent="0.25">
      <c r="A68" s="27">
        <v>61</v>
      </c>
      <c r="B68" s="11" t="s">
        <v>208</v>
      </c>
      <c r="C68" s="49">
        <f t="shared" si="1"/>
        <v>1531</v>
      </c>
      <c r="D68" s="49">
        <f t="shared" si="2"/>
        <v>1502.9</v>
      </c>
      <c r="E68" s="49">
        <f t="shared" si="3"/>
        <v>-28.1</v>
      </c>
      <c r="F68" s="49">
        <f t="shared" si="4"/>
        <v>98.2</v>
      </c>
      <c r="G68" s="49">
        <v>0</v>
      </c>
      <c r="H68" s="49"/>
      <c r="I68" s="49">
        <v>0</v>
      </c>
      <c r="J68" s="49"/>
      <c r="K68" s="49">
        <v>1531</v>
      </c>
      <c r="L68" s="49">
        <v>1502.9</v>
      </c>
    </row>
    <row r="69" spans="1:12" s="10" customFormat="1" ht="18.75" customHeight="1" x14ac:dyDescent="0.25">
      <c r="A69" s="27">
        <v>62</v>
      </c>
      <c r="B69" s="24" t="s">
        <v>209</v>
      </c>
      <c r="C69" s="50">
        <f>+C71+C72+C73</f>
        <v>5784.5</v>
      </c>
      <c r="D69" s="50">
        <f t="shared" ref="D69:L69" si="28">+D71+D72+D73</f>
        <v>4275.5</v>
      </c>
      <c r="E69" s="50">
        <f t="shared" si="28"/>
        <v>-1509</v>
      </c>
      <c r="F69" s="50">
        <f t="shared" si="4"/>
        <v>73.900000000000006</v>
      </c>
      <c r="G69" s="50">
        <f t="shared" si="28"/>
        <v>374.9</v>
      </c>
      <c r="H69" s="50">
        <f t="shared" si="28"/>
        <v>371.5</v>
      </c>
      <c r="I69" s="50">
        <f t="shared" si="28"/>
        <v>0</v>
      </c>
      <c r="J69" s="50">
        <f t="shared" si="28"/>
        <v>0</v>
      </c>
      <c r="K69" s="50">
        <f t="shared" si="28"/>
        <v>5409.6</v>
      </c>
      <c r="L69" s="50">
        <f t="shared" si="28"/>
        <v>3904</v>
      </c>
    </row>
    <row r="70" spans="1:12" s="10" customFormat="1" ht="15" customHeight="1" x14ac:dyDescent="0.25">
      <c r="A70" s="27">
        <v>63</v>
      </c>
      <c r="B70" s="61" t="s">
        <v>4</v>
      </c>
      <c r="C70" s="50">
        <f t="shared" si="1"/>
        <v>0</v>
      </c>
      <c r="D70" s="49">
        <f t="shared" si="2"/>
        <v>0</v>
      </c>
      <c r="E70" s="49">
        <f t="shared" si="3"/>
        <v>0</v>
      </c>
      <c r="F70" s="49"/>
      <c r="G70" s="49">
        <v>0</v>
      </c>
      <c r="H70" s="50"/>
      <c r="I70" s="49">
        <v>0</v>
      </c>
      <c r="J70" s="50"/>
      <c r="K70" s="49">
        <v>0</v>
      </c>
      <c r="L70" s="50"/>
    </row>
    <row r="71" spans="1:12" s="10" customFormat="1" ht="32.25" customHeight="1" x14ac:dyDescent="0.25">
      <c r="A71" s="27">
        <v>64</v>
      </c>
      <c r="B71" s="25" t="s">
        <v>210</v>
      </c>
      <c r="C71" s="49">
        <f t="shared" si="1"/>
        <v>1017.2</v>
      </c>
      <c r="D71" s="49">
        <f t="shared" si="2"/>
        <v>966.3</v>
      </c>
      <c r="E71" s="49">
        <f t="shared" si="3"/>
        <v>-50.9</v>
      </c>
      <c r="F71" s="49">
        <f t="shared" si="4"/>
        <v>95</v>
      </c>
      <c r="G71" s="49">
        <v>55.3</v>
      </c>
      <c r="H71" s="49">
        <v>4.4000000000000004</v>
      </c>
      <c r="I71" s="49">
        <v>0</v>
      </c>
      <c r="J71" s="50"/>
      <c r="K71" s="49">
        <v>961.9</v>
      </c>
      <c r="L71" s="49">
        <v>961.9</v>
      </c>
    </row>
    <row r="72" spans="1:12" s="10" customFormat="1" ht="15" customHeight="1" x14ac:dyDescent="0.25">
      <c r="A72" s="27">
        <v>65</v>
      </c>
      <c r="B72" s="25" t="s">
        <v>211</v>
      </c>
      <c r="C72" s="49">
        <f t="shared" si="1"/>
        <v>4159.8999999999996</v>
      </c>
      <c r="D72" s="49">
        <f t="shared" si="2"/>
        <v>2096.5</v>
      </c>
      <c r="E72" s="49">
        <f t="shared" si="3"/>
        <v>-2063.4</v>
      </c>
      <c r="F72" s="49">
        <f t="shared" si="4"/>
        <v>50.4</v>
      </c>
      <c r="G72" s="49">
        <v>0</v>
      </c>
      <c r="H72" s="50"/>
      <c r="I72" s="49">
        <v>0</v>
      </c>
      <c r="J72" s="50"/>
      <c r="K72" s="49">
        <v>4159.8999999999996</v>
      </c>
      <c r="L72" s="49">
        <v>2096.5</v>
      </c>
    </row>
    <row r="73" spans="1:12" s="10" customFormat="1" ht="15" customHeight="1" x14ac:dyDescent="0.25">
      <c r="A73" s="27">
        <v>66</v>
      </c>
      <c r="B73" s="11" t="s">
        <v>212</v>
      </c>
      <c r="C73" s="49">
        <f t="shared" si="1"/>
        <v>607.4</v>
      </c>
      <c r="D73" s="49">
        <f t="shared" si="2"/>
        <v>1212.7</v>
      </c>
      <c r="E73" s="49">
        <f t="shared" si="3"/>
        <v>605.29999999999995</v>
      </c>
      <c r="F73" s="49">
        <f t="shared" si="4"/>
        <v>199.7</v>
      </c>
      <c r="G73" s="49">
        <v>319.60000000000002</v>
      </c>
      <c r="H73" s="49">
        <f>318.5+48.6</f>
        <v>367.1</v>
      </c>
      <c r="I73" s="49">
        <v>0</v>
      </c>
      <c r="J73" s="49"/>
      <c r="K73" s="49">
        <v>287.8</v>
      </c>
      <c r="L73" s="49">
        <f>192.8+652.8</f>
        <v>845.6</v>
      </c>
    </row>
    <row r="74" spans="1:12" s="10" customFormat="1" ht="31.5" customHeight="1" x14ac:dyDescent="0.25">
      <c r="A74" s="27">
        <v>67</v>
      </c>
      <c r="B74" s="14" t="s">
        <v>213</v>
      </c>
      <c r="C74" s="50">
        <f>+C76+C77</f>
        <v>8926.7000000000007</v>
      </c>
      <c r="D74" s="50">
        <f t="shared" ref="D74:L74" si="29">+D76+D77</f>
        <v>8655.9</v>
      </c>
      <c r="E74" s="50">
        <f t="shared" si="29"/>
        <v>-270.8</v>
      </c>
      <c r="F74" s="50">
        <f t="shared" ref="F74:F138" si="30">+D74/C74*100</f>
        <v>97</v>
      </c>
      <c r="G74" s="50">
        <f t="shared" si="29"/>
        <v>61.3</v>
      </c>
      <c r="H74" s="50">
        <f t="shared" si="29"/>
        <v>60.2</v>
      </c>
      <c r="I74" s="50">
        <f t="shared" si="29"/>
        <v>19.2</v>
      </c>
      <c r="J74" s="50">
        <f t="shared" si="29"/>
        <v>18.5</v>
      </c>
      <c r="K74" s="50">
        <f t="shared" si="29"/>
        <v>8865.4</v>
      </c>
      <c r="L74" s="50">
        <f t="shared" si="29"/>
        <v>8595.7000000000007</v>
      </c>
    </row>
    <row r="75" spans="1:12" s="10" customFormat="1" ht="15" customHeight="1" x14ac:dyDescent="0.25">
      <c r="A75" s="27">
        <v>68</v>
      </c>
      <c r="B75" s="61" t="s">
        <v>4</v>
      </c>
      <c r="C75" s="50">
        <f t="shared" ref="C75:C138" si="31">+G75+K75</f>
        <v>0</v>
      </c>
      <c r="D75" s="49">
        <f t="shared" ref="D75:D138" si="32">+H75+L75</f>
        <v>0</v>
      </c>
      <c r="E75" s="49">
        <f t="shared" ref="E75:E138" si="33">+D75-C75</f>
        <v>0</v>
      </c>
      <c r="F75" s="49"/>
      <c r="G75" s="49">
        <v>0</v>
      </c>
      <c r="H75" s="50"/>
      <c r="I75" s="49">
        <v>0</v>
      </c>
      <c r="J75" s="50"/>
      <c r="K75" s="49">
        <v>0</v>
      </c>
      <c r="L75" s="50"/>
    </row>
    <row r="76" spans="1:12" s="10" customFormat="1" ht="33.75" customHeight="1" x14ac:dyDescent="0.25">
      <c r="A76" s="27">
        <v>69</v>
      </c>
      <c r="B76" s="25" t="s">
        <v>214</v>
      </c>
      <c r="C76" s="49">
        <f t="shared" si="31"/>
        <v>8788.5</v>
      </c>
      <c r="D76" s="49">
        <f t="shared" si="32"/>
        <v>8518.2999999999993</v>
      </c>
      <c r="E76" s="49">
        <f t="shared" si="33"/>
        <v>-270.2</v>
      </c>
      <c r="F76" s="49">
        <f t="shared" si="30"/>
        <v>96.9</v>
      </c>
      <c r="G76" s="49">
        <f>61.2+0.1</f>
        <v>61.3</v>
      </c>
      <c r="H76" s="49">
        <v>60.2</v>
      </c>
      <c r="I76" s="49">
        <v>19.2</v>
      </c>
      <c r="J76" s="49">
        <v>18.5</v>
      </c>
      <c r="K76" s="49">
        <f>8726.5+0.7</f>
        <v>8727.2000000000007</v>
      </c>
      <c r="L76" s="49">
        <f>8457.4+0.7</f>
        <v>8458.1</v>
      </c>
    </row>
    <row r="77" spans="1:12" s="10" customFormat="1" ht="33" customHeight="1" x14ac:dyDescent="0.25">
      <c r="A77" s="27">
        <v>70</v>
      </c>
      <c r="B77" s="25" t="s">
        <v>215</v>
      </c>
      <c r="C77" s="49">
        <f t="shared" si="31"/>
        <v>138.19999999999999</v>
      </c>
      <c r="D77" s="49">
        <f t="shared" si="32"/>
        <v>137.6</v>
      </c>
      <c r="E77" s="49">
        <f t="shared" si="33"/>
        <v>-0.6</v>
      </c>
      <c r="F77" s="49">
        <f t="shared" si="30"/>
        <v>99.6</v>
      </c>
      <c r="G77" s="49">
        <v>0</v>
      </c>
      <c r="H77" s="49"/>
      <c r="I77" s="49">
        <v>0</v>
      </c>
      <c r="J77" s="49"/>
      <c r="K77" s="49">
        <v>138.19999999999999</v>
      </c>
      <c r="L77" s="49">
        <v>137.6</v>
      </c>
    </row>
    <row r="78" spans="1:12" s="10" customFormat="1" ht="33" customHeight="1" x14ac:dyDescent="0.25">
      <c r="A78" s="27">
        <v>71</v>
      </c>
      <c r="B78" s="14" t="s">
        <v>216</v>
      </c>
      <c r="C78" s="50">
        <f>+C80+C81</f>
        <v>1386.1</v>
      </c>
      <c r="D78" s="50">
        <f t="shared" ref="D78:L78" si="34">+D80+D81</f>
        <v>1285</v>
      </c>
      <c r="E78" s="50">
        <f t="shared" si="34"/>
        <v>-101.1</v>
      </c>
      <c r="F78" s="50">
        <f t="shared" si="30"/>
        <v>92.7</v>
      </c>
      <c r="G78" s="50">
        <f t="shared" si="34"/>
        <v>62</v>
      </c>
      <c r="H78" s="50">
        <f t="shared" si="34"/>
        <v>22.1</v>
      </c>
      <c r="I78" s="50">
        <f t="shared" si="34"/>
        <v>0</v>
      </c>
      <c r="J78" s="50">
        <f t="shared" si="34"/>
        <v>0</v>
      </c>
      <c r="K78" s="50">
        <f t="shared" si="34"/>
        <v>1324.1</v>
      </c>
      <c r="L78" s="50">
        <f t="shared" si="34"/>
        <v>1262.9000000000001</v>
      </c>
    </row>
    <row r="79" spans="1:12" s="10" customFormat="1" ht="15" customHeight="1" x14ac:dyDescent="0.25">
      <c r="A79" s="27">
        <v>72</v>
      </c>
      <c r="B79" s="61" t="s">
        <v>4</v>
      </c>
      <c r="C79" s="50">
        <f t="shared" si="31"/>
        <v>0</v>
      </c>
      <c r="D79" s="49">
        <f t="shared" si="32"/>
        <v>0</v>
      </c>
      <c r="E79" s="49">
        <f t="shared" si="33"/>
        <v>0</v>
      </c>
      <c r="F79" s="49"/>
      <c r="G79" s="49">
        <v>0</v>
      </c>
      <c r="H79" s="50"/>
      <c r="I79" s="49">
        <v>0</v>
      </c>
      <c r="J79" s="50"/>
      <c r="K79" s="49">
        <v>0</v>
      </c>
      <c r="L79" s="50"/>
    </row>
    <row r="80" spans="1:12" s="10" customFormat="1" ht="50.25" customHeight="1" x14ac:dyDescent="0.25">
      <c r="A80" s="27">
        <v>73</v>
      </c>
      <c r="B80" s="11" t="s">
        <v>217</v>
      </c>
      <c r="C80" s="49">
        <f t="shared" si="31"/>
        <v>787.3</v>
      </c>
      <c r="D80" s="49">
        <f t="shared" si="32"/>
        <v>687.3</v>
      </c>
      <c r="E80" s="49">
        <f t="shared" si="33"/>
        <v>-100</v>
      </c>
      <c r="F80" s="49">
        <f t="shared" si="30"/>
        <v>87.3</v>
      </c>
      <c r="G80" s="49">
        <v>62</v>
      </c>
      <c r="H80" s="49">
        <v>22.1</v>
      </c>
      <c r="I80" s="49">
        <v>0</v>
      </c>
      <c r="J80" s="49"/>
      <c r="K80" s="49">
        <f>325.3+400</f>
        <v>725.3</v>
      </c>
      <c r="L80" s="49">
        <f>265.2+400</f>
        <v>665.2</v>
      </c>
    </row>
    <row r="81" spans="1:12" s="10" customFormat="1" ht="33" customHeight="1" x14ac:dyDescent="0.25">
      <c r="A81" s="27">
        <v>74</v>
      </c>
      <c r="B81" s="11" t="s">
        <v>218</v>
      </c>
      <c r="C81" s="49">
        <f t="shared" si="31"/>
        <v>598.79999999999995</v>
      </c>
      <c r="D81" s="49">
        <f t="shared" si="32"/>
        <v>597.70000000000005</v>
      </c>
      <c r="E81" s="49">
        <f t="shared" si="33"/>
        <v>-1.1000000000000001</v>
      </c>
      <c r="F81" s="49">
        <f t="shared" si="30"/>
        <v>99.8</v>
      </c>
      <c r="G81" s="49">
        <v>0</v>
      </c>
      <c r="H81" s="49"/>
      <c r="I81" s="49">
        <v>0</v>
      </c>
      <c r="J81" s="49"/>
      <c r="K81" s="49">
        <v>598.79999999999995</v>
      </c>
      <c r="L81" s="49">
        <v>597.70000000000005</v>
      </c>
    </row>
    <row r="82" spans="1:12" ht="19.5" customHeight="1" x14ac:dyDescent="0.25">
      <c r="A82" s="27">
        <v>75</v>
      </c>
      <c r="B82" s="14" t="s">
        <v>219</v>
      </c>
      <c r="C82" s="50">
        <f>+G82+K82</f>
        <v>2167.6999999999998</v>
      </c>
      <c r="D82" s="50">
        <f>+H82+L82</f>
        <v>1928.6</v>
      </c>
      <c r="E82" s="50">
        <f t="shared" si="33"/>
        <v>-239.1</v>
      </c>
      <c r="F82" s="50">
        <f t="shared" si="30"/>
        <v>89</v>
      </c>
      <c r="G82" s="50">
        <f>+G84+G85</f>
        <v>0</v>
      </c>
      <c r="H82" s="50">
        <f t="shared" ref="H82:L82" si="35">+H84+H85</f>
        <v>0</v>
      </c>
      <c r="I82" s="50">
        <f t="shared" si="35"/>
        <v>0</v>
      </c>
      <c r="J82" s="50">
        <f t="shared" si="35"/>
        <v>0</v>
      </c>
      <c r="K82" s="50">
        <f t="shared" si="35"/>
        <v>2167.6999999999998</v>
      </c>
      <c r="L82" s="50">
        <f t="shared" si="35"/>
        <v>1928.6</v>
      </c>
    </row>
    <row r="83" spans="1:12" ht="15.75" customHeight="1" x14ac:dyDescent="0.25">
      <c r="A83" s="27">
        <v>76</v>
      </c>
      <c r="B83" s="61" t="s">
        <v>4</v>
      </c>
      <c r="C83" s="50">
        <f t="shared" si="31"/>
        <v>0</v>
      </c>
      <c r="D83" s="49">
        <f t="shared" si="32"/>
        <v>0</v>
      </c>
      <c r="E83" s="49">
        <f t="shared" si="33"/>
        <v>0</v>
      </c>
      <c r="F83" s="49"/>
      <c r="G83" s="49">
        <v>0</v>
      </c>
      <c r="H83" s="49"/>
      <c r="I83" s="49">
        <v>0</v>
      </c>
      <c r="J83" s="49"/>
      <c r="K83" s="49">
        <v>0</v>
      </c>
      <c r="L83" s="49"/>
    </row>
    <row r="84" spans="1:12" ht="32.25" customHeight="1" x14ac:dyDescent="0.25">
      <c r="A84" s="27">
        <v>77</v>
      </c>
      <c r="B84" s="25" t="s">
        <v>220</v>
      </c>
      <c r="C84" s="49">
        <f t="shared" si="31"/>
        <v>466.1</v>
      </c>
      <c r="D84" s="49">
        <f t="shared" si="32"/>
        <v>259</v>
      </c>
      <c r="E84" s="49">
        <f t="shared" si="33"/>
        <v>-207.1</v>
      </c>
      <c r="F84" s="49">
        <f t="shared" si="30"/>
        <v>55.6</v>
      </c>
      <c r="G84" s="49">
        <v>0</v>
      </c>
      <c r="H84" s="49"/>
      <c r="I84" s="49">
        <v>0</v>
      </c>
      <c r="J84" s="49"/>
      <c r="K84" s="49">
        <v>466.1</v>
      </c>
      <c r="L84" s="49">
        <v>259</v>
      </c>
    </row>
    <row r="85" spans="1:12" ht="35.25" customHeight="1" x14ac:dyDescent="0.25">
      <c r="A85" s="27">
        <v>78</v>
      </c>
      <c r="B85" s="25" t="s">
        <v>221</v>
      </c>
      <c r="C85" s="49">
        <f t="shared" si="31"/>
        <v>1701.6</v>
      </c>
      <c r="D85" s="49">
        <f t="shared" si="32"/>
        <v>1669.6</v>
      </c>
      <c r="E85" s="49">
        <f t="shared" si="33"/>
        <v>-32</v>
      </c>
      <c r="F85" s="49">
        <f t="shared" si="30"/>
        <v>98.1</v>
      </c>
      <c r="G85" s="49">
        <v>0</v>
      </c>
      <c r="H85" s="49"/>
      <c r="I85" s="49">
        <v>0</v>
      </c>
      <c r="J85" s="49"/>
      <c r="K85" s="49">
        <v>1701.6</v>
      </c>
      <c r="L85" s="49">
        <v>1669.6</v>
      </c>
    </row>
    <row r="86" spans="1:12" s="10" customFormat="1" ht="32.25" customHeight="1" x14ac:dyDescent="0.25">
      <c r="A86" s="27">
        <v>79</v>
      </c>
      <c r="B86" s="24" t="s">
        <v>222</v>
      </c>
      <c r="C86" s="50">
        <f>+C88+C89</f>
        <v>719</v>
      </c>
      <c r="D86" s="50">
        <f t="shared" ref="D86:L86" si="36">+D88+D89</f>
        <v>514.5</v>
      </c>
      <c r="E86" s="50">
        <f t="shared" si="36"/>
        <v>-204.5</v>
      </c>
      <c r="F86" s="50">
        <f t="shared" si="30"/>
        <v>71.599999999999994</v>
      </c>
      <c r="G86" s="50">
        <f t="shared" si="36"/>
        <v>0</v>
      </c>
      <c r="H86" s="50">
        <f t="shared" si="36"/>
        <v>0</v>
      </c>
      <c r="I86" s="50">
        <f t="shared" si="36"/>
        <v>0</v>
      </c>
      <c r="J86" s="50">
        <f t="shared" si="36"/>
        <v>0</v>
      </c>
      <c r="K86" s="50">
        <f t="shared" si="36"/>
        <v>719</v>
      </c>
      <c r="L86" s="50">
        <f t="shared" si="36"/>
        <v>514.5</v>
      </c>
    </row>
    <row r="87" spans="1:12" s="10" customFormat="1" ht="18.75" customHeight="1" x14ac:dyDescent="0.25">
      <c r="A87" s="27">
        <v>80</v>
      </c>
      <c r="B87" s="61" t="s">
        <v>4</v>
      </c>
      <c r="C87" s="50">
        <f t="shared" si="31"/>
        <v>0</v>
      </c>
      <c r="D87" s="49">
        <f t="shared" si="32"/>
        <v>0</v>
      </c>
      <c r="E87" s="49">
        <f t="shared" si="33"/>
        <v>0</v>
      </c>
      <c r="F87" s="49"/>
      <c r="G87" s="49">
        <v>0</v>
      </c>
      <c r="H87" s="50"/>
      <c r="I87" s="49">
        <v>0</v>
      </c>
      <c r="J87" s="50"/>
      <c r="K87" s="49">
        <v>0</v>
      </c>
      <c r="L87" s="50"/>
    </row>
    <row r="88" spans="1:12" s="10" customFormat="1" ht="32.25" customHeight="1" x14ac:dyDescent="0.25">
      <c r="A88" s="27">
        <v>81</v>
      </c>
      <c r="B88" s="25" t="s">
        <v>223</v>
      </c>
      <c r="C88" s="49">
        <f t="shared" si="31"/>
        <v>245</v>
      </c>
      <c r="D88" s="49">
        <f t="shared" si="32"/>
        <v>40.5</v>
      </c>
      <c r="E88" s="49">
        <f t="shared" si="33"/>
        <v>-204.5</v>
      </c>
      <c r="F88" s="49">
        <f t="shared" si="30"/>
        <v>16.5</v>
      </c>
      <c r="G88" s="49">
        <v>0</v>
      </c>
      <c r="H88" s="50"/>
      <c r="I88" s="49">
        <v>0</v>
      </c>
      <c r="J88" s="50"/>
      <c r="K88" s="49">
        <v>245</v>
      </c>
      <c r="L88" s="49">
        <v>40.5</v>
      </c>
    </row>
    <row r="89" spans="1:12" s="10" customFormat="1" ht="67.5" customHeight="1" x14ac:dyDescent="0.25">
      <c r="A89" s="27">
        <v>82</v>
      </c>
      <c r="B89" s="25" t="s">
        <v>224</v>
      </c>
      <c r="C89" s="49">
        <f t="shared" si="31"/>
        <v>474</v>
      </c>
      <c r="D89" s="49">
        <f t="shared" si="32"/>
        <v>474</v>
      </c>
      <c r="E89" s="49">
        <f t="shared" si="33"/>
        <v>0</v>
      </c>
      <c r="F89" s="49">
        <f t="shared" si="30"/>
        <v>100</v>
      </c>
      <c r="G89" s="49">
        <v>0</v>
      </c>
      <c r="H89" s="50"/>
      <c r="I89" s="49">
        <v>0</v>
      </c>
      <c r="J89" s="50"/>
      <c r="K89" s="49">
        <v>474</v>
      </c>
      <c r="L89" s="49">
        <v>474</v>
      </c>
    </row>
    <row r="90" spans="1:12" s="10" customFormat="1" ht="32.25" customHeight="1" x14ac:dyDescent="0.25">
      <c r="A90" s="27">
        <v>83</v>
      </c>
      <c r="B90" s="24" t="s">
        <v>225</v>
      </c>
      <c r="C90" s="50">
        <f>+C92+C93</f>
        <v>2928.7</v>
      </c>
      <c r="D90" s="50">
        <f t="shared" ref="D90:L90" si="37">+D92+D93</f>
        <v>2663.8</v>
      </c>
      <c r="E90" s="50">
        <f t="shared" si="37"/>
        <v>-264.89999999999998</v>
      </c>
      <c r="F90" s="50">
        <f t="shared" si="30"/>
        <v>91</v>
      </c>
      <c r="G90" s="50">
        <f t="shared" si="37"/>
        <v>12.9</v>
      </c>
      <c r="H90" s="50">
        <f t="shared" si="37"/>
        <v>11.2</v>
      </c>
      <c r="I90" s="50">
        <f t="shared" si="37"/>
        <v>4.0999999999999996</v>
      </c>
      <c r="J90" s="50">
        <f t="shared" si="37"/>
        <v>3.9</v>
      </c>
      <c r="K90" s="50">
        <f t="shared" si="37"/>
        <v>2915.8</v>
      </c>
      <c r="L90" s="50">
        <f t="shared" si="37"/>
        <v>2652.6</v>
      </c>
    </row>
    <row r="91" spans="1:12" s="10" customFormat="1" ht="15.75" customHeight="1" x14ac:dyDescent="0.25">
      <c r="A91" s="27">
        <v>84</v>
      </c>
      <c r="B91" s="61" t="s">
        <v>4</v>
      </c>
      <c r="C91" s="50">
        <f t="shared" si="31"/>
        <v>0</v>
      </c>
      <c r="D91" s="49">
        <f t="shared" si="32"/>
        <v>0</v>
      </c>
      <c r="E91" s="49">
        <f t="shared" si="33"/>
        <v>0</v>
      </c>
      <c r="F91" s="49"/>
      <c r="G91" s="49">
        <v>0</v>
      </c>
      <c r="H91" s="50"/>
      <c r="I91" s="49">
        <v>0</v>
      </c>
      <c r="J91" s="50"/>
      <c r="K91" s="49">
        <v>0</v>
      </c>
      <c r="L91" s="50"/>
    </row>
    <row r="92" spans="1:12" s="10" customFormat="1" ht="32.25" customHeight="1" x14ac:dyDescent="0.25">
      <c r="A92" s="27">
        <v>85</v>
      </c>
      <c r="B92" s="25" t="s">
        <v>226</v>
      </c>
      <c r="C92" s="49">
        <f t="shared" si="31"/>
        <v>2333.8000000000002</v>
      </c>
      <c r="D92" s="49">
        <f t="shared" si="32"/>
        <v>2068.9</v>
      </c>
      <c r="E92" s="49">
        <f t="shared" si="33"/>
        <v>-264.89999999999998</v>
      </c>
      <c r="F92" s="49">
        <f t="shared" si="30"/>
        <v>88.6</v>
      </c>
      <c r="G92" s="49">
        <v>12.9</v>
      </c>
      <c r="H92" s="49">
        <v>11.2</v>
      </c>
      <c r="I92" s="49">
        <v>4.0999999999999996</v>
      </c>
      <c r="J92" s="49">
        <v>3.9</v>
      </c>
      <c r="K92" s="49">
        <v>2320.9</v>
      </c>
      <c r="L92" s="49">
        <v>2057.6999999999998</v>
      </c>
    </row>
    <row r="93" spans="1:12" s="10" customFormat="1" ht="32.25" customHeight="1" x14ac:dyDescent="0.25">
      <c r="A93" s="27">
        <v>86</v>
      </c>
      <c r="B93" s="25" t="s">
        <v>227</v>
      </c>
      <c r="C93" s="49">
        <f t="shared" si="31"/>
        <v>594.9</v>
      </c>
      <c r="D93" s="49">
        <f t="shared" si="32"/>
        <v>594.9</v>
      </c>
      <c r="E93" s="49">
        <f t="shared" si="33"/>
        <v>0</v>
      </c>
      <c r="F93" s="49">
        <f t="shared" si="30"/>
        <v>100</v>
      </c>
      <c r="G93" s="49">
        <v>0</v>
      </c>
      <c r="H93" s="49"/>
      <c r="I93" s="49">
        <v>0</v>
      </c>
      <c r="J93" s="49"/>
      <c r="K93" s="49">
        <v>594.9</v>
      </c>
      <c r="L93" s="49">
        <v>594.9</v>
      </c>
    </row>
    <row r="94" spans="1:12" s="10" customFormat="1" ht="66.75" customHeight="1" x14ac:dyDescent="0.25">
      <c r="A94" s="27">
        <v>87</v>
      </c>
      <c r="B94" s="24" t="s">
        <v>228</v>
      </c>
      <c r="C94" s="50">
        <f t="shared" si="31"/>
        <v>1000</v>
      </c>
      <c r="D94" s="50">
        <f t="shared" si="32"/>
        <v>1000</v>
      </c>
      <c r="E94" s="50">
        <f t="shared" si="33"/>
        <v>0</v>
      </c>
      <c r="F94" s="50">
        <f t="shared" si="30"/>
        <v>100</v>
      </c>
      <c r="G94" s="50">
        <v>0</v>
      </c>
      <c r="H94" s="50"/>
      <c r="I94" s="50">
        <v>0</v>
      </c>
      <c r="J94" s="50"/>
      <c r="K94" s="50">
        <v>1000</v>
      </c>
      <c r="L94" s="50">
        <v>1000</v>
      </c>
    </row>
    <row r="95" spans="1:12" ht="19.5" customHeight="1" x14ac:dyDescent="0.25">
      <c r="A95" s="27">
        <v>88</v>
      </c>
      <c r="B95" s="14" t="s">
        <v>229</v>
      </c>
      <c r="C95" s="50">
        <f>+C96</f>
        <v>774.4</v>
      </c>
      <c r="D95" s="50">
        <f t="shared" ref="D95:E95" si="38">+D96</f>
        <v>750.1</v>
      </c>
      <c r="E95" s="50">
        <f t="shared" si="38"/>
        <v>-24.3</v>
      </c>
      <c r="F95" s="50">
        <f t="shared" si="30"/>
        <v>96.9</v>
      </c>
      <c r="G95" s="50">
        <f t="shared" ref="G95" si="39">+G96</f>
        <v>377.3</v>
      </c>
      <c r="H95" s="50">
        <f t="shared" ref="H95" si="40">+H96</f>
        <v>364.7</v>
      </c>
      <c r="I95" s="50">
        <f t="shared" ref="I95" si="41">+I96</f>
        <v>18.600000000000001</v>
      </c>
      <c r="J95" s="50">
        <f t="shared" ref="J95" si="42">+J96</f>
        <v>15.7</v>
      </c>
      <c r="K95" s="50">
        <f t="shared" ref="K95" si="43">+K96</f>
        <v>397.1</v>
      </c>
      <c r="L95" s="50">
        <f t="shared" ref="L95" si="44">+L96</f>
        <v>385.4</v>
      </c>
    </row>
    <row r="96" spans="1:12" ht="31.5" customHeight="1" x14ac:dyDescent="0.25">
      <c r="A96" s="27">
        <v>89</v>
      </c>
      <c r="B96" s="14" t="s">
        <v>179</v>
      </c>
      <c r="C96" s="50">
        <f t="shared" si="31"/>
        <v>774.4</v>
      </c>
      <c r="D96" s="50">
        <f t="shared" si="32"/>
        <v>750.1</v>
      </c>
      <c r="E96" s="50">
        <f t="shared" si="33"/>
        <v>-24.3</v>
      </c>
      <c r="F96" s="50">
        <f t="shared" si="30"/>
        <v>96.9</v>
      </c>
      <c r="G96" s="50">
        <v>377.3</v>
      </c>
      <c r="H96" s="50">
        <f>364.5+0.1+0.1</f>
        <v>364.7</v>
      </c>
      <c r="I96" s="50">
        <v>18.600000000000001</v>
      </c>
      <c r="J96" s="50">
        <v>15.7</v>
      </c>
      <c r="K96" s="50">
        <v>397.1</v>
      </c>
      <c r="L96" s="50">
        <f>385.5-0.1</f>
        <v>385.4</v>
      </c>
    </row>
    <row r="97" spans="1:12" ht="19.5" customHeight="1" x14ac:dyDescent="0.25">
      <c r="A97" s="27">
        <v>90</v>
      </c>
      <c r="B97" s="14" t="s">
        <v>10</v>
      </c>
      <c r="C97" s="50">
        <f t="shared" si="31"/>
        <v>78884.800000000003</v>
      </c>
      <c r="D97" s="50">
        <f t="shared" si="32"/>
        <v>80130.3</v>
      </c>
      <c r="E97" s="50">
        <f t="shared" si="33"/>
        <v>1245.5</v>
      </c>
      <c r="F97" s="50">
        <f t="shared" si="30"/>
        <v>101.6</v>
      </c>
      <c r="G97" s="50">
        <f>+G98+G102+G103+G107+G108+G113+G114</f>
        <v>76478.100000000006</v>
      </c>
      <c r="H97" s="50">
        <f t="shared" ref="H97:L97" si="45">+H98+H102+H103+H107+H108+H113+H114</f>
        <v>75680</v>
      </c>
      <c r="I97" s="50">
        <f t="shared" si="45"/>
        <v>813.8</v>
      </c>
      <c r="J97" s="50">
        <f t="shared" si="45"/>
        <v>809.2</v>
      </c>
      <c r="K97" s="50">
        <f t="shared" si="45"/>
        <v>2406.6999999999998</v>
      </c>
      <c r="L97" s="50">
        <f t="shared" si="45"/>
        <v>4450.3</v>
      </c>
    </row>
    <row r="98" spans="1:12" ht="15.75" x14ac:dyDescent="0.25">
      <c r="A98" s="27">
        <v>91</v>
      </c>
      <c r="B98" s="24" t="s">
        <v>230</v>
      </c>
      <c r="C98" s="50">
        <f>+C100+C101</f>
        <v>18628.599999999999</v>
      </c>
      <c r="D98" s="50">
        <f t="shared" ref="D98:L98" si="46">+D100+D101</f>
        <v>20087.2</v>
      </c>
      <c r="E98" s="50">
        <f t="shared" si="46"/>
        <v>1458.6</v>
      </c>
      <c r="F98" s="50">
        <f t="shared" si="30"/>
        <v>107.8</v>
      </c>
      <c r="G98" s="50">
        <f t="shared" si="46"/>
        <v>18458.900000000001</v>
      </c>
      <c r="H98" s="50">
        <f t="shared" si="46"/>
        <v>18091.2</v>
      </c>
      <c r="I98" s="50">
        <f t="shared" si="46"/>
        <v>0</v>
      </c>
      <c r="J98" s="50">
        <f t="shared" si="46"/>
        <v>0</v>
      </c>
      <c r="K98" s="50">
        <f t="shared" si="46"/>
        <v>169.7</v>
      </c>
      <c r="L98" s="50">
        <f t="shared" si="46"/>
        <v>1996</v>
      </c>
    </row>
    <row r="99" spans="1:12" s="20" customFormat="1" ht="15.75" x14ac:dyDescent="0.25">
      <c r="A99" s="27">
        <v>92</v>
      </c>
      <c r="B99" s="61" t="s">
        <v>4</v>
      </c>
      <c r="C99" s="50">
        <f t="shared" si="31"/>
        <v>0</v>
      </c>
      <c r="D99" s="49">
        <f t="shared" si="32"/>
        <v>0</v>
      </c>
      <c r="E99" s="49">
        <f t="shared" si="33"/>
        <v>0</v>
      </c>
      <c r="F99" s="49"/>
      <c r="G99" s="49">
        <v>0</v>
      </c>
      <c r="H99" s="49"/>
      <c r="I99" s="49">
        <v>0</v>
      </c>
      <c r="J99" s="49"/>
      <c r="K99" s="49">
        <v>0</v>
      </c>
      <c r="L99" s="49"/>
    </row>
    <row r="100" spans="1:12" s="20" customFormat="1" ht="31.5" x14ac:dyDescent="0.25">
      <c r="A100" s="27">
        <v>93</v>
      </c>
      <c r="B100" s="25" t="s">
        <v>210</v>
      </c>
      <c r="C100" s="49">
        <f t="shared" si="31"/>
        <v>17631.900000000001</v>
      </c>
      <c r="D100" s="49">
        <f t="shared" si="32"/>
        <v>19019.900000000001</v>
      </c>
      <c r="E100" s="49">
        <f t="shared" si="33"/>
        <v>1388</v>
      </c>
      <c r="F100" s="49">
        <f t="shared" si="30"/>
        <v>107.9</v>
      </c>
      <c r="G100" s="49">
        <v>17625.400000000001</v>
      </c>
      <c r="H100" s="49">
        <v>17187.099999999999</v>
      </c>
      <c r="I100" s="49">
        <v>0</v>
      </c>
      <c r="J100" s="49"/>
      <c r="K100" s="49">
        <v>6.5</v>
      </c>
      <c r="L100" s="49">
        <v>1832.8</v>
      </c>
    </row>
    <row r="101" spans="1:12" s="20" customFormat="1" ht="15.75" x14ac:dyDescent="0.25">
      <c r="A101" s="27">
        <v>94</v>
      </c>
      <c r="B101" s="11" t="s">
        <v>212</v>
      </c>
      <c r="C101" s="49">
        <f t="shared" si="31"/>
        <v>996.7</v>
      </c>
      <c r="D101" s="49">
        <f t="shared" si="32"/>
        <v>1067.3</v>
      </c>
      <c r="E101" s="49">
        <f t="shared" si="33"/>
        <v>70.599999999999994</v>
      </c>
      <c r="F101" s="49">
        <f t="shared" si="30"/>
        <v>107.1</v>
      </c>
      <c r="G101" s="49">
        <v>833.5</v>
      </c>
      <c r="H101" s="49">
        <f>787.6+116.6-0.1</f>
        <v>904.1</v>
      </c>
      <c r="I101" s="49">
        <v>0</v>
      </c>
      <c r="J101" s="49"/>
      <c r="K101" s="49">
        <v>163.19999999999999</v>
      </c>
      <c r="L101" s="49">
        <v>163.19999999999999</v>
      </c>
    </row>
    <row r="102" spans="1:12" ht="31.5" x14ac:dyDescent="0.25">
      <c r="A102" s="27">
        <v>95</v>
      </c>
      <c r="B102" s="14" t="s">
        <v>231</v>
      </c>
      <c r="C102" s="50">
        <f t="shared" si="31"/>
        <v>22423.9</v>
      </c>
      <c r="D102" s="50">
        <f t="shared" si="32"/>
        <v>23099.200000000001</v>
      </c>
      <c r="E102" s="50">
        <f t="shared" si="33"/>
        <v>675.3</v>
      </c>
      <c r="F102" s="50">
        <f t="shared" si="30"/>
        <v>103</v>
      </c>
      <c r="G102" s="50">
        <v>22087.1</v>
      </c>
      <c r="H102" s="50">
        <v>22491.3</v>
      </c>
      <c r="I102" s="50">
        <v>0</v>
      </c>
      <c r="J102" s="50"/>
      <c r="K102" s="50">
        <v>336.8</v>
      </c>
      <c r="L102" s="50">
        <v>607.9</v>
      </c>
    </row>
    <row r="103" spans="1:12" ht="31.5" x14ac:dyDescent="0.25">
      <c r="A103" s="27">
        <v>96</v>
      </c>
      <c r="B103" s="14" t="s">
        <v>232</v>
      </c>
      <c r="C103" s="50">
        <f t="shared" si="31"/>
        <v>32946</v>
      </c>
      <c r="D103" s="50">
        <f t="shared" si="32"/>
        <v>31917.4</v>
      </c>
      <c r="E103" s="50">
        <f t="shared" si="33"/>
        <v>-1028.5999999999999</v>
      </c>
      <c r="F103" s="50">
        <f t="shared" si="30"/>
        <v>96.9</v>
      </c>
      <c r="G103" s="50">
        <f>+G105+G106</f>
        <v>32223.7</v>
      </c>
      <c r="H103" s="50">
        <f t="shared" ref="H103:L103" si="47">+H105+H106</f>
        <v>31465.599999999999</v>
      </c>
      <c r="I103" s="50">
        <f t="shared" si="47"/>
        <v>813.8</v>
      </c>
      <c r="J103" s="50">
        <f t="shared" si="47"/>
        <v>809.2</v>
      </c>
      <c r="K103" s="50">
        <f t="shared" si="47"/>
        <v>722.3</v>
      </c>
      <c r="L103" s="50">
        <f t="shared" si="47"/>
        <v>451.8</v>
      </c>
    </row>
    <row r="104" spans="1:12" ht="15" customHeight="1" x14ac:dyDescent="0.25">
      <c r="A104" s="27">
        <v>97</v>
      </c>
      <c r="B104" s="61" t="s">
        <v>4</v>
      </c>
      <c r="C104" s="50">
        <f t="shared" si="31"/>
        <v>0</v>
      </c>
      <c r="D104" s="49">
        <f t="shared" si="32"/>
        <v>0</v>
      </c>
      <c r="E104" s="49">
        <f t="shared" si="33"/>
        <v>0</v>
      </c>
      <c r="F104" s="49"/>
      <c r="G104" s="49">
        <v>0</v>
      </c>
      <c r="H104" s="49"/>
      <c r="I104" s="49">
        <v>0</v>
      </c>
      <c r="J104" s="49"/>
      <c r="K104" s="49">
        <v>0</v>
      </c>
      <c r="L104" s="49"/>
    </row>
    <row r="105" spans="1:12" ht="48" customHeight="1" x14ac:dyDescent="0.25">
      <c r="A105" s="27">
        <v>98</v>
      </c>
      <c r="B105" s="25" t="s">
        <v>217</v>
      </c>
      <c r="C105" s="49">
        <f t="shared" si="31"/>
        <v>32826.300000000003</v>
      </c>
      <c r="D105" s="49">
        <f t="shared" si="32"/>
        <v>31840.2</v>
      </c>
      <c r="E105" s="49">
        <f t="shared" si="33"/>
        <v>-986.1</v>
      </c>
      <c r="F105" s="49">
        <f t="shared" si="30"/>
        <v>97</v>
      </c>
      <c r="G105" s="49">
        <v>32104</v>
      </c>
      <c r="H105" s="49">
        <v>31388.400000000001</v>
      </c>
      <c r="I105" s="49">
        <v>782.1</v>
      </c>
      <c r="J105" s="49">
        <v>782.1</v>
      </c>
      <c r="K105" s="49">
        <v>722.3</v>
      </c>
      <c r="L105" s="49">
        <v>451.8</v>
      </c>
    </row>
    <row r="106" spans="1:12" s="20" customFormat="1" ht="47.25" customHeight="1" x14ac:dyDescent="0.25">
      <c r="A106" s="27">
        <v>99</v>
      </c>
      <c r="B106" s="11" t="s">
        <v>233</v>
      </c>
      <c r="C106" s="49">
        <f t="shared" si="31"/>
        <v>119.7</v>
      </c>
      <c r="D106" s="49">
        <f t="shared" si="32"/>
        <v>77.2</v>
      </c>
      <c r="E106" s="49">
        <f t="shared" si="33"/>
        <v>-42.5</v>
      </c>
      <c r="F106" s="49">
        <f t="shared" si="30"/>
        <v>64.5</v>
      </c>
      <c r="G106" s="49">
        <v>119.7</v>
      </c>
      <c r="H106" s="49">
        <v>77.2</v>
      </c>
      <c r="I106" s="49">
        <v>31.7</v>
      </c>
      <c r="J106" s="49">
        <v>27.1</v>
      </c>
      <c r="K106" s="49">
        <v>0</v>
      </c>
      <c r="L106" s="49"/>
    </row>
    <row r="107" spans="1:12" s="10" customFormat="1" ht="47.25" customHeight="1" x14ac:dyDescent="0.25">
      <c r="A107" s="27">
        <v>100</v>
      </c>
      <c r="B107" s="14" t="s">
        <v>234</v>
      </c>
      <c r="C107" s="50">
        <f t="shared" si="31"/>
        <v>68.900000000000006</v>
      </c>
      <c r="D107" s="50">
        <f t="shared" si="32"/>
        <v>68.5</v>
      </c>
      <c r="E107" s="50">
        <f t="shared" si="33"/>
        <v>-0.4</v>
      </c>
      <c r="F107" s="50">
        <f t="shared" si="30"/>
        <v>99.4</v>
      </c>
      <c r="G107" s="50">
        <v>68.900000000000006</v>
      </c>
      <c r="H107" s="50">
        <v>68.5</v>
      </c>
      <c r="I107" s="50">
        <v>0</v>
      </c>
      <c r="J107" s="50"/>
      <c r="K107" s="50">
        <v>0</v>
      </c>
      <c r="L107" s="50"/>
    </row>
    <row r="108" spans="1:12" ht="31.5" x14ac:dyDescent="0.25">
      <c r="A108" s="27">
        <v>101</v>
      </c>
      <c r="B108" s="14" t="s">
        <v>235</v>
      </c>
      <c r="C108" s="50">
        <f>+G108+K108</f>
        <v>4507.5</v>
      </c>
      <c r="D108" s="50">
        <f>+H108+L108</f>
        <v>4654.3999999999996</v>
      </c>
      <c r="E108" s="50">
        <f t="shared" si="33"/>
        <v>146.9</v>
      </c>
      <c r="F108" s="50">
        <f t="shared" si="30"/>
        <v>103.3</v>
      </c>
      <c r="G108" s="50">
        <f>+G110+G111+G112</f>
        <v>3555.9</v>
      </c>
      <c r="H108" s="50">
        <f t="shared" ref="H108:L108" si="48">+H110+H111+H112</f>
        <v>3480</v>
      </c>
      <c r="I108" s="50">
        <f t="shared" si="48"/>
        <v>0</v>
      </c>
      <c r="J108" s="50">
        <f t="shared" si="48"/>
        <v>0</v>
      </c>
      <c r="K108" s="50">
        <f t="shared" si="48"/>
        <v>951.6</v>
      </c>
      <c r="L108" s="50">
        <f t="shared" si="48"/>
        <v>1174.4000000000001</v>
      </c>
    </row>
    <row r="109" spans="1:12" ht="15.75" x14ac:dyDescent="0.25">
      <c r="A109" s="27">
        <v>102</v>
      </c>
      <c r="B109" s="61" t="s">
        <v>4</v>
      </c>
      <c r="C109" s="50">
        <f t="shared" si="31"/>
        <v>0</v>
      </c>
      <c r="D109" s="49">
        <f t="shared" si="32"/>
        <v>0</v>
      </c>
      <c r="E109" s="49">
        <f t="shared" si="33"/>
        <v>0</v>
      </c>
      <c r="F109" s="49"/>
      <c r="G109" s="49">
        <v>0</v>
      </c>
      <c r="H109" s="49"/>
      <c r="I109" s="49">
        <v>0</v>
      </c>
      <c r="J109" s="49"/>
      <c r="K109" s="49">
        <v>0</v>
      </c>
      <c r="L109" s="49"/>
    </row>
    <row r="110" spans="1:12" ht="31.5" x14ac:dyDescent="0.25">
      <c r="A110" s="27">
        <v>103</v>
      </c>
      <c r="B110" s="11" t="s">
        <v>220</v>
      </c>
      <c r="C110" s="49">
        <f t="shared" si="31"/>
        <v>4483.8</v>
      </c>
      <c r="D110" s="49">
        <f t="shared" si="32"/>
        <v>4407.7</v>
      </c>
      <c r="E110" s="49">
        <f t="shared" si="33"/>
        <v>-76.099999999999994</v>
      </c>
      <c r="F110" s="49">
        <f t="shared" si="30"/>
        <v>98.3</v>
      </c>
      <c r="G110" s="49">
        <v>3532.2</v>
      </c>
      <c r="H110" s="49">
        <f>3407.1+49.2</f>
        <v>3456.3</v>
      </c>
      <c r="I110" s="49">
        <v>0</v>
      </c>
      <c r="J110" s="49"/>
      <c r="K110" s="49">
        <v>951.6</v>
      </c>
      <c r="L110" s="49">
        <v>951.4</v>
      </c>
    </row>
    <row r="111" spans="1:12" ht="69" customHeight="1" x14ac:dyDescent="0.25">
      <c r="A111" s="27">
        <v>104</v>
      </c>
      <c r="B111" s="25" t="s">
        <v>334</v>
      </c>
      <c r="C111" s="49">
        <f t="shared" ref="C111" si="49">+G111+K111</f>
        <v>0</v>
      </c>
      <c r="D111" s="49">
        <f t="shared" ref="D111" si="50">+H111+L111</f>
        <v>223</v>
      </c>
      <c r="E111" s="49">
        <f t="shared" ref="E111" si="51">+D111-C111</f>
        <v>223</v>
      </c>
      <c r="F111" s="49"/>
      <c r="G111" s="49"/>
      <c r="H111" s="49"/>
      <c r="I111" s="49"/>
      <c r="J111" s="49"/>
      <c r="K111" s="49"/>
      <c r="L111" s="49">
        <v>223</v>
      </c>
    </row>
    <row r="112" spans="1:12" ht="47.25" x14ac:dyDescent="0.25">
      <c r="A112" s="27">
        <v>105</v>
      </c>
      <c r="B112" s="28" t="s">
        <v>236</v>
      </c>
      <c r="C112" s="49">
        <f t="shared" si="31"/>
        <v>23.7</v>
      </c>
      <c r="D112" s="49">
        <f t="shared" si="32"/>
        <v>23.7</v>
      </c>
      <c r="E112" s="49">
        <f t="shared" si="33"/>
        <v>0</v>
      </c>
      <c r="F112" s="49">
        <f t="shared" si="30"/>
        <v>100</v>
      </c>
      <c r="G112" s="49">
        <v>23.7</v>
      </c>
      <c r="H112" s="49">
        <v>23.7</v>
      </c>
      <c r="I112" s="49">
        <v>0</v>
      </c>
      <c r="J112" s="49"/>
      <c r="K112" s="49">
        <v>0</v>
      </c>
      <c r="L112" s="49"/>
    </row>
    <row r="113" spans="1:12" s="10" customFormat="1" ht="31.5" x14ac:dyDescent="0.25">
      <c r="A113" s="27">
        <v>106</v>
      </c>
      <c r="B113" s="24" t="s">
        <v>237</v>
      </c>
      <c r="C113" s="50">
        <f t="shared" si="31"/>
        <v>214.8</v>
      </c>
      <c r="D113" s="50">
        <f t="shared" si="32"/>
        <v>214.8</v>
      </c>
      <c r="E113" s="50">
        <f t="shared" si="33"/>
        <v>0</v>
      </c>
      <c r="F113" s="50">
        <f t="shared" si="30"/>
        <v>100</v>
      </c>
      <c r="G113" s="50">
        <v>0</v>
      </c>
      <c r="H113" s="50"/>
      <c r="I113" s="50">
        <v>0</v>
      </c>
      <c r="J113" s="50"/>
      <c r="K113" s="50">
        <v>214.8</v>
      </c>
      <c r="L113" s="50">
        <v>214.8</v>
      </c>
    </row>
    <row r="114" spans="1:12" ht="31.5" customHeight="1" x14ac:dyDescent="0.25">
      <c r="A114" s="27">
        <v>107</v>
      </c>
      <c r="B114" s="14" t="s">
        <v>197</v>
      </c>
      <c r="C114" s="50">
        <f t="shared" si="31"/>
        <v>95.1</v>
      </c>
      <c r="D114" s="50">
        <f t="shared" si="32"/>
        <v>88.8</v>
      </c>
      <c r="E114" s="50">
        <f t="shared" si="33"/>
        <v>-6.3</v>
      </c>
      <c r="F114" s="50">
        <f t="shared" si="30"/>
        <v>93.4</v>
      </c>
      <c r="G114" s="50">
        <v>83.6</v>
      </c>
      <c r="H114" s="50">
        <v>83.4</v>
      </c>
      <c r="I114" s="50">
        <v>0</v>
      </c>
      <c r="J114" s="50"/>
      <c r="K114" s="50">
        <v>11.5</v>
      </c>
      <c r="L114" s="50">
        <v>5.4</v>
      </c>
    </row>
    <row r="115" spans="1:12" s="10" customFormat="1" ht="17.25" customHeight="1" x14ac:dyDescent="0.25">
      <c r="A115" s="27">
        <v>108</v>
      </c>
      <c r="B115" s="14" t="s">
        <v>11</v>
      </c>
      <c r="C115" s="50">
        <f t="shared" si="31"/>
        <v>218613.5</v>
      </c>
      <c r="D115" s="50">
        <f t="shared" si="32"/>
        <v>218483.6</v>
      </c>
      <c r="E115" s="50">
        <f t="shared" si="33"/>
        <v>-129.9</v>
      </c>
      <c r="F115" s="50">
        <f t="shared" si="30"/>
        <v>99.9</v>
      </c>
      <c r="G115" s="50">
        <f>+G116+G121+G128</f>
        <v>217428.2</v>
      </c>
      <c r="H115" s="50">
        <f t="shared" ref="H115:L115" si="52">+H116+H121+H128</f>
        <v>217205.3</v>
      </c>
      <c r="I115" s="50">
        <f t="shared" si="52"/>
        <v>140505</v>
      </c>
      <c r="J115" s="50">
        <f t="shared" si="52"/>
        <v>140303.1</v>
      </c>
      <c r="K115" s="50">
        <f t="shared" si="52"/>
        <v>1185.3</v>
      </c>
      <c r="L115" s="50">
        <f t="shared" si="52"/>
        <v>1278.3</v>
      </c>
    </row>
    <row r="116" spans="1:12" ht="31.5" x14ac:dyDescent="0.25">
      <c r="A116" s="27">
        <v>109</v>
      </c>
      <c r="B116" s="14" t="s">
        <v>238</v>
      </c>
      <c r="C116" s="50">
        <f t="shared" si="31"/>
        <v>11109</v>
      </c>
      <c r="D116" s="50">
        <f t="shared" si="32"/>
        <v>11104.7</v>
      </c>
      <c r="E116" s="50">
        <f t="shared" si="33"/>
        <v>-4.3</v>
      </c>
      <c r="F116" s="50">
        <f t="shared" si="30"/>
        <v>100</v>
      </c>
      <c r="G116" s="44">
        <f>+G118+G119+G120</f>
        <v>10902.2</v>
      </c>
      <c r="H116" s="44">
        <f t="shared" ref="H116:L116" si="53">+H118+H119+H120</f>
        <v>10881.7</v>
      </c>
      <c r="I116" s="44">
        <f t="shared" si="53"/>
        <v>5094.6000000000004</v>
      </c>
      <c r="J116" s="44">
        <f t="shared" si="53"/>
        <v>5080.7</v>
      </c>
      <c r="K116" s="44">
        <f t="shared" si="53"/>
        <v>206.8</v>
      </c>
      <c r="L116" s="44">
        <f t="shared" si="53"/>
        <v>223</v>
      </c>
    </row>
    <row r="117" spans="1:12" ht="15.75" x14ac:dyDescent="0.25">
      <c r="A117" s="27">
        <v>110</v>
      </c>
      <c r="B117" s="61" t="s">
        <v>4</v>
      </c>
      <c r="C117" s="50">
        <f t="shared" si="31"/>
        <v>0</v>
      </c>
      <c r="D117" s="49">
        <f t="shared" si="32"/>
        <v>0</v>
      </c>
      <c r="E117" s="49">
        <f t="shared" si="33"/>
        <v>0</v>
      </c>
      <c r="F117" s="49"/>
      <c r="G117" s="49">
        <v>0</v>
      </c>
      <c r="H117" s="49"/>
      <c r="I117" s="49">
        <v>0</v>
      </c>
      <c r="J117" s="49"/>
      <c r="K117" s="49">
        <v>0</v>
      </c>
      <c r="L117" s="49"/>
    </row>
    <row r="118" spans="1:12" ht="47.25" x14ac:dyDescent="0.25">
      <c r="A118" s="27">
        <v>111</v>
      </c>
      <c r="B118" s="11" t="s">
        <v>239</v>
      </c>
      <c r="C118" s="49">
        <f t="shared" si="31"/>
        <v>9437.7999999999993</v>
      </c>
      <c r="D118" s="49">
        <f t="shared" si="32"/>
        <v>9419.7000000000007</v>
      </c>
      <c r="E118" s="49">
        <f t="shared" si="33"/>
        <v>-18.100000000000001</v>
      </c>
      <c r="F118" s="49">
        <f t="shared" si="30"/>
        <v>99.8</v>
      </c>
      <c r="G118" s="49">
        <f>1497.7+7742.9+20.9</f>
        <v>9261.5</v>
      </c>
      <c r="H118" s="49">
        <f>1496.7+7727.6+20.8</f>
        <v>9245.1</v>
      </c>
      <c r="I118" s="49">
        <v>4847.6000000000004</v>
      </c>
      <c r="J118" s="49">
        <v>4835</v>
      </c>
      <c r="K118" s="49">
        <f>100+18.3+58</f>
        <v>176.3</v>
      </c>
      <c r="L118" s="49">
        <f>100+18.3+56.3</f>
        <v>174.6</v>
      </c>
    </row>
    <row r="119" spans="1:12" s="10" customFormat="1" ht="63" x14ac:dyDescent="0.25">
      <c r="A119" s="27">
        <v>112</v>
      </c>
      <c r="B119" s="11" t="s">
        <v>297</v>
      </c>
      <c r="C119" s="49">
        <f t="shared" si="31"/>
        <v>324</v>
      </c>
      <c r="D119" s="49">
        <f t="shared" si="32"/>
        <v>321.60000000000002</v>
      </c>
      <c r="E119" s="49">
        <f t="shared" si="33"/>
        <v>-2.4</v>
      </c>
      <c r="F119" s="49">
        <f t="shared" si="30"/>
        <v>99.3</v>
      </c>
      <c r="G119" s="49">
        <v>324</v>
      </c>
      <c r="H119" s="49">
        <v>321.60000000000002</v>
      </c>
      <c r="I119" s="49">
        <v>247</v>
      </c>
      <c r="J119" s="49">
        <v>245.7</v>
      </c>
      <c r="K119" s="49">
        <v>0</v>
      </c>
      <c r="L119" s="49"/>
    </row>
    <row r="120" spans="1:12" ht="48" customHeight="1" x14ac:dyDescent="0.25">
      <c r="A120" s="27">
        <v>113</v>
      </c>
      <c r="B120" s="11" t="s">
        <v>240</v>
      </c>
      <c r="C120" s="49">
        <f t="shared" si="31"/>
        <v>1347.2</v>
      </c>
      <c r="D120" s="49">
        <f t="shared" si="32"/>
        <v>1363.4</v>
      </c>
      <c r="E120" s="49">
        <f t="shared" si="33"/>
        <v>16.2</v>
      </c>
      <c r="F120" s="49">
        <f t="shared" si="30"/>
        <v>101.2</v>
      </c>
      <c r="G120" s="49">
        <f>1154.7+157.5+4.5</f>
        <v>1316.7</v>
      </c>
      <c r="H120" s="49">
        <f>1159.6+155.4</f>
        <v>1315</v>
      </c>
      <c r="I120" s="49">
        <v>0</v>
      </c>
      <c r="J120" s="49"/>
      <c r="K120" s="49">
        <f>26.5+4</f>
        <v>30.5</v>
      </c>
      <c r="L120" s="49">
        <f>44.8+3.6</f>
        <v>48.4</v>
      </c>
    </row>
    <row r="121" spans="1:12" ht="19.5" customHeight="1" x14ac:dyDescent="0.25">
      <c r="A121" s="27">
        <v>114</v>
      </c>
      <c r="B121" s="14" t="s">
        <v>241</v>
      </c>
      <c r="C121" s="50">
        <f t="shared" si="31"/>
        <v>192363.9</v>
      </c>
      <c r="D121" s="50">
        <f t="shared" si="32"/>
        <v>192275.4</v>
      </c>
      <c r="E121" s="50">
        <f t="shared" si="33"/>
        <v>-88.5</v>
      </c>
      <c r="F121" s="50">
        <f t="shared" si="30"/>
        <v>100</v>
      </c>
      <c r="G121" s="50">
        <f>+G123+G124+G125+G126+G127</f>
        <v>191564</v>
      </c>
      <c r="H121" s="50">
        <f t="shared" ref="H121:L121" si="54">+H123+H124+H125+H126+H127</f>
        <v>191398.2</v>
      </c>
      <c r="I121" s="50">
        <f t="shared" si="54"/>
        <v>128668.2</v>
      </c>
      <c r="J121" s="50">
        <f t="shared" si="54"/>
        <v>128488.9</v>
      </c>
      <c r="K121" s="50">
        <f t="shared" si="54"/>
        <v>799.9</v>
      </c>
      <c r="L121" s="50">
        <f t="shared" si="54"/>
        <v>877.2</v>
      </c>
    </row>
    <row r="122" spans="1:12" ht="15.75" x14ac:dyDescent="0.25">
      <c r="A122" s="27">
        <v>115</v>
      </c>
      <c r="B122" s="61" t="s">
        <v>4</v>
      </c>
      <c r="C122" s="50">
        <f t="shared" si="31"/>
        <v>0</v>
      </c>
      <c r="D122" s="49">
        <f t="shared" si="32"/>
        <v>0</v>
      </c>
      <c r="E122" s="49">
        <f t="shared" si="33"/>
        <v>0</v>
      </c>
      <c r="F122" s="49"/>
      <c r="G122" s="49">
        <v>0</v>
      </c>
      <c r="H122" s="49"/>
      <c r="I122" s="49">
        <v>0</v>
      </c>
      <c r="J122" s="49"/>
      <c r="K122" s="49">
        <v>0</v>
      </c>
      <c r="L122" s="49"/>
    </row>
    <row r="123" spans="1:12" ht="31.5" x14ac:dyDescent="0.25">
      <c r="A123" s="27">
        <v>116</v>
      </c>
      <c r="B123" s="25" t="s">
        <v>242</v>
      </c>
      <c r="C123" s="49">
        <f t="shared" si="31"/>
        <v>70406.600000000006</v>
      </c>
      <c r="D123" s="49">
        <f t="shared" si="32"/>
        <v>70319.100000000006</v>
      </c>
      <c r="E123" s="49">
        <f t="shared" si="33"/>
        <v>-87.5</v>
      </c>
      <c r="F123" s="49">
        <f t="shared" si="30"/>
        <v>99.9</v>
      </c>
      <c r="G123" s="49">
        <f>70029.5+126.8</f>
        <v>70156.3</v>
      </c>
      <c r="H123" s="49">
        <f>69942+123.9+2.9</f>
        <v>70068.800000000003</v>
      </c>
      <c r="I123" s="49">
        <v>48038.9</v>
      </c>
      <c r="J123" s="49">
        <f>48013.5+2.3</f>
        <v>48015.8</v>
      </c>
      <c r="K123" s="49">
        <v>250.3</v>
      </c>
      <c r="L123" s="49">
        <v>250.3</v>
      </c>
    </row>
    <row r="124" spans="1:12" ht="53.25" customHeight="1" x14ac:dyDescent="0.25">
      <c r="A124" s="27">
        <v>117</v>
      </c>
      <c r="B124" s="11" t="s">
        <v>243</v>
      </c>
      <c r="C124" s="49">
        <f t="shared" si="31"/>
        <v>102721</v>
      </c>
      <c r="D124" s="49">
        <f t="shared" si="32"/>
        <v>102681.1</v>
      </c>
      <c r="E124" s="49">
        <f t="shared" si="33"/>
        <v>-39.9</v>
      </c>
      <c r="F124" s="49">
        <f t="shared" si="30"/>
        <v>100</v>
      </c>
      <c r="G124" s="49">
        <v>102311.2</v>
      </c>
      <c r="H124" s="49">
        <v>102271.8</v>
      </c>
      <c r="I124" s="49">
        <v>76249.7</v>
      </c>
      <c r="J124" s="49">
        <v>76246.100000000006</v>
      </c>
      <c r="K124" s="49">
        <v>409.8</v>
      </c>
      <c r="L124" s="49">
        <v>409.3</v>
      </c>
    </row>
    <row r="125" spans="1:12" ht="47.25" x14ac:dyDescent="0.25">
      <c r="A125" s="27">
        <v>118</v>
      </c>
      <c r="B125" s="28" t="s">
        <v>236</v>
      </c>
      <c r="C125" s="49">
        <f t="shared" si="31"/>
        <v>2056.4</v>
      </c>
      <c r="D125" s="49">
        <f t="shared" si="32"/>
        <v>2055.6</v>
      </c>
      <c r="E125" s="49">
        <f t="shared" si="33"/>
        <v>-0.8</v>
      </c>
      <c r="F125" s="49">
        <f t="shared" si="30"/>
        <v>100</v>
      </c>
      <c r="G125" s="49">
        <v>2056.4</v>
      </c>
      <c r="H125" s="49">
        <v>2055.6</v>
      </c>
      <c r="I125" s="49">
        <v>1189.7</v>
      </c>
      <c r="J125" s="49">
        <v>1189.7</v>
      </c>
      <c r="K125" s="49">
        <v>0</v>
      </c>
      <c r="L125" s="49"/>
    </row>
    <row r="126" spans="1:12" ht="67.5" customHeight="1" x14ac:dyDescent="0.25">
      <c r="A126" s="27">
        <v>119</v>
      </c>
      <c r="B126" s="28" t="s">
        <v>244</v>
      </c>
      <c r="C126" s="49">
        <f t="shared" si="31"/>
        <v>59</v>
      </c>
      <c r="D126" s="49">
        <f t="shared" si="32"/>
        <v>59</v>
      </c>
      <c r="E126" s="49">
        <f t="shared" si="33"/>
        <v>0</v>
      </c>
      <c r="F126" s="49">
        <f t="shared" si="30"/>
        <v>100</v>
      </c>
      <c r="G126" s="49">
        <v>59</v>
      </c>
      <c r="H126" s="49">
        <v>59</v>
      </c>
      <c r="I126" s="49">
        <v>18</v>
      </c>
      <c r="J126" s="49">
        <v>18</v>
      </c>
      <c r="K126" s="49">
        <v>0</v>
      </c>
      <c r="L126" s="49"/>
    </row>
    <row r="127" spans="1:12" s="20" customFormat="1" ht="31.5" x14ac:dyDescent="0.25">
      <c r="A127" s="27">
        <v>120</v>
      </c>
      <c r="B127" s="11" t="s">
        <v>245</v>
      </c>
      <c r="C127" s="49">
        <f t="shared" si="31"/>
        <v>17120.900000000001</v>
      </c>
      <c r="D127" s="49">
        <f t="shared" si="32"/>
        <v>17160.599999999999</v>
      </c>
      <c r="E127" s="49">
        <f t="shared" si="33"/>
        <v>39.700000000000003</v>
      </c>
      <c r="F127" s="49">
        <f t="shared" si="30"/>
        <v>100.2</v>
      </c>
      <c r="G127" s="49">
        <v>16981.099999999999</v>
      </c>
      <c r="H127" s="49">
        <v>16943</v>
      </c>
      <c r="I127" s="49">
        <v>3171.9</v>
      </c>
      <c r="J127" s="49">
        <v>3019.3</v>
      </c>
      <c r="K127" s="49">
        <v>139.80000000000001</v>
      </c>
      <c r="L127" s="49">
        <v>217.6</v>
      </c>
    </row>
    <row r="128" spans="1:12" ht="20.25" customHeight="1" x14ac:dyDescent="0.25">
      <c r="A128" s="27">
        <v>121</v>
      </c>
      <c r="B128" s="24" t="s">
        <v>246</v>
      </c>
      <c r="C128" s="50">
        <f t="shared" si="31"/>
        <v>15140.6</v>
      </c>
      <c r="D128" s="50">
        <f t="shared" si="32"/>
        <v>15103.5</v>
      </c>
      <c r="E128" s="50">
        <f t="shared" si="33"/>
        <v>-37.1</v>
      </c>
      <c r="F128" s="50">
        <f t="shared" si="30"/>
        <v>99.8</v>
      </c>
      <c r="G128" s="50">
        <f>+G130+G131</f>
        <v>14962</v>
      </c>
      <c r="H128" s="50">
        <f t="shared" ref="H128:L128" si="55">+H130+H131</f>
        <v>14925.4</v>
      </c>
      <c r="I128" s="50">
        <f t="shared" si="55"/>
        <v>6742.2</v>
      </c>
      <c r="J128" s="50">
        <f t="shared" si="55"/>
        <v>6733.5</v>
      </c>
      <c r="K128" s="50">
        <f t="shared" si="55"/>
        <v>178.6</v>
      </c>
      <c r="L128" s="50">
        <f t="shared" si="55"/>
        <v>178.1</v>
      </c>
    </row>
    <row r="129" spans="1:12" ht="15.75" x14ac:dyDescent="0.25">
      <c r="A129" s="27">
        <v>122</v>
      </c>
      <c r="B129" s="61" t="s">
        <v>4</v>
      </c>
      <c r="C129" s="50">
        <f t="shared" si="31"/>
        <v>0</v>
      </c>
      <c r="D129" s="49">
        <f t="shared" si="32"/>
        <v>0</v>
      </c>
      <c r="E129" s="49">
        <f t="shared" si="33"/>
        <v>0</v>
      </c>
      <c r="F129" s="49"/>
      <c r="G129" s="49">
        <v>0</v>
      </c>
      <c r="H129" s="49"/>
      <c r="I129" s="49">
        <v>0</v>
      </c>
      <c r="J129" s="49"/>
      <c r="K129" s="49">
        <v>0</v>
      </c>
      <c r="L129" s="49"/>
    </row>
    <row r="130" spans="1:12" ht="31.5" x14ac:dyDescent="0.25">
      <c r="A130" s="27">
        <v>123</v>
      </c>
      <c r="B130" s="25" t="s">
        <v>247</v>
      </c>
      <c r="C130" s="49">
        <f t="shared" si="31"/>
        <v>14360.5</v>
      </c>
      <c r="D130" s="49">
        <f t="shared" si="32"/>
        <v>14342.5</v>
      </c>
      <c r="E130" s="49">
        <f t="shared" si="33"/>
        <v>-18</v>
      </c>
      <c r="F130" s="49">
        <f t="shared" si="30"/>
        <v>99.9</v>
      </c>
      <c r="G130" s="49">
        <f>3625.7+10648.4</f>
        <v>14274.1</v>
      </c>
      <c r="H130" s="49">
        <f>3625.5+10630.6</f>
        <v>14256.1</v>
      </c>
      <c r="I130" s="49">
        <v>6742.2</v>
      </c>
      <c r="J130" s="49">
        <v>6732.2</v>
      </c>
      <c r="K130" s="49">
        <v>86.4</v>
      </c>
      <c r="L130" s="49">
        <v>86.4</v>
      </c>
    </row>
    <row r="131" spans="1:12" s="20" customFormat="1" ht="31.5" x14ac:dyDescent="0.25">
      <c r="A131" s="27">
        <v>124</v>
      </c>
      <c r="B131" s="11" t="s">
        <v>248</v>
      </c>
      <c r="C131" s="49">
        <f t="shared" si="31"/>
        <v>780.1</v>
      </c>
      <c r="D131" s="49">
        <f t="shared" si="32"/>
        <v>761</v>
      </c>
      <c r="E131" s="49">
        <f t="shared" si="33"/>
        <v>-19.100000000000001</v>
      </c>
      <c r="F131" s="49">
        <f t="shared" si="30"/>
        <v>97.6</v>
      </c>
      <c r="G131" s="49">
        <f>281.5+380+26.4</f>
        <v>687.9</v>
      </c>
      <c r="H131" s="49">
        <f>329.3+324.7+15.3</f>
        <v>669.3</v>
      </c>
      <c r="I131" s="49">
        <v>0</v>
      </c>
      <c r="J131" s="49">
        <v>1.3</v>
      </c>
      <c r="K131" s="49">
        <f>84.2+8</f>
        <v>92.2</v>
      </c>
      <c r="L131" s="49">
        <f>83.7+8</f>
        <v>91.7</v>
      </c>
    </row>
    <row r="132" spans="1:12" s="10" customFormat="1" ht="15.75" x14ac:dyDescent="0.25">
      <c r="A132" s="27">
        <v>125</v>
      </c>
      <c r="B132" s="14" t="s">
        <v>105</v>
      </c>
      <c r="C132" s="50">
        <f t="shared" si="31"/>
        <v>52521.5</v>
      </c>
      <c r="D132" s="50">
        <f t="shared" si="32"/>
        <v>47787.7</v>
      </c>
      <c r="E132" s="50">
        <f t="shared" si="33"/>
        <v>-4733.8</v>
      </c>
      <c r="F132" s="50">
        <f t="shared" si="30"/>
        <v>91</v>
      </c>
      <c r="G132" s="50">
        <f>+G133+G145+G155</f>
        <v>51941.2</v>
      </c>
      <c r="H132" s="50">
        <f t="shared" ref="H132:L132" si="56">+H133+H145+H155</f>
        <v>47273.3</v>
      </c>
      <c r="I132" s="50">
        <f t="shared" si="56"/>
        <v>11203.9</v>
      </c>
      <c r="J132" s="50">
        <f t="shared" si="56"/>
        <v>11040.3</v>
      </c>
      <c r="K132" s="50">
        <f t="shared" si="56"/>
        <v>580.29999999999995</v>
      </c>
      <c r="L132" s="50">
        <f t="shared" si="56"/>
        <v>514.4</v>
      </c>
    </row>
    <row r="133" spans="1:12" ht="15.75" x14ac:dyDescent="0.25">
      <c r="A133" s="27">
        <v>126</v>
      </c>
      <c r="B133" s="14" t="s">
        <v>249</v>
      </c>
      <c r="C133" s="50">
        <f t="shared" si="31"/>
        <v>47631.5</v>
      </c>
      <c r="D133" s="50">
        <f t="shared" si="32"/>
        <v>42955.9</v>
      </c>
      <c r="E133" s="50">
        <f t="shared" si="33"/>
        <v>-4675.6000000000004</v>
      </c>
      <c r="F133" s="50">
        <f t="shared" si="30"/>
        <v>90.2</v>
      </c>
      <c r="G133" s="50">
        <f>+G135+G136+G141+G142+G143+G144</f>
        <v>47104.4</v>
      </c>
      <c r="H133" s="50">
        <f t="shared" ref="H133:L133" si="57">+H135+H136+H141+H142+H143+H144</f>
        <v>42494.7</v>
      </c>
      <c r="I133" s="50">
        <f t="shared" si="57"/>
        <v>8649.7000000000007</v>
      </c>
      <c r="J133" s="50">
        <f t="shared" si="57"/>
        <v>8486.6</v>
      </c>
      <c r="K133" s="50">
        <f t="shared" si="57"/>
        <v>527.1</v>
      </c>
      <c r="L133" s="50">
        <f t="shared" si="57"/>
        <v>461.2</v>
      </c>
    </row>
    <row r="134" spans="1:12" ht="15.75" x14ac:dyDescent="0.25">
      <c r="A134" s="27">
        <v>127</v>
      </c>
      <c r="B134" s="61" t="s">
        <v>4</v>
      </c>
      <c r="C134" s="50">
        <f t="shared" si="31"/>
        <v>0</v>
      </c>
      <c r="D134" s="49">
        <f t="shared" si="32"/>
        <v>0</v>
      </c>
      <c r="E134" s="49">
        <f t="shared" si="33"/>
        <v>0</v>
      </c>
      <c r="F134" s="49"/>
      <c r="G134" s="49">
        <v>0</v>
      </c>
      <c r="H134" s="49"/>
      <c r="I134" s="49">
        <v>0</v>
      </c>
      <c r="J134" s="49"/>
      <c r="K134" s="49">
        <v>0</v>
      </c>
      <c r="L134" s="49"/>
    </row>
    <row r="135" spans="1:12" ht="31.5" x14ac:dyDescent="0.25">
      <c r="A135" s="27">
        <v>128</v>
      </c>
      <c r="B135" s="25" t="s">
        <v>226</v>
      </c>
      <c r="C135" s="49">
        <f t="shared" si="31"/>
        <v>24868.799999999999</v>
      </c>
      <c r="D135" s="49">
        <f t="shared" si="32"/>
        <v>20964</v>
      </c>
      <c r="E135" s="49">
        <f t="shared" si="33"/>
        <v>-3904.8</v>
      </c>
      <c r="F135" s="49">
        <f t="shared" si="30"/>
        <v>84.3</v>
      </c>
      <c r="G135" s="49">
        <f>16644.5+7876.2+4.7</f>
        <v>24525.4</v>
      </c>
      <c r="H135" s="49">
        <f>12980.7+7640.1+4.6+0.1</f>
        <v>20625.5</v>
      </c>
      <c r="I135" s="49">
        <v>5209</v>
      </c>
      <c r="J135" s="49">
        <v>5062.5</v>
      </c>
      <c r="K135" s="49">
        <f>4.5+338.9</f>
        <v>343.4</v>
      </c>
      <c r="L135" s="49">
        <v>338.5</v>
      </c>
    </row>
    <row r="136" spans="1:12" ht="68.25" customHeight="1" x14ac:dyDescent="0.25">
      <c r="A136" s="27">
        <v>129</v>
      </c>
      <c r="B136" s="28" t="s">
        <v>250</v>
      </c>
      <c r="C136" s="49">
        <f t="shared" si="31"/>
        <v>16473.5</v>
      </c>
      <c r="D136" s="49">
        <f t="shared" si="32"/>
        <v>15065.9</v>
      </c>
      <c r="E136" s="49">
        <f t="shared" si="33"/>
        <v>-1407.6</v>
      </c>
      <c r="F136" s="49">
        <f t="shared" si="30"/>
        <v>91.5</v>
      </c>
      <c r="G136" s="49">
        <f>+G138+G139+G140</f>
        <v>16473.5</v>
      </c>
      <c r="H136" s="49">
        <f t="shared" ref="H136:L136" si="58">+H138+H139+H140</f>
        <v>15065.9</v>
      </c>
      <c r="I136" s="49">
        <f t="shared" si="58"/>
        <v>1898</v>
      </c>
      <c r="J136" s="49">
        <f t="shared" si="58"/>
        <v>1897.9</v>
      </c>
      <c r="K136" s="49">
        <f t="shared" si="58"/>
        <v>0</v>
      </c>
      <c r="L136" s="49">
        <f t="shared" si="58"/>
        <v>0</v>
      </c>
    </row>
    <row r="137" spans="1:12" ht="18" customHeight="1" x14ac:dyDescent="0.25">
      <c r="A137" s="27">
        <v>130</v>
      </c>
      <c r="B137" s="61" t="s">
        <v>4</v>
      </c>
      <c r="C137" s="50">
        <f t="shared" si="31"/>
        <v>0</v>
      </c>
      <c r="D137" s="49">
        <f t="shared" si="32"/>
        <v>0</v>
      </c>
      <c r="E137" s="49">
        <f t="shared" si="33"/>
        <v>0</v>
      </c>
      <c r="F137" s="49"/>
      <c r="G137" s="49">
        <v>0</v>
      </c>
      <c r="H137" s="49"/>
      <c r="I137" s="49">
        <v>0</v>
      </c>
      <c r="J137" s="49"/>
      <c r="K137" s="49">
        <v>0</v>
      </c>
      <c r="L137" s="49"/>
    </row>
    <row r="138" spans="1:12" ht="18.75" customHeight="1" x14ac:dyDescent="0.25">
      <c r="A138" s="27">
        <v>131</v>
      </c>
      <c r="B138" s="11" t="s">
        <v>148</v>
      </c>
      <c r="C138" s="49">
        <f t="shared" si="31"/>
        <v>6491.9</v>
      </c>
      <c r="D138" s="49">
        <f t="shared" si="32"/>
        <v>6116.7</v>
      </c>
      <c r="E138" s="49">
        <f t="shared" si="33"/>
        <v>-375.2</v>
      </c>
      <c r="F138" s="49">
        <f t="shared" si="30"/>
        <v>94.2</v>
      </c>
      <c r="G138" s="49">
        <v>6491.9</v>
      </c>
      <c r="H138" s="49">
        <f>4971.8+529.2+615.7</f>
        <v>6116.7</v>
      </c>
      <c r="I138" s="49">
        <v>1898</v>
      </c>
      <c r="J138" s="49">
        <v>1897.9</v>
      </c>
      <c r="K138" s="49">
        <v>0</v>
      </c>
      <c r="L138" s="49"/>
    </row>
    <row r="139" spans="1:12" ht="32.25" customHeight="1" x14ac:dyDescent="0.25">
      <c r="A139" s="27">
        <v>132</v>
      </c>
      <c r="B139" s="11" t="s">
        <v>251</v>
      </c>
      <c r="C139" s="49">
        <f t="shared" ref="C139:C158" si="59">+G139+K139</f>
        <v>7679.2</v>
      </c>
      <c r="D139" s="49">
        <f t="shared" ref="D139:D158" si="60">+H139+L139</f>
        <v>6764.6</v>
      </c>
      <c r="E139" s="49">
        <f t="shared" ref="E139:E158" si="61">+D139-C139</f>
        <v>-914.6</v>
      </c>
      <c r="F139" s="49">
        <f t="shared" ref="F139:F158" si="62">+D139/C139*100</f>
        <v>88.1</v>
      </c>
      <c r="G139" s="49">
        <v>7679.2</v>
      </c>
      <c r="H139" s="49">
        <f>6764.7-0.1</f>
        <v>6764.6</v>
      </c>
      <c r="I139" s="49">
        <v>0</v>
      </c>
      <c r="J139" s="49"/>
      <c r="K139" s="49">
        <v>0</v>
      </c>
      <c r="L139" s="49"/>
    </row>
    <row r="140" spans="1:12" ht="18.75" customHeight="1" x14ac:dyDescent="0.25">
      <c r="A140" s="27">
        <v>133</v>
      </c>
      <c r="B140" s="11" t="s">
        <v>150</v>
      </c>
      <c r="C140" s="49">
        <f t="shared" si="59"/>
        <v>2302.4</v>
      </c>
      <c r="D140" s="49">
        <f t="shared" si="60"/>
        <v>2184.6</v>
      </c>
      <c r="E140" s="49">
        <f t="shared" si="61"/>
        <v>-117.8</v>
      </c>
      <c r="F140" s="49">
        <f t="shared" si="62"/>
        <v>94.9</v>
      </c>
      <c r="G140" s="49">
        <v>2302.4</v>
      </c>
      <c r="H140" s="49">
        <v>2184.6</v>
      </c>
      <c r="I140" s="49">
        <v>0</v>
      </c>
      <c r="J140" s="49"/>
      <c r="K140" s="49">
        <v>0</v>
      </c>
      <c r="L140" s="49"/>
    </row>
    <row r="141" spans="1:12" ht="48.75" customHeight="1" x14ac:dyDescent="0.25">
      <c r="A141" s="27">
        <v>134</v>
      </c>
      <c r="B141" s="28" t="s">
        <v>252</v>
      </c>
      <c r="C141" s="49">
        <f t="shared" si="59"/>
        <v>1892.9</v>
      </c>
      <c r="D141" s="49">
        <f t="shared" si="60"/>
        <v>1886.1</v>
      </c>
      <c r="E141" s="49">
        <f t="shared" si="61"/>
        <v>-6.8</v>
      </c>
      <c r="F141" s="49">
        <f t="shared" si="62"/>
        <v>99.6</v>
      </c>
      <c r="G141" s="49">
        <v>1892.9</v>
      </c>
      <c r="H141" s="49">
        <v>1886.1</v>
      </c>
      <c r="I141" s="49">
        <v>1125.8</v>
      </c>
      <c r="J141" s="49">
        <v>1109.3</v>
      </c>
      <c r="K141" s="49">
        <v>0</v>
      </c>
      <c r="L141" s="49"/>
    </row>
    <row r="142" spans="1:12" ht="48.75" customHeight="1" x14ac:dyDescent="0.25">
      <c r="A142" s="27">
        <v>135</v>
      </c>
      <c r="B142" s="28" t="s">
        <v>304</v>
      </c>
      <c r="C142" s="49">
        <f t="shared" si="59"/>
        <v>14.1</v>
      </c>
      <c r="D142" s="49">
        <f t="shared" si="60"/>
        <v>14</v>
      </c>
      <c r="E142" s="49">
        <f t="shared" si="61"/>
        <v>-0.1</v>
      </c>
      <c r="F142" s="49">
        <f t="shared" si="62"/>
        <v>99.3</v>
      </c>
      <c r="G142" s="49">
        <v>14.1</v>
      </c>
      <c r="H142" s="49">
        <v>14</v>
      </c>
      <c r="I142" s="49">
        <v>0</v>
      </c>
      <c r="J142" s="49"/>
      <c r="K142" s="49">
        <v>0</v>
      </c>
      <c r="L142" s="49"/>
    </row>
    <row r="143" spans="1:12" s="20" customFormat="1" ht="36.75" customHeight="1" x14ac:dyDescent="0.25">
      <c r="A143" s="27">
        <v>136</v>
      </c>
      <c r="B143" s="11" t="s">
        <v>253</v>
      </c>
      <c r="C143" s="49">
        <f t="shared" si="59"/>
        <v>1582.2</v>
      </c>
      <c r="D143" s="49">
        <f t="shared" si="60"/>
        <v>1556</v>
      </c>
      <c r="E143" s="49">
        <f t="shared" si="61"/>
        <v>-26.2</v>
      </c>
      <c r="F143" s="49">
        <f t="shared" si="62"/>
        <v>98.3</v>
      </c>
      <c r="G143" s="49">
        <v>1548.5</v>
      </c>
      <c r="H143" s="49">
        <f>282.3+1240</f>
        <v>1522.3</v>
      </c>
      <c r="I143" s="49">
        <v>416.9</v>
      </c>
      <c r="J143" s="49">
        <f>71.2+345.7</f>
        <v>416.9</v>
      </c>
      <c r="K143" s="49">
        <v>33.700000000000003</v>
      </c>
      <c r="L143" s="49">
        <f>13.6+20.1</f>
        <v>33.700000000000003</v>
      </c>
    </row>
    <row r="144" spans="1:12" s="20" customFormat="1" ht="51.75" customHeight="1" x14ac:dyDescent="0.25">
      <c r="A144" s="27">
        <v>137</v>
      </c>
      <c r="B144" s="11" t="s">
        <v>254</v>
      </c>
      <c r="C144" s="49">
        <f t="shared" si="59"/>
        <v>2800</v>
      </c>
      <c r="D144" s="49">
        <f t="shared" si="60"/>
        <v>3469.9</v>
      </c>
      <c r="E144" s="49">
        <f t="shared" si="61"/>
        <v>669.9</v>
      </c>
      <c r="F144" s="49">
        <f t="shared" si="62"/>
        <v>123.9</v>
      </c>
      <c r="G144" s="49">
        <v>2650</v>
      </c>
      <c r="H144" s="49">
        <v>3380.9</v>
      </c>
      <c r="I144" s="49">
        <v>0</v>
      </c>
      <c r="J144" s="49"/>
      <c r="K144" s="49">
        <v>150</v>
      </c>
      <c r="L144" s="49">
        <v>89</v>
      </c>
    </row>
    <row r="145" spans="1:12" ht="15.75" x14ac:dyDescent="0.25">
      <c r="A145" s="27">
        <v>138</v>
      </c>
      <c r="B145" s="14" t="s">
        <v>255</v>
      </c>
      <c r="C145" s="50">
        <f t="shared" si="59"/>
        <v>4879.6000000000004</v>
      </c>
      <c r="D145" s="50">
        <f t="shared" si="60"/>
        <v>4821.7</v>
      </c>
      <c r="E145" s="50">
        <f t="shared" si="61"/>
        <v>-57.9</v>
      </c>
      <c r="F145" s="50">
        <f t="shared" si="62"/>
        <v>98.8</v>
      </c>
      <c r="G145" s="50">
        <f>+G147+G148+G149+G153+G154</f>
        <v>4826.3999999999996</v>
      </c>
      <c r="H145" s="50">
        <f t="shared" ref="H145:L145" si="63">+H147+H148+H149+H153+H154</f>
        <v>4768.5</v>
      </c>
      <c r="I145" s="50">
        <f t="shared" si="63"/>
        <v>2547.3000000000002</v>
      </c>
      <c r="J145" s="50">
        <f t="shared" si="63"/>
        <v>2547</v>
      </c>
      <c r="K145" s="50">
        <f t="shared" si="63"/>
        <v>53.2</v>
      </c>
      <c r="L145" s="50">
        <f t="shared" si="63"/>
        <v>53.2</v>
      </c>
    </row>
    <row r="146" spans="1:12" ht="15.75" x14ac:dyDescent="0.25">
      <c r="A146" s="27">
        <v>139</v>
      </c>
      <c r="B146" s="61" t="s">
        <v>4</v>
      </c>
      <c r="C146" s="50">
        <f t="shared" si="59"/>
        <v>0</v>
      </c>
      <c r="D146" s="49">
        <f t="shared" si="60"/>
        <v>0</v>
      </c>
      <c r="E146" s="49">
        <f t="shared" si="61"/>
        <v>0</v>
      </c>
      <c r="F146" s="49"/>
      <c r="G146" s="49">
        <v>0</v>
      </c>
      <c r="H146" s="49"/>
      <c r="I146" s="49">
        <v>0</v>
      </c>
      <c r="J146" s="49"/>
      <c r="K146" s="49">
        <v>0</v>
      </c>
      <c r="L146" s="49"/>
    </row>
    <row r="147" spans="1:12" ht="31.5" x14ac:dyDescent="0.25">
      <c r="A147" s="27">
        <v>140</v>
      </c>
      <c r="B147" s="28" t="s">
        <v>291</v>
      </c>
      <c r="C147" s="49">
        <f t="shared" si="59"/>
        <v>101.9</v>
      </c>
      <c r="D147" s="49">
        <f t="shared" si="60"/>
        <v>36.9</v>
      </c>
      <c r="E147" s="49">
        <f t="shared" si="61"/>
        <v>-65</v>
      </c>
      <c r="F147" s="49">
        <f t="shared" si="62"/>
        <v>36.200000000000003</v>
      </c>
      <c r="G147" s="49">
        <v>101.9</v>
      </c>
      <c r="H147" s="49">
        <f>67.4-35.4+4.9</f>
        <v>36.9</v>
      </c>
      <c r="I147" s="49">
        <v>6.3</v>
      </c>
      <c r="J147" s="49">
        <v>6.2</v>
      </c>
      <c r="K147" s="49">
        <v>0</v>
      </c>
      <c r="L147" s="49"/>
    </row>
    <row r="148" spans="1:12" ht="49.5" customHeight="1" x14ac:dyDescent="0.25">
      <c r="A148" s="27">
        <v>141</v>
      </c>
      <c r="B148" s="28" t="s">
        <v>256</v>
      </c>
      <c r="C148" s="49">
        <f t="shared" si="59"/>
        <v>2910.3</v>
      </c>
      <c r="D148" s="49">
        <f t="shared" si="60"/>
        <v>2899.5</v>
      </c>
      <c r="E148" s="49">
        <f t="shared" si="61"/>
        <v>-10.8</v>
      </c>
      <c r="F148" s="49">
        <f t="shared" si="62"/>
        <v>99.6</v>
      </c>
      <c r="G148" s="49">
        <v>2857.1</v>
      </c>
      <c r="H148" s="49">
        <v>2846.3</v>
      </c>
      <c r="I148" s="49">
        <v>1776.1</v>
      </c>
      <c r="J148" s="49">
        <v>1776.1</v>
      </c>
      <c r="K148" s="49">
        <v>53.2</v>
      </c>
      <c r="L148" s="49">
        <v>53.2</v>
      </c>
    </row>
    <row r="149" spans="1:12" ht="62.25" customHeight="1" x14ac:dyDescent="0.25">
      <c r="A149" s="27">
        <v>142</v>
      </c>
      <c r="B149" s="28" t="s">
        <v>257</v>
      </c>
      <c r="C149" s="49">
        <f t="shared" si="59"/>
        <v>1429.6</v>
      </c>
      <c r="D149" s="49">
        <f t="shared" si="60"/>
        <v>1429.4</v>
      </c>
      <c r="E149" s="49">
        <f t="shared" si="61"/>
        <v>-0.2</v>
      </c>
      <c r="F149" s="49">
        <f t="shared" si="62"/>
        <v>100</v>
      </c>
      <c r="G149" s="49">
        <f>+G151+G152</f>
        <v>1429.6</v>
      </c>
      <c r="H149" s="49">
        <f t="shared" ref="H149:L149" si="64">+H151+H152</f>
        <v>1429.4</v>
      </c>
      <c r="I149" s="49">
        <f t="shared" si="64"/>
        <v>764.9</v>
      </c>
      <c r="J149" s="49">
        <f t="shared" si="64"/>
        <v>764.7</v>
      </c>
      <c r="K149" s="49">
        <f t="shared" si="64"/>
        <v>0</v>
      </c>
      <c r="L149" s="49">
        <f t="shared" si="64"/>
        <v>0</v>
      </c>
    </row>
    <row r="150" spans="1:12" ht="19.5" customHeight="1" x14ac:dyDescent="0.25">
      <c r="A150" s="27">
        <v>143</v>
      </c>
      <c r="B150" s="61" t="s">
        <v>4</v>
      </c>
      <c r="C150" s="50">
        <f t="shared" si="59"/>
        <v>0</v>
      </c>
      <c r="D150" s="49">
        <f t="shared" si="60"/>
        <v>0</v>
      </c>
      <c r="E150" s="49">
        <f t="shared" si="61"/>
        <v>0</v>
      </c>
      <c r="F150" s="49"/>
      <c r="G150" s="49">
        <v>0</v>
      </c>
      <c r="H150" s="49"/>
      <c r="I150" s="49">
        <v>0</v>
      </c>
      <c r="J150" s="49"/>
      <c r="K150" s="49">
        <v>0</v>
      </c>
      <c r="L150" s="49"/>
    </row>
    <row r="151" spans="1:12" ht="22.5" customHeight="1" x14ac:dyDescent="0.25">
      <c r="A151" s="27">
        <v>144</v>
      </c>
      <c r="B151" s="28" t="s">
        <v>151</v>
      </c>
      <c r="C151" s="49">
        <f t="shared" si="59"/>
        <v>871.8</v>
      </c>
      <c r="D151" s="49">
        <f t="shared" si="60"/>
        <v>871.6</v>
      </c>
      <c r="E151" s="49">
        <f t="shared" si="61"/>
        <v>-0.2</v>
      </c>
      <c r="F151" s="49">
        <f t="shared" si="62"/>
        <v>100</v>
      </c>
      <c r="G151" s="49">
        <v>871.8</v>
      </c>
      <c r="H151" s="49">
        <v>871.6</v>
      </c>
      <c r="I151" s="49">
        <v>532.6</v>
      </c>
      <c r="J151" s="49">
        <v>532.4</v>
      </c>
      <c r="K151" s="49">
        <v>0</v>
      </c>
      <c r="L151" s="49"/>
    </row>
    <row r="152" spans="1:12" ht="36.75" customHeight="1" x14ac:dyDescent="0.25">
      <c r="A152" s="27">
        <v>145</v>
      </c>
      <c r="B152" s="28" t="s">
        <v>152</v>
      </c>
      <c r="C152" s="49">
        <f t="shared" si="59"/>
        <v>557.79999999999995</v>
      </c>
      <c r="D152" s="49">
        <f t="shared" si="60"/>
        <v>557.79999999999995</v>
      </c>
      <c r="E152" s="49">
        <f t="shared" si="61"/>
        <v>0</v>
      </c>
      <c r="F152" s="49">
        <f t="shared" si="62"/>
        <v>100</v>
      </c>
      <c r="G152" s="49">
        <v>557.79999999999995</v>
      </c>
      <c r="H152" s="49">
        <v>557.79999999999995</v>
      </c>
      <c r="I152" s="49">
        <v>232.3</v>
      </c>
      <c r="J152" s="49">
        <v>232.3</v>
      </c>
      <c r="K152" s="49">
        <v>0</v>
      </c>
      <c r="L152" s="49"/>
    </row>
    <row r="153" spans="1:12" ht="31.5" x14ac:dyDescent="0.25">
      <c r="A153" s="27">
        <v>146</v>
      </c>
      <c r="B153" s="11" t="s">
        <v>258</v>
      </c>
      <c r="C153" s="49">
        <f t="shared" si="59"/>
        <v>401</v>
      </c>
      <c r="D153" s="49">
        <f t="shared" si="60"/>
        <v>420.5</v>
      </c>
      <c r="E153" s="49">
        <f t="shared" si="61"/>
        <v>19.5</v>
      </c>
      <c r="F153" s="49">
        <f t="shared" si="62"/>
        <v>104.9</v>
      </c>
      <c r="G153" s="49">
        <v>401</v>
      </c>
      <c r="H153" s="49">
        <v>420.5</v>
      </c>
      <c r="I153" s="49">
        <v>0</v>
      </c>
      <c r="J153" s="49"/>
      <c r="K153" s="49">
        <v>0</v>
      </c>
      <c r="L153" s="49"/>
    </row>
    <row r="154" spans="1:12" ht="31.5" x14ac:dyDescent="0.25">
      <c r="A154" s="27">
        <v>147</v>
      </c>
      <c r="B154" s="25" t="s">
        <v>259</v>
      </c>
      <c r="C154" s="49">
        <f t="shared" si="59"/>
        <v>36.799999999999997</v>
      </c>
      <c r="D154" s="49">
        <f t="shared" si="60"/>
        <v>35.4</v>
      </c>
      <c r="E154" s="49">
        <f t="shared" si="61"/>
        <v>-1.4</v>
      </c>
      <c r="F154" s="49">
        <f t="shared" si="62"/>
        <v>96.2</v>
      </c>
      <c r="G154" s="49">
        <v>36.799999999999997</v>
      </c>
      <c r="H154" s="49">
        <v>35.4</v>
      </c>
      <c r="I154" s="49">
        <v>0</v>
      </c>
      <c r="J154" s="49"/>
      <c r="K154" s="49">
        <v>0</v>
      </c>
      <c r="L154" s="49"/>
    </row>
    <row r="155" spans="1:12" s="10" customFormat="1" ht="47.25" x14ac:dyDescent="0.25">
      <c r="A155" s="27">
        <v>148</v>
      </c>
      <c r="B155" s="24" t="s">
        <v>260</v>
      </c>
      <c r="C155" s="50">
        <f t="shared" si="59"/>
        <v>10.4</v>
      </c>
      <c r="D155" s="50">
        <f t="shared" si="60"/>
        <v>10.1</v>
      </c>
      <c r="E155" s="50">
        <f t="shared" si="61"/>
        <v>-0.3</v>
      </c>
      <c r="F155" s="50">
        <f t="shared" si="62"/>
        <v>97.1</v>
      </c>
      <c r="G155" s="50">
        <v>10.4</v>
      </c>
      <c r="H155" s="50">
        <v>10.1</v>
      </c>
      <c r="I155" s="50">
        <v>6.9</v>
      </c>
      <c r="J155" s="50">
        <v>6.7</v>
      </c>
      <c r="K155" s="50">
        <v>0</v>
      </c>
      <c r="L155" s="50"/>
    </row>
    <row r="156" spans="1:12" ht="15" customHeight="1" x14ac:dyDescent="0.25">
      <c r="A156" s="27">
        <v>149</v>
      </c>
      <c r="B156" s="14" t="s">
        <v>261</v>
      </c>
      <c r="C156" s="50">
        <f t="shared" ref="C156:D156" si="65">+C8+C10+C51+C95+C97+C115+C132</f>
        <v>420888.6</v>
      </c>
      <c r="D156" s="50">
        <f t="shared" si="65"/>
        <v>411839.8</v>
      </c>
      <c r="E156" s="50">
        <f t="shared" ref="E156:L156" si="66">+E8+E10+E51+E95+E97+E115+E132</f>
        <v>-9048.7999999999993</v>
      </c>
      <c r="F156" s="50">
        <f t="shared" si="62"/>
        <v>97.9</v>
      </c>
      <c r="G156" s="50">
        <f t="shared" si="66"/>
        <v>375763.20000000001</v>
      </c>
      <c r="H156" s="50">
        <f t="shared" si="66"/>
        <v>368646.1</v>
      </c>
      <c r="I156" s="50">
        <f t="shared" si="66"/>
        <v>166223.70000000001</v>
      </c>
      <c r="J156" s="50">
        <f t="shared" si="66"/>
        <v>165763.4</v>
      </c>
      <c r="K156" s="50">
        <f t="shared" si="66"/>
        <v>45125.4</v>
      </c>
      <c r="L156" s="50">
        <f t="shared" si="66"/>
        <v>43193.7</v>
      </c>
    </row>
    <row r="157" spans="1:12" ht="15" customHeight="1" x14ac:dyDescent="0.25">
      <c r="A157" s="27">
        <v>150</v>
      </c>
      <c r="B157" s="61" t="s">
        <v>4</v>
      </c>
      <c r="C157" s="50">
        <f t="shared" si="59"/>
        <v>0</v>
      </c>
      <c r="D157" s="49">
        <f t="shared" si="60"/>
        <v>0</v>
      </c>
      <c r="E157" s="49">
        <f t="shared" si="61"/>
        <v>0</v>
      </c>
      <c r="F157" s="49"/>
      <c r="G157" s="49">
        <v>0</v>
      </c>
      <c r="H157" s="49"/>
      <c r="I157" s="49">
        <v>0</v>
      </c>
      <c r="J157" s="49"/>
      <c r="K157" s="49">
        <v>0</v>
      </c>
      <c r="L157" s="49"/>
    </row>
    <row r="158" spans="1:12" ht="34.5" customHeight="1" x14ac:dyDescent="0.25">
      <c r="A158" s="27">
        <v>151</v>
      </c>
      <c r="B158" s="11" t="s">
        <v>305</v>
      </c>
      <c r="C158" s="49">
        <f t="shared" si="59"/>
        <v>134229.5</v>
      </c>
      <c r="D158" s="49">
        <f t="shared" si="60"/>
        <v>133083.79999999999</v>
      </c>
      <c r="E158" s="49">
        <f t="shared" si="61"/>
        <v>-1145.7</v>
      </c>
      <c r="F158" s="49">
        <f t="shared" si="62"/>
        <v>99.1</v>
      </c>
      <c r="G158" s="49">
        <f>+G19+G38+G43+G50+G61+G111+G89+G94+G112+G119+G124+G125+G126+G136+G141+G142+G148+G149</f>
        <v>130976.5</v>
      </c>
      <c r="H158" s="49">
        <f t="shared" ref="H158:L158" si="67">+H19+H38+H43+H50+H61+H111+H89+H94+H112+H119+H124+H125+H126+H136+H141+H142+H148+H149</f>
        <v>129611.4</v>
      </c>
      <c r="I158" s="49">
        <f t="shared" si="67"/>
        <v>84855.8</v>
      </c>
      <c r="J158" s="49">
        <f t="shared" si="67"/>
        <v>84796.7</v>
      </c>
      <c r="K158" s="49">
        <f t="shared" si="67"/>
        <v>3253</v>
      </c>
      <c r="L158" s="49">
        <f t="shared" si="67"/>
        <v>3472.4</v>
      </c>
    </row>
    <row r="160" spans="1:12" x14ac:dyDescent="0.2">
      <c r="B160" s="32"/>
      <c r="C160" s="32"/>
      <c r="D160" s="32"/>
      <c r="E160" s="32"/>
    </row>
  </sheetData>
  <mergeCells count="14">
    <mergeCell ref="B3:B6"/>
    <mergeCell ref="A3:A6"/>
    <mergeCell ref="C3:C6"/>
    <mergeCell ref="G5:G6"/>
    <mergeCell ref="D3:D6"/>
    <mergeCell ref="E3:E6"/>
    <mergeCell ref="F3:F6"/>
    <mergeCell ref="G3:L3"/>
    <mergeCell ref="G4:J4"/>
    <mergeCell ref="L5:L6"/>
    <mergeCell ref="K4:L4"/>
    <mergeCell ref="H5:H6"/>
    <mergeCell ref="I5:J5"/>
    <mergeCell ref="K5:K6"/>
  </mergeCells>
  <pageMargins left="0.70866141732283472" right="0.31496062992125984" top="0.74803149606299213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Zeros="0" zoomScale="90" zoomScaleNormal="90" workbookViewId="0">
      <selection activeCell="B5" sqref="B5:M6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6" width="10.140625" style="2"/>
    <col min="7" max="7" width="8.85546875" style="2" customWidth="1"/>
    <col min="8" max="214" width="10.140625" style="2"/>
    <col min="215" max="215" width="5.28515625" style="2" customWidth="1"/>
    <col min="216" max="216" width="23" style="2" customWidth="1"/>
    <col min="217" max="217" width="18" style="2" customWidth="1"/>
    <col min="218" max="218" width="12" style="2" customWidth="1"/>
    <col min="219" max="219" width="11" style="2" customWidth="1"/>
    <col min="220" max="220" width="10.85546875" style="2" customWidth="1"/>
    <col min="221" max="221" width="9.42578125" style="2" customWidth="1"/>
    <col min="222" max="470" width="10.140625" style="2"/>
    <col min="471" max="471" width="5.28515625" style="2" customWidth="1"/>
    <col min="472" max="472" width="23" style="2" customWidth="1"/>
    <col min="473" max="473" width="18" style="2" customWidth="1"/>
    <col min="474" max="474" width="12" style="2" customWidth="1"/>
    <col min="475" max="475" width="11" style="2" customWidth="1"/>
    <col min="476" max="476" width="10.85546875" style="2" customWidth="1"/>
    <col min="477" max="477" width="9.42578125" style="2" customWidth="1"/>
    <col min="478" max="726" width="10.140625" style="2"/>
    <col min="727" max="727" width="5.28515625" style="2" customWidth="1"/>
    <col min="728" max="728" width="23" style="2" customWidth="1"/>
    <col min="729" max="729" width="18" style="2" customWidth="1"/>
    <col min="730" max="730" width="12" style="2" customWidth="1"/>
    <col min="731" max="731" width="11" style="2" customWidth="1"/>
    <col min="732" max="732" width="10.85546875" style="2" customWidth="1"/>
    <col min="733" max="733" width="9.42578125" style="2" customWidth="1"/>
    <col min="734" max="982" width="10.140625" style="2"/>
    <col min="983" max="983" width="5.28515625" style="2" customWidth="1"/>
    <col min="984" max="984" width="23" style="2" customWidth="1"/>
    <col min="985" max="985" width="18" style="2" customWidth="1"/>
    <col min="986" max="986" width="12" style="2" customWidth="1"/>
    <col min="987" max="987" width="11" style="2" customWidth="1"/>
    <col min="988" max="988" width="10.85546875" style="2" customWidth="1"/>
    <col min="989" max="989" width="9.42578125" style="2" customWidth="1"/>
    <col min="990" max="1238" width="10.140625" style="2"/>
    <col min="1239" max="1239" width="5.28515625" style="2" customWidth="1"/>
    <col min="1240" max="1240" width="23" style="2" customWidth="1"/>
    <col min="1241" max="1241" width="18" style="2" customWidth="1"/>
    <col min="1242" max="1242" width="12" style="2" customWidth="1"/>
    <col min="1243" max="1243" width="11" style="2" customWidth="1"/>
    <col min="1244" max="1244" width="10.85546875" style="2" customWidth="1"/>
    <col min="1245" max="1245" width="9.42578125" style="2" customWidth="1"/>
    <col min="1246" max="1494" width="10.140625" style="2"/>
    <col min="1495" max="1495" width="5.28515625" style="2" customWidth="1"/>
    <col min="1496" max="1496" width="23" style="2" customWidth="1"/>
    <col min="1497" max="1497" width="18" style="2" customWidth="1"/>
    <col min="1498" max="1498" width="12" style="2" customWidth="1"/>
    <col min="1499" max="1499" width="11" style="2" customWidth="1"/>
    <col min="1500" max="1500" width="10.85546875" style="2" customWidth="1"/>
    <col min="1501" max="1501" width="9.42578125" style="2" customWidth="1"/>
    <col min="1502" max="1750" width="10.140625" style="2"/>
    <col min="1751" max="1751" width="5.28515625" style="2" customWidth="1"/>
    <col min="1752" max="1752" width="23" style="2" customWidth="1"/>
    <col min="1753" max="1753" width="18" style="2" customWidth="1"/>
    <col min="1754" max="1754" width="12" style="2" customWidth="1"/>
    <col min="1755" max="1755" width="11" style="2" customWidth="1"/>
    <col min="1756" max="1756" width="10.85546875" style="2" customWidth="1"/>
    <col min="1757" max="1757" width="9.42578125" style="2" customWidth="1"/>
    <col min="1758" max="2006" width="10.140625" style="2"/>
    <col min="2007" max="2007" width="5.28515625" style="2" customWidth="1"/>
    <col min="2008" max="2008" width="23" style="2" customWidth="1"/>
    <col min="2009" max="2009" width="18" style="2" customWidth="1"/>
    <col min="2010" max="2010" width="12" style="2" customWidth="1"/>
    <col min="2011" max="2011" width="11" style="2" customWidth="1"/>
    <col min="2012" max="2012" width="10.85546875" style="2" customWidth="1"/>
    <col min="2013" max="2013" width="9.42578125" style="2" customWidth="1"/>
    <col min="2014" max="2262" width="10.140625" style="2"/>
    <col min="2263" max="2263" width="5.28515625" style="2" customWidth="1"/>
    <col min="2264" max="2264" width="23" style="2" customWidth="1"/>
    <col min="2265" max="2265" width="18" style="2" customWidth="1"/>
    <col min="2266" max="2266" width="12" style="2" customWidth="1"/>
    <col min="2267" max="2267" width="11" style="2" customWidth="1"/>
    <col min="2268" max="2268" width="10.85546875" style="2" customWidth="1"/>
    <col min="2269" max="2269" width="9.42578125" style="2" customWidth="1"/>
    <col min="2270" max="2518" width="10.140625" style="2"/>
    <col min="2519" max="2519" width="5.28515625" style="2" customWidth="1"/>
    <col min="2520" max="2520" width="23" style="2" customWidth="1"/>
    <col min="2521" max="2521" width="18" style="2" customWidth="1"/>
    <col min="2522" max="2522" width="12" style="2" customWidth="1"/>
    <col min="2523" max="2523" width="11" style="2" customWidth="1"/>
    <col min="2524" max="2524" width="10.85546875" style="2" customWidth="1"/>
    <col min="2525" max="2525" width="9.42578125" style="2" customWidth="1"/>
    <col min="2526" max="2774" width="10.140625" style="2"/>
    <col min="2775" max="2775" width="5.28515625" style="2" customWidth="1"/>
    <col min="2776" max="2776" width="23" style="2" customWidth="1"/>
    <col min="2777" max="2777" width="18" style="2" customWidth="1"/>
    <col min="2778" max="2778" width="12" style="2" customWidth="1"/>
    <col min="2779" max="2779" width="11" style="2" customWidth="1"/>
    <col min="2780" max="2780" width="10.85546875" style="2" customWidth="1"/>
    <col min="2781" max="2781" width="9.42578125" style="2" customWidth="1"/>
    <col min="2782" max="3030" width="10.140625" style="2"/>
    <col min="3031" max="3031" width="5.28515625" style="2" customWidth="1"/>
    <col min="3032" max="3032" width="23" style="2" customWidth="1"/>
    <col min="3033" max="3033" width="18" style="2" customWidth="1"/>
    <col min="3034" max="3034" width="12" style="2" customWidth="1"/>
    <col min="3035" max="3035" width="11" style="2" customWidth="1"/>
    <col min="3036" max="3036" width="10.85546875" style="2" customWidth="1"/>
    <col min="3037" max="3037" width="9.42578125" style="2" customWidth="1"/>
    <col min="3038" max="3286" width="10.140625" style="2"/>
    <col min="3287" max="3287" width="5.28515625" style="2" customWidth="1"/>
    <col min="3288" max="3288" width="23" style="2" customWidth="1"/>
    <col min="3289" max="3289" width="18" style="2" customWidth="1"/>
    <col min="3290" max="3290" width="12" style="2" customWidth="1"/>
    <col min="3291" max="3291" width="11" style="2" customWidth="1"/>
    <col min="3292" max="3292" width="10.85546875" style="2" customWidth="1"/>
    <col min="3293" max="3293" width="9.42578125" style="2" customWidth="1"/>
    <col min="3294" max="3542" width="10.140625" style="2"/>
    <col min="3543" max="3543" width="5.28515625" style="2" customWidth="1"/>
    <col min="3544" max="3544" width="23" style="2" customWidth="1"/>
    <col min="3545" max="3545" width="18" style="2" customWidth="1"/>
    <col min="3546" max="3546" width="12" style="2" customWidth="1"/>
    <col min="3547" max="3547" width="11" style="2" customWidth="1"/>
    <col min="3548" max="3548" width="10.85546875" style="2" customWidth="1"/>
    <col min="3549" max="3549" width="9.42578125" style="2" customWidth="1"/>
    <col min="3550" max="3798" width="10.140625" style="2"/>
    <col min="3799" max="3799" width="5.28515625" style="2" customWidth="1"/>
    <col min="3800" max="3800" width="23" style="2" customWidth="1"/>
    <col min="3801" max="3801" width="18" style="2" customWidth="1"/>
    <col min="3802" max="3802" width="12" style="2" customWidth="1"/>
    <col min="3803" max="3803" width="11" style="2" customWidth="1"/>
    <col min="3804" max="3804" width="10.85546875" style="2" customWidth="1"/>
    <col min="3805" max="3805" width="9.42578125" style="2" customWidth="1"/>
    <col min="3806" max="4054" width="10.140625" style="2"/>
    <col min="4055" max="4055" width="5.28515625" style="2" customWidth="1"/>
    <col min="4056" max="4056" width="23" style="2" customWidth="1"/>
    <col min="4057" max="4057" width="18" style="2" customWidth="1"/>
    <col min="4058" max="4058" width="12" style="2" customWidth="1"/>
    <col min="4059" max="4059" width="11" style="2" customWidth="1"/>
    <col min="4060" max="4060" width="10.85546875" style="2" customWidth="1"/>
    <col min="4061" max="4061" width="9.42578125" style="2" customWidth="1"/>
    <col min="4062" max="4310" width="10.140625" style="2"/>
    <col min="4311" max="4311" width="5.28515625" style="2" customWidth="1"/>
    <col min="4312" max="4312" width="23" style="2" customWidth="1"/>
    <col min="4313" max="4313" width="18" style="2" customWidth="1"/>
    <col min="4314" max="4314" width="12" style="2" customWidth="1"/>
    <col min="4315" max="4315" width="11" style="2" customWidth="1"/>
    <col min="4316" max="4316" width="10.85546875" style="2" customWidth="1"/>
    <col min="4317" max="4317" width="9.42578125" style="2" customWidth="1"/>
    <col min="4318" max="4566" width="10.140625" style="2"/>
    <col min="4567" max="4567" width="5.28515625" style="2" customWidth="1"/>
    <col min="4568" max="4568" width="23" style="2" customWidth="1"/>
    <col min="4569" max="4569" width="18" style="2" customWidth="1"/>
    <col min="4570" max="4570" width="12" style="2" customWidth="1"/>
    <col min="4571" max="4571" width="11" style="2" customWidth="1"/>
    <col min="4572" max="4572" width="10.85546875" style="2" customWidth="1"/>
    <col min="4573" max="4573" width="9.42578125" style="2" customWidth="1"/>
    <col min="4574" max="4822" width="10.140625" style="2"/>
    <col min="4823" max="4823" width="5.28515625" style="2" customWidth="1"/>
    <col min="4824" max="4824" width="23" style="2" customWidth="1"/>
    <col min="4825" max="4825" width="18" style="2" customWidth="1"/>
    <col min="4826" max="4826" width="12" style="2" customWidth="1"/>
    <col min="4827" max="4827" width="11" style="2" customWidth="1"/>
    <col min="4828" max="4828" width="10.85546875" style="2" customWidth="1"/>
    <col min="4829" max="4829" width="9.42578125" style="2" customWidth="1"/>
    <col min="4830" max="5078" width="10.140625" style="2"/>
    <col min="5079" max="5079" width="5.28515625" style="2" customWidth="1"/>
    <col min="5080" max="5080" width="23" style="2" customWidth="1"/>
    <col min="5081" max="5081" width="18" style="2" customWidth="1"/>
    <col min="5082" max="5082" width="12" style="2" customWidth="1"/>
    <col min="5083" max="5083" width="11" style="2" customWidth="1"/>
    <col min="5084" max="5084" width="10.85546875" style="2" customWidth="1"/>
    <col min="5085" max="5085" width="9.42578125" style="2" customWidth="1"/>
    <col min="5086" max="5334" width="10.140625" style="2"/>
    <col min="5335" max="5335" width="5.28515625" style="2" customWidth="1"/>
    <col min="5336" max="5336" width="23" style="2" customWidth="1"/>
    <col min="5337" max="5337" width="18" style="2" customWidth="1"/>
    <col min="5338" max="5338" width="12" style="2" customWidth="1"/>
    <col min="5339" max="5339" width="11" style="2" customWidth="1"/>
    <col min="5340" max="5340" width="10.85546875" style="2" customWidth="1"/>
    <col min="5341" max="5341" width="9.42578125" style="2" customWidth="1"/>
    <col min="5342" max="5590" width="10.140625" style="2"/>
    <col min="5591" max="5591" width="5.28515625" style="2" customWidth="1"/>
    <col min="5592" max="5592" width="23" style="2" customWidth="1"/>
    <col min="5593" max="5593" width="18" style="2" customWidth="1"/>
    <col min="5594" max="5594" width="12" style="2" customWidth="1"/>
    <col min="5595" max="5595" width="11" style="2" customWidth="1"/>
    <col min="5596" max="5596" width="10.85546875" style="2" customWidth="1"/>
    <col min="5597" max="5597" width="9.42578125" style="2" customWidth="1"/>
    <col min="5598" max="5846" width="10.140625" style="2"/>
    <col min="5847" max="5847" width="5.28515625" style="2" customWidth="1"/>
    <col min="5848" max="5848" width="23" style="2" customWidth="1"/>
    <col min="5849" max="5849" width="18" style="2" customWidth="1"/>
    <col min="5850" max="5850" width="12" style="2" customWidth="1"/>
    <col min="5851" max="5851" width="11" style="2" customWidth="1"/>
    <col min="5852" max="5852" width="10.85546875" style="2" customWidth="1"/>
    <col min="5853" max="5853" width="9.42578125" style="2" customWidth="1"/>
    <col min="5854" max="6102" width="10.140625" style="2"/>
    <col min="6103" max="6103" width="5.28515625" style="2" customWidth="1"/>
    <col min="6104" max="6104" width="23" style="2" customWidth="1"/>
    <col min="6105" max="6105" width="18" style="2" customWidth="1"/>
    <col min="6106" max="6106" width="12" style="2" customWidth="1"/>
    <col min="6107" max="6107" width="11" style="2" customWidth="1"/>
    <col min="6108" max="6108" width="10.85546875" style="2" customWidth="1"/>
    <col min="6109" max="6109" width="9.42578125" style="2" customWidth="1"/>
    <col min="6110" max="6358" width="10.140625" style="2"/>
    <col min="6359" max="6359" width="5.28515625" style="2" customWidth="1"/>
    <col min="6360" max="6360" width="23" style="2" customWidth="1"/>
    <col min="6361" max="6361" width="18" style="2" customWidth="1"/>
    <col min="6362" max="6362" width="12" style="2" customWidth="1"/>
    <col min="6363" max="6363" width="11" style="2" customWidth="1"/>
    <col min="6364" max="6364" width="10.85546875" style="2" customWidth="1"/>
    <col min="6365" max="6365" width="9.42578125" style="2" customWidth="1"/>
    <col min="6366" max="6614" width="10.140625" style="2"/>
    <col min="6615" max="6615" width="5.28515625" style="2" customWidth="1"/>
    <col min="6616" max="6616" width="23" style="2" customWidth="1"/>
    <col min="6617" max="6617" width="18" style="2" customWidth="1"/>
    <col min="6618" max="6618" width="12" style="2" customWidth="1"/>
    <col min="6619" max="6619" width="11" style="2" customWidth="1"/>
    <col min="6620" max="6620" width="10.85546875" style="2" customWidth="1"/>
    <col min="6621" max="6621" width="9.42578125" style="2" customWidth="1"/>
    <col min="6622" max="6870" width="10.140625" style="2"/>
    <col min="6871" max="6871" width="5.28515625" style="2" customWidth="1"/>
    <col min="6872" max="6872" width="23" style="2" customWidth="1"/>
    <col min="6873" max="6873" width="18" style="2" customWidth="1"/>
    <col min="6874" max="6874" width="12" style="2" customWidth="1"/>
    <col min="6875" max="6875" width="11" style="2" customWidth="1"/>
    <col min="6876" max="6876" width="10.85546875" style="2" customWidth="1"/>
    <col min="6877" max="6877" width="9.42578125" style="2" customWidth="1"/>
    <col min="6878" max="7126" width="10.140625" style="2"/>
    <col min="7127" max="7127" width="5.28515625" style="2" customWidth="1"/>
    <col min="7128" max="7128" width="23" style="2" customWidth="1"/>
    <col min="7129" max="7129" width="18" style="2" customWidth="1"/>
    <col min="7130" max="7130" width="12" style="2" customWidth="1"/>
    <col min="7131" max="7131" width="11" style="2" customWidth="1"/>
    <col min="7132" max="7132" width="10.85546875" style="2" customWidth="1"/>
    <col min="7133" max="7133" width="9.42578125" style="2" customWidth="1"/>
    <col min="7134" max="7382" width="10.140625" style="2"/>
    <col min="7383" max="7383" width="5.28515625" style="2" customWidth="1"/>
    <col min="7384" max="7384" width="23" style="2" customWidth="1"/>
    <col min="7385" max="7385" width="18" style="2" customWidth="1"/>
    <col min="7386" max="7386" width="12" style="2" customWidth="1"/>
    <col min="7387" max="7387" width="11" style="2" customWidth="1"/>
    <col min="7388" max="7388" width="10.85546875" style="2" customWidth="1"/>
    <col min="7389" max="7389" width="9.42578125" style="2" customWidth="1"/>
    <col min="7390" max="7638" width="10.140625" style="2"/>
    <col min="7639" max="7639" width="5.28515625" style="2" customWidth="1"/>
    <col min="7640" max="7640" width="23" style="2" customWidth="1"/>
    <col min="7641" max="7641" width="18" style="2" customWidth="1"/>
    <col min="7642" max="7642" width="12" style="2" customWidth="1"/>
    <col min="7643" max="7643" width="11" style="2" customWidth="1"/>
    <col min="7644" max="7644" width="10.85546875" style="2" customWidth="1"/>
    <col min="7645" max="7645" width="9.42578125" style="2" customWidth="1"/>
    <col min="7646" max="7894" width="10.140625" style="2"/>
    <col min="7895" max="7895" width="5.28515625" style="2" customWidth="1"/>
    <col min="7896" max="7896" width="23" style="2" customWidth="1"/>
    <col min="7897" max="7897" width="18" style="2" customWidth="1"/>
    <col min="7898" max="7898" width="12" style="2" customWidth="1"/>
    <col min="7899" max="7899" width="11" style="2" customWidth="1"/>
    <col min="7900" max="7900" width="10.85546875" style="2" customWidth="1"/>
    <col min="7901" max="7901" width="9.42578125" style="2" customWidth="1"/>
    <col min="7902" max="8150" width="10.140625" style="2"/>
    <col min="8151" max="8151" width="5.28515625" style="2" customWidth="1"/>
    <col min="8152" max="8152" width="23" style="2" customWidth="1"/>
    <col min="8153" max="8153" width="18" style="2" customWidth="1"/>
    <col min="8154" max="8154" width="12" style="2" customWidth="1"/>
    <col min="8155" max="8155" width="11" style="2" customWidth="1"/>
    <col min="8156" max="8156" width="10.85546875" style="2" customWidth="1"/>
    <col min="8157" max="8157" width="9.42578125" style="2" customWidth="1"/>
    <col min="8158" max="8406" width="10.140625" style="2"/>
    <col min="8407" max="8407" width="5.28515625" style="2" customWidth="1"/>
    <col min="8408" max="8408" width="23" style="2" customWidth="1"/>
    <col min="8409" max="8409" width="18" style="2" customWidth="1"/>
    <col min="8410" max="8410" width="12" style="2" customWidth="1"/>
    <col min="8411" max="8411" width="11" style="2" customWidth="1"/>
    <col min="8412" max="8412" width="10.85546875" style="2" customWidth="1"/>
    <col min="8413" max="8413" width="9.42578125" style="2" customWidth="1"/>
    <col min="8414" max="8662" width="10.140625" style="2"/>
    <col min="8663" max="8663" width="5.28515625" style="2" customWidth="1"/>
    <col min="8664" max="8664" width="23" style="2" customWidth="1"/>
    <col min="8665" max="8665" width="18" style="2" customWidth="1"/>
    <col min="8666" max="8666" width="12" style="2" customWidth="1"/>
    <col min="8667" max="8667" width="11" style="2" customWidth="1"/>
    <col min="8668" max="8668" width="10.85546875" style="2" customWidth="1"/>
    <col min="8669" max="8669" width="9.42578125" style="2" customWidth="1"/>
    <col min="8670" max="8918" width="10.140625" style="2"/>
    <col min="8919" max="8919" width="5.28515625" style="2" customWidth="1"/>
    <col min="8920" max="8920" width="23" style="2" customWidth="1"/>
    <col min="8921" max="8921" width="18" style="2" customWidth="1"/>
    <col min="8922" max="8922" width="12" style="2" customWidth="1"/>
    <col min="8923" max="8923" width="11" style="2" customWidth="1"/>
    <col min="8924" max="8924" width="10.85546875" style="2" customWidth="1"/>
    <col min="8925" max="8925" width="9.42578125" style="2" customWidth="1"/>
    <col min="8926" max="9174" width="10.140625" style="2"/>
    <col min="9175" max="9175" width="5.28515625" style="2" customWidth="1"/>
    <col min="9176" max="9176" width="23" style="2" customWidth="1"/>
    <col min="9177" max="9177" width="18" style="2" customWidth="1"/>
    <col min="9178" max="9178" width="12" style="2" customWidth="1"/>
    <col min="9179" max="9179" width="11" style="2" customWidth="1"/>
    <col min="9180" max="9180" width="10.85546875" style="2" customWidth="1"/>
    <col min="9181" max="9181" width="9.42578125" style="2" customWidth="1"/>
    <col min="9182" max="9430" width="10.140625" style="2"/>
    <col min="9431" max="9431" width="5.28515625" style="2" customWidth="1"/>
    <col min="9432" max="9432" width="23" style="2" customWidth="1"/>
    <col min="9433" max="9433" width="18" style="2" customWidth="1"/>
    <col min="9434" max="9434" width="12" style="2" customWidth="1"/>
    <col min="9435" max="9435" width="11" style="2" customWidth="1"/>
    <col min="9436" max="9436" width="10.85546875" style="2" customWidth="1"/>
    <col min="9437" max="9437" width="9.42578125" style="2" customWidth="1"/>
    <col min="9438" max="9686" width="10.140625" style="2"/>
    <col min="9687" max="9687" width="5.28515625" style="2" customWidth="1"/>
    <col min="9688" max="9688" width="23" style="2" customWidth="1"/>
    <col min="9689" max="9689" width="18" style="2" customWidth="1"/>
    <col min="9690" max="9690" width="12" style="2" customWidth="1"/>
    <col min="9691" max="9691" width="11" style="2" customWidth="1"/>
    <col min="9692" max="9692" width="10.85546875" style="2" customWidth="1"/>
    <col min="9693" max="9693" width="9.42578125" style="2" customWidth="1"/>
    <col min="9694" max="9942" width="10.140625" style="2"/>
    <col min="9943" max="9943" width="5.28515625" style="2" customWidth="1"/>
    <col min="9944" max="9944" width="23" style="2" customWidth="1"/>
    <col min="9945" max="9945" width="18" style="2" customWidth="1"/>
    <col min="9946" max="9946" width="12" style="2" customWidth="1"/>
    <col min="9947" max="9947" width="11" style="2" customWidth="1"/>
    <col min="9948" max="9948" width="10.85546875" style="2" customWidth="1"/>
    <col min="9949" max="9949" width="9.42578125" style="2" customWidth="1"/>
    <col min="9950" max="10198" width="10.140625" style="2"/>
    <col min="10199" max="10199" width="5.28515625" style="2" customWidth="1"/>
    <col min="10200" max="10200" width="23" style="2" customWidth="1"/>
    <col min="10201" max="10201" width="18" style="2" customWidth="1"/>
    <col min="10202" max="10202" width="12" style="2" customWidth="1"/>
    <col min="10203" max="10203" width="11" style="2" customWidth="1"/>
    <col min="10204" max="10204" width="10.85546875" style="2" customWidth="1"/>
    <col min="10205" max="10205" width="9.42578125" style="2" customWidth="1"/>
    <col min="10206" max="10454" width="10.140625" style="2"/>
    <col min="10455" max="10455" width="5.28515625" style="2" customWidth="1"/>
    <col min="10456" max="10456" width="23" style="2" customWidth="1"/>
    <col min="10457" max="10457" width="18" style="2" customWidth="1"/>
    <col min="10458" max="10458" width="12" style="2" customWidth="1"/>
    <col min="10459" max="10459" width="11" style="2" customWidth="1"/>
    <col min="10460" max="10460" width="10.85546875" style="2" customWidth="1"/>
    <col min="10461" max="10461" width="9.42578125" style="2" customWidth="1"/>
    <col min="10462" max="10710" width="10.140625" style="2"/>
    <col min="10711" max="10711" width="5.28515625" style="2" customWidth="1"/>
    <col min="10712" max="10712" width="23" style="2" customWidth="1"/>
    <col min="10713" max="10713" width="18" style="2" customWidth="1"/>
    <col min="10714" max="10714" width="12" style="2" customWidth="1"/>
    <col min="10715" max="10715" width="11" style="2" customWidth="1"/>
    <col min="10716" max="10716" width="10.85546875" style="2" customWidth="1"/>
    <col min="10717" max="10717" width="9.42578125" style="2" customWidth="1"/>
    <col min="10718" max="10966" width="10.140625" style="2"/>
    <col min="10967" max="10967" width="5.28515625" style="2" customWidth="1"/>
    <col min="10968" max="10968" width="23" style="2" customWidth="1"/>
    <col min="10969" max="10969" width="18" style="2" customWidth="1"/>
    <col min="10970" max="10970" width="12" style="2" customWidth="1"/>
    <col min="10971" max="10971" width="11" style="2" customWidth="1"/>
    <col min="10972" max="10972" width="10.85546875" style="2" customWidth="1"/>
    <col min="10973" max="10973" width="9.42578125" style="2" customWidth="1"/>
    <col min="10974" max="11222" width="10.140625" style="2"/>
    <col min="11223" max="11223" width="5.28515625" style="2" customWidth="1"/>
    <col min="11224" max="11224" width="23" style="2" customWidth="1"/>
    <col min="11225" max="11225" width="18" style="2" customWidth="1"/>
    <col min="11226" max="11226" width="12" style="2" customWidth="1"/>
    <col min="11227" max="11227" width="11" style="2" customWidth="1"/>
    <col min="11228" max="11228" width="10.85546875" style="2" customWidth="1"/>
    <col min="11229" max="11229" width="9.42578125" style="2" customWidth="1"/>
    <col min="11230" max="11478" width="10.140625" style="2"/>
    <col min="11479" max="11479" width="5.28515625" style="2" customWidth="1"/>
    <col min="11480" max="11480" width="23" style="2" customWidth="1"/>
    <col min="11481" max="11481" width="18" style="2" customWidth="1"/>
    <col min="11482" max="11482" width="12" style="2" customWidth="1"/>
    <col min="11483" max="11483" width="11" style="2" customWidth="1"/>
    <col min="11484" max="11484" width="10.85546875" style="2" customWidth="1"/>
    <col min="11485" max="11485" width="9.42578125" style="2" customWidth="1"/>
    <col min="11486" max="11734" width="10.140625" style="2"/>
    <col min="11735" max="11735" width="5.28515625" style="2" customWidth="1"/>
    <col min="11736" max="11736" width="23" style="2" customWidth="1"/>
    <col min="11737" max="11737" width="18" style="2" customWidth="1"/>
    <col min="11738" max="11738" width="12" style="2" customWidth="1"/>
    <col min="11739" max="11739" width="11" style="2" customWidth="1"/>
    <col min="11740" max="11740" width="10.85546875" style="2" customWidth="1"/>
    <col min="11741" max="11741" width="9.42578125" style="2" customWidth="1"/>
    <col min="11742" max="11990" width="10.140625" style="2"/>
    <col min="11991" max="11991" width="5.28515625" style="2" customWidth="1"/>
    <col min="11992" max="11992" width="23" style="2" customWidth="1"/>
    <col min="11993" max="11993" width="18" style="2" customWidth="1"/>
    <col min="11994" max="11994" width="12" style="2" customWidth="1"/>
    <col min="11995" max="11995" width="11" style="2" customWidth="1"/>
    <col min="11996" max="11996" width="10.85546875" style="2" customWidth="1"/>
    <col min="11997" max="11997" width="9.42578125" style="2" customWidth="1"/>
    <col min="11998" max="12246" width="10.140625" style="2"/>
    <col min="12247" max="12247" width="5.28515625" style="2" customWidth="1"/>
    <col min="12248" max="12248" width="23" style="2" customWidth="1"/>
    <col min="12249" max="12249" width="18" style="2" customWidth="1"/>
    <col min="12250" max="12250" width="12" style="2" customWidth="1"/>
    <col min="12251" max="12251" width="11" style="2" customWidth="1"/>
    <col min="12252" max="12252" width="10.85546875" style="2" customWidth="1"/>
    <col min="12253" max="12253" width="9.42578125" style="2" customWidth="1"/>
    <col min="12254" max="12502" width="10.140625" style="2"/>
    <col min="12503" max="12503" width="5.28515625" style="2" customWidth="1"/>
    <col min="12504" max="12504" width="23" style="2" customWidth="1"/>
    <col min="12505" max="12505" width="18" style="2" customWidth="1"/>
    <col min="12506" max="12506" width="12" style="2" customWidth="1"/>
    <col min="12507" max="12507" width="11" style="2" customWidth="1"/>
    <col min="12508" max="12508" width="10.85546875" style="2" customWidth="1"/>
    <col min="12509" max="12509" width="9.42578125" style="2" customWidth="1"/>
    <col min="12510" max="12758" width="10.140625" style="2"/>
    <col min="12759" max="12759" width="5.28515625" style="2" customWidth="1"/>
    <col min="12760" max="12760" width="23" style="2" customWidth="1"/>
    <col min="12761" max="12761" width="18" style="2" customWidth="1"/>
    <col min="12762" max="12762" width="12" style="2" customWidth="1"/>
    <col min="12763" max="12763" width="11" style="2" customWidth="1"/>
    <col min="12764" max="12764" width="10.85546875" style="2" customWidth="1"/>
    <col min="12765" max="12765" width="9.42578125" style="2" customWidth="1"/>
    <col min="12766" max="13014" width="10.140625" style="2"/>
    <col min="13015" max="13015" width="5.28515625" style="2" customWidth="1"/>
    <col min="13016" max="13016" width="23" style="2" customWidth="1"/>
    <col min="13017" max="13017" width="18" style="2" customWidth="1"/>
    <col min="13018" max="13018" width="12" style="2" customWidth="1"/>
    <col min="13019" max="13019" width="11" style="2" customWidth="1"/>
    <col min="13020" max="13020" width="10.85546875" style="2" customWidth="1"/>
    <col min="13021" max="13021" width="9.42578125" style="2" customWidth="1"/>
    <col min="13022" max="13270" width="10.140625" style="2"/>
    <col min="13271" max="13271" width="5.28515625" style="2" customWidth="1"/>
    <col min="13272" max="13272" width="23" style="2" customWidth="1"/>
    <col min="13273" max="13273" width="18" style="2" customWidth="1"/>
    <col min="13274" max="13274" width="12" style="2" customWidth="1"/>
    <col min="13275" max="13275" width="11" style="2" customWidth="1"/>
    <col min="13276" max="13276" width="10.85546875" style="2" customWidth="1"/>
    <col min="13277" max="13277" width="9.42578125" style="2" customWidth="1"/>
    <col min="13278" max="13526" width="10.140625" style="2"/>
    <col min="13527" max="13527" width="5.28515625" style="2" customWidth="1"/>
    <col min="13528" max="13528" width="23" style="2" customWidth="1"/>
    <col min="13529" max="13529" width="18" style="2" customWidth="1"/>
    <col min="13530" max="13530" width="12" style="2" customWidth="1"/>
    <col min="13531" max="13531" width="11" style="2" customWidth="1"/>
    <col min="13532" max="13532" width="10.85546875" style="2" customWidth="1"/>
    <col min="13533" max="13533" width="9.42578125" style="2" customWidth="1"/>
    <col min="13534" max="13782" width="10.140625" style="2"/>
    <col min="13783" max="13783" width="5.28515625" style="2" customWidth="1"/>
    <col min="13784" max="13784" width="23" style="2" customWidth="1"/>
    <col min="13785" max="13785" width="18" style="2" customWidth="1"/>
    <col min="13786" max="13786" width="12" style="2" customWidth="1"/>
    <col min="13787" max="13787" width="11" style="2" customWidth="1"/>
    <col min="13788" max="13788" width="10.85546875" style="2" customWidth="1"/>
    <col min="13789" max="13789" width="9.42578125" style="2" customWidth="1"/>
    <col min="13790" max="14038" width="10.140625" style="2"/>
    <col min="14039" max="14039" width="5.28515625" style="2" customWidth="1"/>
    <col min="14040" max="14040" width="23" style="2" customWidth="1"/>
    <col min="14041" max="14041" width="18" style="2" customWidth="1"/>
    <col min="14042" max="14042" width="12" style="2" customWidth="1"/>
    <col min="14043" max="14043" width="11" style="2" customWidth="1"/>
    <col min="14044" max="14044" width="10.85546875" style="2" customWidth="1"/>
    <col min="14045" max="14045" width="9.42578125" style="2" customWidth="1"/>
    <col min="14046" max="14294" width="10.140625" style="2"/>
    <col min="14295" max="14295" width="5.28515625" style="2" customWidth="1"/>
    <col min="14296" max="14296" width="23" style="2" customWidth="1"/>
    <col min="14297" max="14297" width="18" style="2" customWidth="1"/>
    <col min="14298" max="14298" width="12" style="2" customWidth="1"/>
    <col min="14299" max="14299" width="11" style="2" customWidth="1"/>
    <col min="14300" max="14300" width="10.85546875" style="2" customWidth="1"/>
    <col min="14301" max="14301" width="9.42578125" style="2" customWidth="1"/>
    <col min="14302" max="14550" width="10.140625" style="2"/>
    <col min="14551" max="14551" width="5.28515625" style="2" customWidth="1"/>
    <col min="14552" max="14552" width="23" style="2" customWidth="1"/>
    <col min="14553" max="14553" width="18" style="2" customWidth="1"/>
    <col min="14554" max="14554" width="12" style="2" customWidth="1"/>
    <col min="14555" max="14555" width="11" style="2" customWidth="1"/>
    <col min="14556" max="14556" width="10.85546875" style="2" customWidth="1"/>
    <col min="14557" max="14557" width="9.42578125" style="2" customWidth="1"/>
    <col min="14558" max="14806" width="10.140625" style="2"/>
    <col min="14807" max="14807" width="5.28515625" style="2" customWidth="1"/>
    <col min="14808" max="14808" width="23" style="2" customWidth="1"/>
    <col min="14809" max="14809" width="18" style="2" customWidth="1"/>
    <col min="14810" max="14810" width="12" style="2" customWidth="1"/>
    <col min="14811" max="14811" width="11" style="2" customWidth="1"/>
    <col min="14812" max="14812" width="10.85546875" style="2" customWidth="1"/>
    <col min="14813" max="14813" width="9.42578125" style="2" customWidth="1"/>
    <col min="14814" max="15062" width="10.140625" style="2"/>
    <col min="15063" max="15063" width="5.28515625" style="2" customWidth="1"/>
    <col min="15064" max="15064" width="23" style="2" customWidth="1"/>
    <col min="15065" max="15065" width="18" style="2" customWidth="1"/>
    <col min="15066" max="15066" width="12" style="2" customWidth="1"/>
    <col min="15067" max="15067" width="11" style="2" customWidth="1"/>
    <col min="15068" max="15068" width="10.85546875" style="2" customWidth="1"/>
    <col min="15069" max="15069" width="9.42578125" style="2" customWidth="1"/>
    <col min="15070" max="15318" width="10.140625" style="2"/>
    <col min="15319" max="15319" width="5.28515625" style="2" customWidth="1"/>
    <col min="15320" max="15320" width="23" style="2" customWidth="1"/>
    <col min="15321" max="15321" width="18" style="2" customWidth="1"/>
    <col min="15322" max="15322" width="12" style="2" customWidth="1"/>
    <col min="15323" max="15323" width="11" style="2" customWidth="1"/>
    <col min="15324" max="15324" width="10.85546875" style="2" customWidth="1"/>
    <col min="15325" max="15325" width="9.42578125" style="2" customWidth="1"/>
    <col min="15326" max="15574" width="10.140625" style="2"/>
    <col min="15575" max="15575" width="5.28515625" style="2" customWidth="1"/>
    <col min="15576" max="15576" width="23" style="2" customWidth="1"/>
    <col min="15577" max="15577" width="18" style="2" customWidth="1"/>
    <col min="15578" max="15578" width="12" style="2" customWidth="1"/>
    <col min="15579" max="15579" width="11" style="2" customWidth="1"/>
    <col min="15580" max="15580" width="10.85546875" style="2" customWidth="1"/>
    <col min="15581" max="15581" width="9.42578125" style="2" customWidth="1"/>
    <col min="15582" max="15830" width="10.140625" style="2"/>
    <col min="15831" max="15831" width="5.28515625" style="2" customWidth="1"/>
    <col min="15832" max="15832" width="23" style="2" customWidth="1"/>
    <col min="15833" max="15833" width="18" style="2" customWidth="1"/>
    <col min="15834" max="15834" width="12" style="2" customWidth="1"/>
    <col min="15835" max="15835" width="11" style="2" customWidth="1"/>
    <col min="15836" max="15836" width="10.85546875" style="2" customWidth="1"/>
    <col min="15837" max="15837" width="9.42578125" style="2" customWidth="1"/>
    <col min="15838" max="16086" width="10.140625" style="2"/>
    <col min="16087" max="16087" width="5.28515625" style="2" customWidth="1"/>
    <col min="16088" max="16088" width="23" style="2" customWidth="1"/>
    <col min="16089" max="16089" width="18" style="2" customWidth="1"/>
    <col min="16090" max="16090" width="12" style="2" customWidth="1"/>
    <col min="16091" max="16091" width="11" style="2" customWidth="1"/>
    <col min="16092" max="16092" width="10.85546875" style="2" customWidth="1"/>
    <col min="16093" max="16093" width="9.42578125" style="2" customWidth="1"/>
    <col min="16094" max="16384" width="10.140625" style="2"/>
  </cols>
  <sheetData>
    <row r="1" spans="1:13" ht="15.75" x14ac:dyDescent="0.25">
      <c r="A1" s="1"/>
      <c r="B1" s="1"/>
      <c r="C1" s="1"/>
      <c r="D1" s="1"/>
      <c r="E1" s="1"/>
      <c r="F1" s="1"/>
      <c r="G1" s="1"/>
      <c r="H1" s="1"/>
      <c r="I1" s="1" t="s">
        <v>335</v>
      </c>
      <c r="J1" s="1"/>
      <c r="K1" s="1"/>
      <c r="L1" s="1"/>
      <c r="M1" s="1"/>
    </row>
    <row r="2" spans="1:13" ht="15.75" x14ac:dyDescent="0.25">
      <c r="A2" s="1"/>
      <c r="B2" s="1"/>
      <c r="C2" s="1"/>
      <c r="D2" s="1"/>
      <c r="E2" s="1"/>
      <c r="F2" s="1"/>
      <c r="G2" s="1"/>
      <c r="H2" s="1"/>
      <c r="I2" s="1" t="s">
        <v>337</v>
      </c>
      <c r="J2" s="1"/>
      <c r="K2" s="1"/>
      <c r="L2" s="1"/>
      <c r="M2" s="1"/>
    </row>
    <row r="3" spans="1:13" ht="15.75" x14ac:dyDescent="0.25">
      <c r="A3" s="1"/>
      <c r="B3" s="1"/>
      <c r="C3" s="1"/>
      <c r="D3" s="1"/>
      <c r="E3" s="1"/>
      <c r="F3" s="1"/>
      <c r="G3" s="1"/>
      <c r="H3" s="1"/>
      <c r="I3" s="1" t="s">
        <v>336</v>
      </c>
      <c r="J3" s="1"/>
      <c r="K3" s="1"/>
      <c r="L3" s="1"/>
      <c r="M3" s="1"/>
    </row>
    <row r="4" spans="1:13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customHeight="1" x14ac:dyDescent="0.25">
      <c r="A5" s="5"/>
      <c r="B5" s="102" t="s">
        <v>341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</row>
    <row r="6" spans="1:13" ht="15.75" customHeight="1" x14ac:dyDescent="0.25">
      <c r="A6" s="5"/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</row>
    <row r="7" spans="1:13" ht="15.75" customHeight="1" x14ac:dyDescent="0.25">
      <c r="A7" s="68"/>
      <c r="B7" s="68"/>
      <c r="C7" s="68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x14ac:dyDescent="0.25">
      <c r="A8" s="78"/>
      <c r="B8" s="79"/>
      <c r="C8" s="78"/>
      <c r="D8" s="78"/>
      <c r="E8" s="78"/>
      <c r="F8" s="78"/>
      <c r="G8" s="78"/>
      <c r="H8" s="78"/>
      <c r="I8" s="78"/>
      <c r="J8" s="78"/>
      <c r="K8" s="78"/>
      <c r="L8" s="78" t="s">
        <v>0</v>
      </c>
      <c r="M8" s="78"/>
    </row>
    <row r="9" spans="1:13" ht="15.75" x14ac:dyDescent="0.25">
      <c r="A9" s="101" t="s">
        <v>1</v>
      </c>
      <c r="B9" s="93" t="s">
        <v>262</v>
      </c>
      <c r="C9" s="93" t="s">
        <v>263</v>
      </c>
      <c r="D9" s="103" t="s">
        <v>306</v>
      </c>
      <c r="E9" s="103" t="s">
        <v>307</v>
      </c>
      <c r="F9" s="103" t="s">
        <v>313</v>
      </c>
      <c r="G9" s="104" t="s">
        <v>314</v>
      </c>
      <c r="H9" s="105" t="s">
        <v>310</v>
      </c>
      <c r="I9" s="105"/>
      <c r="J9" s="105"/>
      <c r="K9" s="105"/>
      <c r="L9" s="105"/>
      <c r="M9" s="105"/>
    </row>
    <row r="10" spans="1:13" ht="15.75" customHeight="1" x14ac:dyDescent="0.25">
      <c r="A10" s="101"/>
      <c r="B10" s="93"/>
      <c r="C10" s="93"/>
      <c r="D10" s="103"/>
      <c r="E10" s="103"/>
      <c r="F10" s="103"/>
      <c r="G10" s="104"/>
      <c r="H10" s="103" t="s">
        <v>175</v>
      </c>
      <c r="I10" s="103"/>
      <c r="J10" s="103"/>
      <c r="K10" s="103"/>
      <c r="L10" s="103" t="s">
        <v>176</v>
      </c>
      <c r="M10" s="103"/>
    </row>
    <row r="11" spans="1:13" ht="15.75" customHeight="1" x14ac:dyDescent="0.25">
      <c r="A11" s="101"/>
      <c r="B11" s="93"/>
      <c r="C11" s="93"/>
      <c r="D11" s="103"/>
      <c r="E11" s="103"/>
      <c r="F11" s="103"/>
      <c r="G11" s="104"/>
      <c r="H11" s="103" t="s">
        <v>311</v>
      </c>
      <c r="I11" s="103" t="s">
        <v>307</v>
      </c>
      <c r="J11" s="103" t="s">
        <v>312</v>
      </c>
      <c r="K11" s="103"/>
      <c r="L11" s="103" t="s">
        <v>315</v>
      </c>
      <c r="M11" s="103" t="s">
        <v>307</v>
      </c>
    </row>
    <row r="12" spans="1:13" ht="31.5" x14ac:dyDescent="0.25">
      <c r="A12" s="101"/>
      <c r="B12" s="93"/>
      <c r="C12" s="93"/>
      <c r="D12" s="103"/>
      <c r="E12" s="103"/>
      <c r="F12" s="103"/>
      <c r="G12" s="104"/>
      <c r="H12" s="103"/>
      <c r="I12" s="103"/>
      <c r="J12" s="55" t="s">
        <v>311</v>
      </c>
      <c r="K12" s="55" t="s">
        <v>307</v>
      </c>
      <c r="L12" s="103"/>
      <c r="M12" s="103"/>
    </row>
    <row r="13" spans="1:13" ht="15.75" x14ac:dyDescent="0.25">
      <c r="A13" s="66">
        <v>1</v>
      </c>
      <c r="B13" s="67">
        <v>2</v>
      </c>
      <c r="C13" s="67">
        <v>3</v>
      </c>
      <c r="D13" s="66">
        <v>4</v>
      </c>
      <c r="E13" s="67">
        <v>5</v>
      </c>
      <c r="F13" s="67">
        <v>6</v>
      </c>
      <c r="G13" s="66">
        <v>7</v>
      </c>
      <c r="H13" s="67">
        <v>8</v>
      </c>
      <c r="I13" s="67">
        <v>9</v>
      </c>
      <c r="J13" s="66">
        <v>10</v>
      </c>
      <c r="K13" s="67">
        <v>11</v>
      </c>
      <c r="L13" s="67">
        <v>12</v>
      </c>
      <c r="M13" s="66">
        <v>13</v>
      </c>
    </row>
    <row r="14" spans="1:13" ht="47.25" x14ac:dyDescent="0.25">
      <c r="A14" s="97" t="s">
        <v>264</v>
      </c>
      <c r="B14" s="98" t="s">
        <v>265</v>
      </c>
      <c r="C14" s="61" t="s">
        <v>229</v>
      </c>
      <c r="D14" s="54">
        <f>+H14+L14</f>
        <v>774.4</v>
      </c>
      <c r="E14" s="54">
        <f>+I14+M14</f>
        <v>750.1</v>
      </c>
      <c r="F14" s="54">
        <f>+E14-D14</f>
        <v>-24.3</v>
      </c>
      <c r="G14" s="54">
        <f>+E14/D14*100</f>
        <v>96.9</v>
      </c>
      <c r="H14" s="54">
        <f>+'1 pr. asignavimai'!G96</f>
        <v>377.3</v>
      </c>
      <c r="I14" s="54">
        <f>+'1 pr. asignavimai'!H96</f>
        <v>364.7</v>
      </c>
      <c r="J14" s="54">
        <f>+'1 pr. asignavimai'!I96</f>
        <v>18.600000000000001</v>
      </c>
      <c r="K14" s="54">
        <f>+'1 pr. asignavimai'!J96</f>
        <v>15.7</v>
      </c>
      <c r="L14" s="54">
        <f>+'1 pr. asignavimai'!K96</f>
        <v>397.1</v>
      </c>
      <c r="M14" s="54">
        <f>+'1 pr. asignavimai'!L96</f>
        <v>385.4</v>
      </c>
    </row>
    <row r="15" spans="1:13" ht="31.5" x14ac:dyDescent="0.25">
      <c r="A15" s="97"/>
      <c r="B15" s="98"/>
      <c r="C15" s="61" t="s">
        <v>9</v>
      </c>
      <c r="D15" s="54">
        <f t="shared" ref="D15:D54" si="0">+H15+L15</f>
        <v>25</v>
      </c>
      <c r="E15" s="54">
        <f t="shared" ref="E15:E54" si="1">+I15+M15</f>
        <v>0</v>
      </c>
      <c r="F15" s="54">
        <f t="shared" ref="F15:F54" si="2">+E15-D15</f>
        <v>-25</v>
      </c>
      <c r="G15" s="54">
        <f t="shared" ref="G15:G56" si="3">+E15/D15*100</f>
        <v>0</v>
      </c>
      <c r="H15" s="54">
        <f>+'1 pr. asignavimai'!G11</f>
        <v>25</v>
      </c>
      <c r="I15" s="54">
        <f>+'1 pr. asignavimai'!H11</f>
        <v>0</v>
      </c>
      <c r="J15" s="54">
        <f>+'1 pr. asignavimai'!I11</f>
        <v>0</v>
      </c>
      <c r="K15" s="54">
        <f>+'1 pr. asignavimai'!J11</f>
        <v>0</v>
      </c>
      <c r="L15" s="54">
        <f>+'1 pr. asignavimai'!K11</f>
        <v>0</v>
      </c>
      <c r="M15" s="54">
        <f>+'1 pr. asignavimai'!L11</f>
        <v>0</v>
      </c>
    </row>
    <row r="16" spans="1:13" ht="47.25" x14ac:dyDescent="0.25">
      <c r="A16" s="97"/>
      <c r="B16" s="98"/>
      <c r="C16" s="61" t="s">
        <v>198</v>
      </c>
      <c r="D16" s="54">
        <f t="shared" si="0"/>
        <v>25</v>
      </c>
      <c r="E16" s="54">
        <f t="shared" si="1"/>
        <v>0</v>
      </c>
      <c r="F16" s="54">
        <f t="shared" si="2"/>
        <v>-25</v>
      </c>
      <c r="G16" s="54">
        <f t="shared" si="3"/>
        <v>0</v>
      </c>
      <c r="H16" s="54">
        <f>+'1 pr. asignavimai'!G52</f>
        <v>25</v>
      </c>
      <c r="I16" s="54">
        <f>+'1 pr. asignavimai'!H52</f>
        <v>0</v>
      </c>
      <c r="J16" s="54">
        <f>+'1 pr. asignavimai'!I52</f>
        <v>0</v>
      </c>
      <c r="K16" s="54">
        <f>+'1 pr. asignavimai'!J52</f>
        <v>0</v>
      </c>
      <c r="L16" s="54">
        <f>+'1 pr. asignavimai'!K52</f>
        <v>0</v>
      </c>
      <c r="M16" s="54">
        <f>+'1 pr. asignavimai'!L52</f>
        <v>0</v>
      </c>
    </row>
    <row r="17" spans="1:13" ht="21" customHeight="1" x14ac:dyDescent="0.25">
      <c r="A17" s="97"/>
      <c r="B17" s="98"/>
      <c r="C17" s="61" t="s">
        <v>266</v>
      </c>
      <c r="D17" s="53">
        <f>SUM(D14:D16)</f>
        <v>824.4</v>
      </c>
      <c r="E17" s="53">
        <f t="shared" ref="E17:F17" si="4">SUM(E14:E16)</f>
        <v>750.1</v>
      </c>
      <c r="F17" s="53">
        <f t="shared" si="4"/>
        <v>-74.3</v>
      </c>
      <c r="G17" s="53">
        <f t="shared" si="3"/>
        <v>91</v>
      </c>
      <c r="H17" s="53">
        <f t="shared" ref="H17" si="5">SUM(H14:H16)</f>
        <v>427.3</v>
      </c>
      <c r="I17" s="53">
        <f t="shared" ref="I17" si="6">SUM(I14:I16)</f>
        <v>364.7</v>
      </c>
      <c r="J17" s="53">
        <f t="shared" ref="J17" si="7">SUM(J14:J16)</f>
        <v>18.600000000000001</v>
      </c>
      <c r="K17" s="53">
        <f t="shared" ref="K17" si="8">SUM(K14:K16)</f>
        <v>15.7</v>
      </c>
      <c r="L17" s="53">
        <f t="shared" ref="L17" si="9">SUM(L14:L16)</f>
        <v>397.1</v>
      </c>
      <c r="M17" s="53">
        <f t="shared" ref="M17" si="10">SUM(M14:M16)</f>
        <v>385.4</v>
      </c>
    </row>
    <row r="18" spans="1:13" ht="54" customHeight="1" x14ac:dyDescent="0.25">
      <c r="A18" s="62" t="s">
        <v>267</v>
      </c>
      <c r="B18" s="63" t="s">
        <v>268</v>
      </c>
      <c r="C18" s="61" t="s">
        <v>198</v>
      </c>
      <c r="D18" s="53">
        <f t="shared" si="0"/>
        <v>3595.6</v>
      </c>
      <c r="E18" s="53">
        <f t="shared" si="1"/>
        <v>3156.4</v>
      </c>
      <c r="F18" s="53">
        <f t="shared" si="2"/>
        <v>-439.2</v>
      </c>
      <c r="G18" s="53">
        <f t="shared" si="3"/>
        <v>87.8</v>
      </c>
      <c r="H18" s="53">
        <f>+'1 pr. asignavimai'!G53</f>
        <v>606.29999999999995</v>
      </c>
      <c r="I18" s="53">
        <f>+'1 pr. asignavimai'!H53</f>
        <v>602.29999999999995</v>
      </c>
      <c r="J18" s="53">
        <f>+'1 pr. asignavimai'!I53</f>
        <v>0</v>
      </c>
      <c r="K18" s="53">
        <f>+'1 pr. asignavimai'!J53</f>
        <v>0</v>
      </c>
      <c r="L18" s="53">
        <f>+'1 pr. asignavimai'!K53</f>
        <v>2989.3</v>
      </c>
      <c r="M18" s="53">
        <f>+'1 pr. asignavimai'!L53</f>
        <v>2554.1</v>
      </c>
    </row>
    <row r="19" spans="1:13" ht="33" customHeight="1" x14ac:dyDescent="0.25">
      <c r="A19" s="99" t="s">
        <v>269</v>
      </c>
      <c r="B19" s="98" t="s">
        <v>180</v>
      </c>
      <c r="C19" s="61" t="s">
        <v>9</v>
      </c>
      <c r="D19" s="54">
        <f t="shared" si="0"/>
        <v>36573.9</v>
      </c>
      <c r="E19" s="54">
        <f t="shared" si="1"/>
        <v>35373.800000000003</v>
      </c>
      <c r="F19" s="54">
        <f t="shared" si="2"/>
        <v>-1200.0999999999999</v>
      </c>
      <c r="G19" s="54">
        <f t="shared" si="3"/>
        <v>96.7</v>
      </c>
      <c r="H19" s="54">
        <f>+'1 pr. asignavimai'!G12</f>
        <v>25563.599999999999</v>
      </c>
      <c r="I19" s="54">
        <f>+'1 pr. asignavimai'!H12</f>
        <v>24418.799999999999</v>
      </c>
      <c r="J19" s="54">
        <f>+'1 pr. asignavimai'!I12</f>
        <v>13356.8</v>
      </c>
      <c r="K19" s="54">
        <f>+'1 pr. asignavimai'!J12</f>
        <v>13277.9</v>
      </c>
      <c r="L19" s="54">
        <f>+'1 pr. asignavimai'!K12</f>
        <v>11010.3</v>
      </c>
      <c r="M19" s="54">
        <f>+'1 pr. asignavimai'!L12</f>
        <v>10955</v>
      </c>
    </row>
    <row r="20" spans="1:13" ht="50.25" customHeight="1" x14ac:dyDescent="0.25">
      <c r="A20" s="99"/>
      <c r="B20" s="98"/>
      <c r="C20" s="61" t="s">
        <v>198</v>
      </c>
      <c r="D20" s="54">
        <f t="shared" si="0"/>
        <v>1841</v>
      </c>
      <c r="E20" s="54">
        <f t="shared" si="1"/>
        <v>1050.2</v>
      </c>
      <c r="F20" s="54">
        <f t="shared" si="2"/>
        <v>-790.8</v>
      </c>
      <c r="G20" s="54">
        <f t="shared" si="3"/>
        <v>57</v>
      </c>
      <c r="H20" s="54">
        <f>+'1 pr. asignavimai'!G57</f>
        <v>1169.7</v>
      </c>
      <c r="I20" s="54">
        <f>+'1 pr. asignavimai'!H57</f>
        <v>1049.2</v>
      </c>
      <c r="J20" s="54">
        <f>+'1 pr. asignavimai'!I57</f>
        <v>8.4</v>
      </c>
      <c r="K20" s="54">
        <f>+'1 pr. asignavimai'!J57</f>
        <v>2.8</v>
      </c>
      <c r="L20" s="54">
        <f>+'1 pr. asignavimai'!K57</f>
        <v>671.3</v>
      </c>
      <c r="M20" s="54">
        <f>+'1 pr. asignavimai'!L57</f>
        <v>1</v>
      </c>
    </row>
    <row r="21" spans="1:13" ht="47.25" customHeight="1" x14ac:dyDescent="0.25">
      <c r="A21" s="99"/>
      <c r="B21" s="98"/>
      <c r="C21" s="61" t="s">
        <v>177</v>
      </c>
      <c r="D21" s="54">
        <f t="shared" si="0"/>
        <v>419.9</v>
      </c>
      <c r="E21" s="54">
        <f t="shared" si="1"/>
        <v>417.7</v>
      </c>
      <c r="F21" s="54">
        <f t="shared" si="2"/>
        <v>-2.2000000000000002</v>
      </c>
      <c r="G21" s="54">
        <f t="shared" si="3"/>
        <v>99.5</v>
      </c>
      <c r="H21" s="54">
        <f>+'1 pr. asignavimai'!G9</f>
        <v>407.9</v>
      </c>
      <c r="I21" s="54">
        <f>+'1 pr. asignavimai'!H9</f>
        <v>405.8</v>
      </c>
      <c r="J21" s="54">
        <f>+'1 pr. asignavimai'!I9</f>
        <v>288.10000000000002</v>
      </c>
      <c r="K21" s="54">
        <f>+'1 pr. asignavimai'!J9</f>
        <v>286.3</v>
      </c>
      <c r="L21" s="54">
        <f>+'1 pr. asignavimai'!K9</f>
        <v>12</v>
      </c>
      <c r="M21" s="54">
        <f>+'1 pr. asignavimai'!L9</f>
        <v>11.9</v>
      </c>
    </row>
    <row r="22" spans="1:13" ht="30" customHeight="1" x14ac:dyDescent="0.25">
      <c r="A22" s="99"/>
      <c r="B22" s="98"/>
      <c r="C22" s="61" t="s">
        <v>266</v>
      </c>
      <c r="D22" s="53">
        <f>SUM(D19:D21)</f>
        <v>38834.800000000003</v>
      </c>
      <c r="E22" s="53">
        <f t="shared" ref="E22:F22" si="11">SUM(E19:E21)</f>
        <v>36841.699999999997</v>
      </c>
      <c r="F22" s="53">
        <f t="shared" si="11"/>
        <v>-1993.1</v>
      </c>
      <c r="G22" s="53">
        <f t="shared" si="3"/>
        <v>94.9</v>
      </c>
      <c r="H22" s="53">
        <f t="shared" ref="H22" si="12">SUM(H19:H21)</f>
        <v>27141.200000000001</v>
      </c>
      <c r="I22" s="53">
        <f t="shared" ref="I22" si="13">SUM(I19:I21)</f>
        <v>25873.8</v>
      </c>
      <c r="J22" s="53">
        <f t="shared" ref="J22" si="14">SUM(J19:J21)</f>
        <v>13653.3</v>
      </c>
      <c r="K22" s="53">
        <f t="shared" ref="K22" si="15">SUM(K19:K21)</f>
        <v>13567</v>
      </c>
      <c r="L22" s="53">
        <f t="shared" ref="L22" si="16">SUM(L19:L21)</f>
        <v>11693.6</v>
      </c>
      <c r="M22" s="53">
        <f t="shared" ref="M22" si="17">SUM(M19:M21)</f>
        <v>10967.9</v>
      </c>
    </row>
    <row r="23" spans="1:13" ht="50.25" customHeight="1" x14ac:dyDescent="0.25">
      <c r="A23" s="62" t="s">
        <v>353</v>
      </c>
      <c r="B23" s="63" t="s">
        <v>270</v>
      </c>
      <c r="C23" s="61" t="s">
        <v>198</v>
      </c>
      <c r="D23" s="53">
        <f t="shared" si="0"/>
        <v>1979.6</v>
      </c>
      <c r="E23" s="53">
        <f t="shared" si="1"/>
        <v>1947.1</v>
      </c>
      <c r="F23" s="53">
        <f t="shared" si="2"/>
        <v>-32.5</v>
      </c>
      <c r="G23" s="53">
        <f t="shared" si="3"/>
        <v>98.4</v>
      </c>
      <c r="H23" s="53">
        <f>+'1 pr. asignavimai'!G65</f>
        <v>256.60000000000002</v>
      </c>
      <c r="I23" s="53">
        <f>+'1 pr. asignavimai'!H65</f>
        <v>252.2</v>
      </c>
      <c r="J23" s="53">
        <f>+'1 pr. asignavimai'!I65</f>
        <v>0</v>
      </c>
      <c r="K23" s="53">
        <f>+'1 pr. asignavimai'!J65</f>
        <v>0</v>
      </c>
      <c r="L23" s="53">
        <f>+'1 pr. asignavimai'!K65</f>
        <v>1723</v>
      </c>
      <c r="M23" s="53">
        <f>+'1 pr. asignavimai'!L65</f>
        <v>1694.9</v>
      </c>
    </row>
    <row r="24" spans="1:13" ht="51" customHeight="1" x14ac:dyDescent="0.25">
      <c r="A24" s="97" t="s">
        <v>271</v>
      </c>
      <c r="B24" s="100" t="s">
        <v>230</v>
      </c>
      <c r="C24" s="61" t="s">
        <v>198</v>
      </c>
      <c r="D24" s="54">
        <f t="shared" si="0"/>
        <v>5784.5</v>
      </c>
      <c r="E24" s="54">
        <f t="shared" si="1"/>
        <v>4275.5</v>
      </c>
      <c r="F24" s="54">
        <f t="shared" si="2"/>
        <v>-1509</v>
      </c>
      <c r="G24" s="54">
        <f t="shared" si="3"/>
        <v>73.900000000000006</v>
      </c>
      <c r="H24" s="54">
        <f>+'1 pr. asignavimai'!G69</f>
        <v>374.9</v>
      </c>
      <c r="I24" s="54">
        <f>+'1 pr. asignavimai'!H69</f>
        <v>371.5</v>
      </c>
      <c r="J24" s="54">
        <f>+'1 pr. asignavimai'!I69</f>
        <v>0</v>
      </c>
      <c r="K24" s="54">
        <f>+'1 pr. asignavimai'!J69</f>
        <v>0</v>
      </c>
      <c r="L24" s="54">
        <f>+'1 pr. asignavimai'!K69</f>
        <v>5409.6</v>
      </c>
      <c r="M24" s="54">
        <f>+'1 pr. asignavimai'!L69</f>
        <v>3904</v>
      </c>
    </row>
    <row r="25" spans="1:13" ht="31.5" x14ac:dyDescent="0.25">
      <c r="A25" s="97"/>
      <c r="B25" s="100"/>
      <c r="C25" s="61" t="s">
        <v>10</v>
      </c>
      <c r="D25" s="54">
        <f t="shared" si="0"/>
        <v>18628.599999999999</v>
      </c>
      <c r="E25" s="54">
        <f t="shared" si="1"/>
        <v>20087.2</v>
      </c>
      <c r="F25" s="54">
        <f t="shared" si="2"/>
        <v>1458.6</v>
      </c>
      <c r="G25" s="54">
        <f t="shared" si="3"/>
        <v>107.8</v>
      </c>
      <c r="H25" s="54">
        <f>+'1 pr. asignavimai'!G98</f>
        <v>18458.900000000001</v>
      </c>
      <c r="I25" s="54">
        <f>+'1 pr. asignavimai'!H98</f>
        <v>18091.2</v>
      </c>
      <c r="J25" s="54">
        <f>+'1 pr. asignavimai'!I98</f>
        <v>0</v>
      </c>
      <c r="K25" s="54">
        <f>+'1 pr. asignavimai'!J98</f>
        <v>0</v>
      </c>
      <c r="L25" s="54">
        <f>+'1 pr. asignavimai'!K98</f>
        <v>169.7</v>
      </c>
      <c r="M25" s="54">
        <f>+'1 pr. asignavimai'!L98</f>
        <v>1996</v>
      </c>
    </row>
    <row r="26" spans="1:13" ht="24" customHeight="1" x14ac:dyDescent="0.25">
      <c r="A26" s="97"/>
      <c r="B26" s="100"/>
      <c r="C26" s="61" t="s">
        <v>266</v>
      </c>
      <c r="D26" s="53">
        <f>+D24+D25</f>
        <v>24413.1</v>
      </c>
      <c r="E26" s="53">
        <f t="shared" ref="E26:F26" si="18">+E24+E25</f>
        <v>24362.7</v>
      </c>
      <c r="F26" s="53">
        <f t="shared" si="18"/>
        <v>-50.4</v>
      </c>
      <c r="G26" s="53">
        <f t="shared" si="3"/>
        <v>99.8</v>
      </c>
      <c r="H26" s="53">
        <f t="shared" ref="H26" si="19">+H24+H25</f>
        <v>18833.8</v>
      </c>
      <c r="I26" s="53">
        <f t="shared" ref="I26" si="20">+I24+I25</f>
        <v>18462.7</v>
      </c>
      <c r="J26" s="53">
        <f t="shared" ref="J26" si="21">+J24+J25</f>
        <v>0</v>
      </c>
      <c r="K26" s="53">
        <f t="shared" ref="K26" si="22">+K24+K25</f>
        <v>0</v>
      </c>
      <c r="L26" s="53">
        <f t="shared" ref="L26" si="23">+L24+L25</f>
        <v>5579.3</v>
      </c>
      <c r="M26" s="53">
        <f t="shared" ref="M26" si="24">+M24+M25</f>
        <v>5900</v>
      </c>
    </row>
    <row r="27" spans="1:13" ht="32.25" customHeight="1" x14ac:dyDescent="0.25">
      <c r="A27" s="97" t="s">
        <v>272</v>
      </c>
      <c r="B27" s="98" t="s">
        <v>273</v>
      </c>
      <c r="C27" s="61" t="s">
        <v>9</v>
      </c>
      <c r="D27" s="54">
        <f t="shared" si="0"/>
        <v>216.6</v>
      </c>
      <c r="E27" s="54">
        <f t="shared" si="1"/>
        <v>216</v>
      </c>
      <c r="F27" s="54">
        <f t="shared" si="2"/>
        <v>-0.6</v>
      </c>
      <c r="G27" s="54">
        <f t="shared" si="3"/>
        <v>99.7</v>
      </c>
      <c r="H27" s="54">
        <f>+'1 pr. asignavimai'!G44</f>
        <v>216.6</v>
      </c>
      <c r="I27" s="54">
        <f>+'1 pr. asignavimai'!H44</f>
        <v>216</v>
      </c>
      <c r="J27" s="54">
        <f>+'1 pr. asignavimai'!I44</f>
        <v>0</v>
      </c>
      <c r="K27" s="54">
        <f>+'1 pr. asignavimai'!J44</f>
        <v>0</v>
      </c>
      <c r="L27" s="54">
        <f>+'1 pr. asignavimai'!K44</f>
        <v>0</v>
      </c>
      <c r="M27" s="54">
        <f>+'1 pr. asignavimai'!L44</f>
        <v>0</v>
      </c>
    </row>
    <row r="28" spans="1:13" ht="48" customHeight="1" x14ac:dyDescent="0.25">
      <c r="A28" s="97"/>
      <c r="B28" s="98"/>
      <c r="C28" s="61" t="s">
        <v>198</v>
      </c>
      <c r="D28" s="54">
        <f t="shared" si="0"/>
        <v>8926.7000000000007</v>
      </c>
      <c r="E28" s="54">
        <f t="shared" si="1"/>
        <v>8655.9</v>
      </c>
      <c r="F28" s="54">
        <f t="shared" si="2"/>
        <v>-270.8</v>
      </c>
      <c r="G28" s="54">
        <f t="shared" si="3"/>
        <v>97</v>
      </c>
      <c r="H28" s="54">
        <f>+'1 pr. asignavimai'!G74</f>
        <v>61.3</v>
      </c>
      <c r="I28" s="54">
        <f>+'1 pr. asignavimai'!H74</f>
        <v>60.2</v>
      </c>
      <c r="J28" s="54">
        <f>+'1 pr. asignavimai'!I74</f>
        <v>19.2</v>
      </c>
      <c r="K28" s="54">
        <f>+'1 pr. asignavimai'!J74</f>
        <v>18.5</v>
      </c>
      <c r="L28" s="54">
        <f>+'1 pr. asignavimai'!K74</f>
        <v>8865.4</v>
      </c>
      <c r="M28" s="54">
        <f>+'1 pr. asignavimai'!L74</f>
        <v>8595.7000000000007</v>
      </c>
    </row>
    <row r="29" spans="1:13" ht="34.5" customHeight="1" x14ac:dyDescent="0.25">
      <c r="A29" s="97"/>
      <c r="B29" s="98"/>
      <c r="C29" s="61" t="s">
        <v>10</v>
      </c>
      <c r="D29" s="54">
        <f t="shared" si="0"/>
        <v>22423.9</v>
      </c>
      <c r="E29" s="54">
        <f t="shared" si="1"/>
        <v>23099.200000000001</v>
      </c>
      <c r="F29" s="54">
        <f t="shared" si="2"/>
        <v>675.3</v>
      </c>
      <c r="G29" s="54">
        <f t="shared" si="3"/>
        <v>103</v>
      </c>
      <c r="H29" s="54">
        <f>+'1 pr. asignavimai'!G102</f>
        <v>22087.1</v>
      </c>
      <c r="I29" s="54">
        <f>+'1 pr. asignavimai'!H102</f>
        <v>22491.3</v>
      </c>
      <c r="J29" s="54">
        <f>+'1 pr. asignavimai'!I102</f>
        <v>0</v>
      </c>
      <c r="K29" s="54">
        <f>+'1 pr. asignavimai'!J102</f>
        <v>0</v>
      </c>
      <c r="L29" s="54">
        <f>+'1 pr. asignavimai'!K102</f>
        <v>336.8</v>
      </c>
      <c r="M29" s="54">
        <f>+'1 pr. asignavimai'!L102</f>
        <v>607.9</v>
      </c>
    </row>
    <row r="30" spans="1:13" ht="27.75" customHeight="1" x14ac:dyDescent="0.25">
      <c r="A30" s="97"/>
      <c r="B30" s="98"/>
      <c r="C30" s="61" t="s">
        <v>266</v>
      </c>
      <c r="D30" s="53">
        <f>SUM(D27:D29)</f>
        <v>31567.200000000001</v>
      </c>
      <c r="E30" s="53">
        <f t="shared" ref="E30:F30" si="25">SUM(E27:E29)</f>
        <v>31971.1</v>
      </c>
      <c r="F30" s="53">
        <f t="shared" si="25"/>
        <v>403.9</v>
      </c>
      <c r="G30" s="53">
        <f t="shared" si="3"/>
        <v>101.3</v>
      </c>
      <c r="H30" s="53">
        <f t="shared" ref="H30" si="26">SUM(H27:H29)</f>
        <v>22365</v>
      </c>
      <c r="I30" s="53">
        <f t="shared" ref="I30" si="27">SUM(I27:I29)</f>
        <v>22767.5</v>
      </c>
      <c r="J30" s="53">
        <f t="shared" ref="J30" si="28">SUM(J27:J29)</f>
        <v>19.2</v>
      </c>
      <c r="K30" s="53">
        <f t="shared" ref="K30" si="29">SUM(K27:K29)</f>
        <v>18.5</v>
      </c>
      <c r="L30" s="53">
        <f t="shared" ref="L30" si="30">SUM(L27:L29)</f>
        <v>9202.2000000000007</v>
      </c>
      <c r="M30" s="53">
        <f t="shared" ref="M30" si="31">SUM(M27:M29)</f>
        <v>9203.6</v>
      </c>
    </row>
    <row r="31" spans="1:13" ht="30.75" customHeight="1" x14ac:dyDescent="0.25">
      <c r="A31" s="97" t="s">
        <v>274</v>
      </c>
      <c r="B31" s="98" t="s">
        <v>275</v>
      </c>
      <c r="C31" s="61" t="s">
        <v>9</v>
      </c>
      <c r="D31" s="54">
        <f t="shared" si="0"/>
        <v>610.4</v>
      </c>
      <c r="E31" s="54">
        <f t="shared" si="1"/>
        <v>610.4</v>
      </c>
      <c r="F31" s="54">
        <f t="shared" si="2"/>
        <v>0</v>
      </c>
      <c r="G31" s="54">
        <f t="shared" si="3"/>
        <v>100</v>
      </c>
      <c r="H31" s="54">
        <f>+'1 pr. asignavimai'!G45</f>
        <v>610.4</v>
      </c>
      <c r="I31" s="54">
        <f>+'1 pr. asignavimai'!H45</f>
        <v>610.4</v>
      </c>
      <c r="J31" s="54">
        <f>+'1 pr. asignavimai'!I45</f>
        <v>0</v>
      </c>
      <c r="K31" s="54">
        <f>+'1 pr. asignavimai'!J45</f>
        <v>0</v>
      </c>
      <c r="L31" s="54">
        <f>+'1 pr. asignavimai'!K45</f>
        <v>0</v>
      </c>
      <c r="M31" s="54">
        <f>+'1 pr. asignavimai'!L45</f>
        <v>0</v>
      </c>
    </row>
    <row r="32" spans="1:13" ht="48.75" customHeight="1" x14ac:dyDescent="0.25">
      <c r="A32" s="97"/>
      <c r="B32" s="98"/>
      <c r="C32" s="61" t="s">
        <v>198</v>
      </c>
      <c r="D32" s="54">
        <f t="shared" si="0"/>
        <v>1386.1</v>
      </c>
      <c r="E32" s="54">
        <f t="shared" si="1"/>
        <v>1285</v>
      </c>
      <c r="F32" s="54">
        <f t="shared" si="2"/>
        <v>-101.1</v>
      </c>
      <c r="G32" s="54">
        <f t="shared" si="3"/>
        <v>92.7</v>
      </c>
      <c r="H32" s="54">
        <f>+'1 pr. asignavimai'!G78</f>
        <v>62</v>
      </c>
      <c r="I32" s="54">
        <f>+'1 pr. asignavimai'!H78</f>
        <v>22.1</v>
      </c>
      <c r="J32" s="54">
        <f>+'1 pr. asignavimai'!I78</f>
        <v>0</v>
      </c>
      <c r="K32" s="54">
        <f>+'1 pr. asignavimai'!J78</f>
        <v>0</v>
      </c>
      <c r="L32" s="54">
        <f>+'1 pr. asignavimai'!K78</f>
        <v>1324.1</v>
      </c>
      <c r="M32" s="54">
        <f>+'1 pr. asignavimai'!L78</f>
        <v>1262.9000000000001</v>
      </c>
    </row>
    <row r="33" spans="1:13" ht="32.25" customHeight="1" x14ac:dyDescent="0.25">
      <c r="A33" s="97"/>
      <c r="B33" s="98"/>
      <c r="C33" s="61" t="s">
        <v>10</v>
      </c>
      <c r="D33" s="54">
        <f t="shared" si="0"/>
        <v>32946</v>
      </c>
      <c r="E33" s="54">
        <f t="shared" si="1"/>
        <v>31917.4</v>
      </c>
      <c r="F33" s="54">
        <f t="shared" si="2"/>
        <v>-1028.5999999999999</v>
      </c>
      <c r="G33" s="54">
        <f t="shared" si="3"/>
        <v>96.9</v>
      </c>
      <c r="H33" s="54">
        <f>+'1 pr. asignavimai'!G103</f>
        <v>32223.7</v>
      </c>
      <c r="I33" s="54">
        <f>+'1 pr. asignavimai'!H103</f>
        <v>31465.599999999999</v>
      </c>
      <c r="J33" s="54">
        <f>+'1 pr. asignavimai'!I103</f>
        <v>813.8</v>
      </c>
      <c r="K33" s="54">
        <f>+'1 pr. asignavimai'!J103</f>
        <v>809.2</v>
      </c>
      <c r="L33" s="54">
        <f>+'1 pr. asignavimai'!K103</f>
        <v>722.3</v>
      </c>
      <c r="M33" s="54">
        <f>+'1 pr. asignavimai'!L103</f>
        <v>451.8</v>
      </c>
    </row>
    <row r="34" spans="1:13" ht="33.75" customHeight="1" x14ac:dyDescent="0.25">
      <c r="A34" s="97"/>
      <c r="B34" s="98"/>
      <c r="C34" s="61" t="s">
        <v>105</v>
      </c>
      <c r="D34" s="54">
        <f t="shared" si="0"/>
        <v>10.4</v>
      </c>
      <c r="E34" s="54">
        <f t="shared" si="1"/>
        <v>10.1</v>
      </c>
      <c r="F34" s="54">
        <f t="shared" si="2"/>
        <v>-0.3</v>
      </c>
      <c r="G34" s="54">
        <f t="shared" si="3"/>
        <v>97.1</v>
      </c>
      <c r="H34" s="54">
        <f>+'1 pr. asignavimai'!G155</f>
        <v>10.4</v>
      </c>
      <c r="I34" s="54">
        <f>+'1 pr. asignavimai'!H155</f>
        <v>10.1</v>
      </c>
      <c r="J34" s="54">
        <f>+'1 pr. asignavimai'!I155</f>
        <v>6.9</v>
      </c>
      <c r="K34" s="54">
        <f>+'1 pr. asignavimai'!J155</f>
        <v>6.7</v>
      </c>
      <c r="L34" s="54">
        <f>+'1 pr. asignavimai'!K155</f>
        <v>0</v>
      </c>
      <c r="M34" s="54">
        <f>+'1 pr. asignavimai'!L155</f>
        <v>0</v>
      </c>
    </row>
    <row r="35" spans="1:13" ht="19.5" customHeight="1" x14ac:dyDescent="0.25">
      <c r="A35" s="97"/>
      <c r="B35" s="98"/>
      <c r="C35" s="61" t="s">
        <v>266</v>
      </c>
      <c r="D35" s="53">
        <f>SUM(D31:D34)</f>
        <v>34952.9</v>
      </c>
      <c r="E35" s="53">
        <f t="shared" ref="E35:F35" si="32">SUM(E31:E34)</f>
        <v>33822.9</v>
      </c>
      <c r="F35" s="53">
        <f t="shared" si="32"/>
        <v>-1130</v>
      </c>
      <c r="G35" s="53">
        <f t="shared" si="3"/>
        <v>96.8</v>
      </c>
      <c r="H35" s="53">
        <f t="shared" ref="H35" si="33">SUM(H31:H34)</f>
        <v>32906.5</v>
      </c>
      <c r="I35" s="53">
        <f t="shared" ref="I35" si="34">SUM(I31:I34)</f>
        <v>32108.2</v>
      </c>
      <c r="J35" s="53">
        <f t="shared" ref="J35" si="35">SUM(J31:J34)</f>
        <v>820.7</v>
      </c>
      <c r="K35" s="53">
        <f t="shared" ref="K35" si="36">SUM(K31:K34)</f>
        <v>815.9</v>
      </c>
      <c r="L35" s="53">
        <f t="shared" ref="L35" si="37">SUM(L31:L34)</f>
        <v>2046.4</v>
      </c>
      <c r="M35" s="53">
        <f t="shared" ref="M35" si="38">SUM(M31:M34)</f>
        <v>1714.7</v>
      </c>
    </row>
    <row r="36" spans="1:13" ht="63" customHeight="1" x14ac:dyDescent="0.25">
      <c r="A36" s="97"/>
      <c r="B36" s="98" t="s">
        <v>276</v>
      </c>
      <c r="C36" s="61" t="s">
        <v>10</v>
      </c>
      <c r="D36" s="54">
        <f t="shared" si="0"/>
        <v>68.900000000000006</v>
      </c>
      <c r="E36" s="54">
        <f t="shared" si="1"/>
        <v>68.5</v>
      </c>
      <c r="F36" s="54">
        <f t="shared" si="2"/>
        <v>-0.4</v>
      </c>
      <c r="G36" s="54">
        <f t="shared" si="3"/>
        <v>99.4</v>
      </c>
      <c r="H36" s="54">
        <f>+'1 pr. asignavimai'!G107</f>
        <v>68.900000000000006</v>
      </c>
      <c r="I36" s="54">
        <f>+'1 pr. asignavimai'!H107</f>
        <v>68.5</v>
      </c>
      <c r="J36" s="54">
        <f>+'1 pr. asignavimai'!I107</f>
        <v>0</v>
      </c>
      <c r="K36" s="54">
        <f>+'1 pr. asignavimai'!J107</f>
        <v>0</v>
      </c>
      <c r="L36" s="54">
        <f>+'1 pr. asignavimai'!K107</f>
        <v>0</v>
      </c>
      <c r="M36" s="54">
        <f>+'1 pr. asignavimai'!L107</f>
        <v>0</v>
      </c>
    </row>
    <row r="37" spans="1:13" ht="50.25" customHeight="1" x14ac:dyDescent="0.25">
      <c r="A37" s="97"/>
      <c r="B37" s="98"/>
      <c r="C37" s="61" t="s">
        <v>11</v>
      </c>
      <c r="D37" s="54">
        <f t="shared" si="0"/>
        <v>11109</v>
      </c>
      <c r="E37" s="54">
        <f t="shared" si="1"/>
        <v>11104.7</v>
      </c>
      <c r="F37" s="54">
        <f t="shared" si="2"/>
        <v>-4.3</v>
      </c>
      <c r="G37" s="54">
        <f t="shared" si="3"/>
        <v>100</v>
      </c>
      <c r="H37" s="54">
        <f>+'1 pr. asignavimai'!G116</f>
        <v>10902.2</v>
      </c>
      <c r="I37" s="54">
        <f>+'1 pr. asignavimai'!H116</f>
        <v>10881.7</v>
      </c>
      <c r="J37" s="54">
        <f>+'1 pr. asignavimai'!I116</f>
        <v>5094.6000000000004</v>
      </c>
      <c r="K37" s="54">
        <f>+'1 pr. asignavimai'!J116</f>
        <v>5080.7</v>
      </c>
      <c r="L37" s="54">
        <f>+'1 pr. asignavimai'!K116</f>
        <v>206.8</v>
      </c>
      <c r="M37" s="54">
        <f>+'1 pr. asignavimai'!L116</f>
        <v>223</v>
      </c>
    </row>
    <row r="38" spans="1:13" ht="22.5" customHeight="1" x14ac:dyDescent="0.25">
      <c r="A38" s="97"/>
      <c r="B38" s="98"/>
      <c r="C38" s="61" t="s">
        <v>266</v>
      </c>
      <c r="D38" s="53">
        <f>+D36+D37</f>
        <v>11177.9</v>
      </c>
      <c r="E38" s="53">
        <f t="shared" ref="E38:F38" si="39">+E36+E37</f>
        <v>11173.2</v>
      </c>
      <c r="F38" s="53">
        <f t="shared" si="39"/>
        <v>-4.7</v>
      </c>
      <c r="G38" s="53">
        <f t="shared" si="3"/>
        <v>100</v>
      </c>
      <c r="H38" s="53">
        <f t="shared" ref="H38" si="40">+H36+H37</f>
        <v>10971.1</v>
      </c>
      <c r="I38" s="53">
        <f t="shared" ref="I38" si="41">+I36+I37</f>
        <v>10950.2</v>
      </c>
      <c r="J38" s="53">
        <f t="shared" ref="J38" si="42">+J36+J37</f>
        <v>5094.6000000000004</v>
      </c>
      <c r="K38" s="53">
        <f t="shared" ref="K38" si="43">+K36+K37</f>
        <v>5080.7</v>
      </c>
      <c r="L38" s="53">
        <f t="shared" ref="L38" si="44">+L36+L37</f>
        <v>206.8</v>
      </c>
      <c r="M38" s="53">
        <f t="shared" ref="M38" si="45">+M36+M37</f>
        <v>223</v>
      </c>
    </row>
    <row r="39" spans="1:13" ht="36.75" customHeight="1" x14ac:dyDescent="0.25">
      <c r="A39" s="62" t="s">
        <v>277</v>
      </c>
      <c r="B39" s="33" t="s">
        <v>278</v>
      </c>
      <c r="C39" s="61" t="s">
        <v>9</v>
      </c>
      <c r="D39" s="53">
        <f t="shared" si="0"/>
        <v>294.7</v>
      </c>
      <c r="E39" s="53">
        <f t="shared" si="1"/>
        <v>239.2</v>
      </c>
      <c r="F39" s="53">
        <f t="shared" si="2"/>
        <v>-55.5</v>
      </c>
      <c r="G39" s="53">
        <f t="shared" si="3"/>
        <v>81.2</v>
      </c>
      <c r="H39" s="53">
        <f>+'1 pr. asignavimai'!G46</f>
        <v>146.19999999999999</v>
      </c>
      <c r="I39" s="53">
        <f>+'1 pr. asignavimai'!H46</f>
        <v>103.1</v>
      </c>
      <c r="J39" s="53">
        <f>+'1 pr. asignavimai'!I46</f>
        <v>5.8</v>
      </c>
      <c r="K39" s="53">
        <f>+'1 pr. asignavimai'!J46</f>
        <v>5.7</v>
      </c>
      <c r="L39" s="53">
        <f>+'1 pr. asignavimai'!K46</f>
        <v>148.5</v>
      </c>
      <c r="M39" s="53">
        <f>+'1 pr. asignavimai'!L46</f>
        <v>136.1</v>
      </c>
    </row>
    <row r="40" spans="1:13" ht="51" customHeight="1" x14ac:dyDescent="0.25">
      <c r="A40" s="97" t="s">
        <v>279</v>
      </c>
      <c r="B40" s="98" t="s">
        <v>241</v>
      </c>
      <c r="C40" s="61" t="s">
        <v>198</v>
      </c>
      <c r="D40" s="54">
        <f t="shared" si="0"/>
        <v>2167.6999999999998</v>
      </c>
      <c r="E40" s="54">
        <f t="shared" si="1"/>
        <v>1928.6</v>
      </c>
      <c r="F40" s="54">
        <f t="shared" si="2"/>
        <v>-239.1</v>
      </c>
      <c r="G40" s="54">
        <f t="shared" si="3"/>
        <v>89</v>
      </c>
      <c r="H40" s="54">
        <f>+'1 pr. asignavimai'!G82</f>
        <v>0</v>
      </c>
      <c r="I40" s="54">
        <f>+'1 pr. asignavimai'!H82</f>
        <v>0</v>
      </c>
      <c r="J40" s="54">
        <f>+'1 pr. asignavimai'!I82</f>
        <v>0</v>
      </c>
      <c r="K40" s="54">
        <f>+'1 pr. asignavimai'!J82</f>
        <v>0</v>
      </c>
      <c r="L40" s="54">
        <f>+'1 pr. asignavimai'!K82</f>
        <v>2167.6999999999998</v>
      </c>
      <c r="M40" s="54">
        <f>+'1 pr. asignavimai'!L82</f>
        <v>1928.6</v>
      </c>
    </row>
    <row r="41" spans="1:13" ht="31.5" x14ac:dyDescent="0.25">
      <c r="A41" s="97"/>
      <c r="B41" s="98"/>
      <c r="C41" s="61" t="s">
        <v>10</v>
      </c>
      <c r="D41" s="54">
        <f t="shared" si="0"/>
        <v>4507.5</v>
      </c>
      <c r="E41" s="54">
        <f t="shared" si="1"/>
        <v>4654.3999999999996</v>
      </c>
      <c r="F41" s="54">
        <f t="shared" si="2"/>
        <v>146.9</v>
      </c>
      <c r="G41" s="54">
        <f t="shared" si="3"/>
        <v>103.3</v>
      </c>
      <c r="H41" s="54">
        <f>+'1 pr. asignavimai'!G108</f>
        <v>3555.9</v>
      </c>
      <c r="I41" s="54">
        <f>+'1 pr. asignavimai'!H108</f>
        <v>3480</v>
      </c>
      <c r="J41" s="54">
        <f>+'1 pr. asignavimai'!I108</f>
        <v>0</v>
      </c>
      <c r="K41" s="54">
        <f>+'1 pr. asignavimai'!J108</f>
        <v>0</v>
      </c>
      <c r="L41" s="54">
        <f>+'1 pr. asignavimai'!K108</f>
        <v>951.6</v>
      </c>
      <c r="M41" s="54">
        <f>+'1 pr. asignavimai'!L108</f>
        <v>1174.4000000000001</v>
      </c>
    </row>
    <row r="42" spans="1:13" ht="47.25" customHeight="1" x14ac:dyDescent="0.25">
      <c r="A42" s="97"/>
      <c r="B42" s="98"/>
      <c r="C42" s="61" t="s">
        <v>11</v>
      </c>
      <c r="D42" s="54">
        <f t="shared" si="0"/>
        <v>192363.9</v>
      </c>
      <c r="E42" s="54">
        <f t="shared" si="1"/>
        <v>192275.4</v>
      </c>
      <c r="F42" s="54">
        <f t="shared" si="2"/>
        <v>-88.5</v>
      </c>
      <c r="G42" s="54">
        <f t="shared" si="3"/>
        <v>100</v>
      </c>
      <c r="H42" s="54">
        <f>+'1 pr. asignavimai'!G121</f>
        <v>191564</v>
      </c>
      <c r="I42" s="54">
        <f>+'1 pr. asignavimai'!H121</f>
        <v>191398.2</v>
      </c>
      <c r="J42" s="54">
        <f>+'1 pr. asignavimai'!I121</f>
        <v>128668.2</v>
      </c>
      <c r="K42" s="54">
        <f>+'1 pr. asignavimai'!J121</f>
        <v>128488.9</v>
      </c>
      <c r="L42" s="54">
        <f>+'1 pr. asignavimai'!K121</f>
        <v>799.9</v>
      </c>
      <c r="M42" s="54">
        <f>+'1 pr. asignavimai'!L121</f>
        <v>877.2</v>
      </c>
    </row>
    <row r="43" spans="1:13" ht="26.25" customHeight="1" x14ac:dyDescent="0.25">
      <c r="A43" s="97"/>
      <c r="B43" s="98"/>
      <c r="C43" s="61" t="s">
        <v>266</v>
      </c>
      <c r="D43" s="53">
        <f>SUM(D40:D42)</f>
        <v>199039.1</v>
      </c>
      <c r="E43" s="53">
        <f t="shared" ref="E43:F43" si="46">SUM(E40:E42)</f>
        <v>198858.4</v>
      </c>
      <c r="F43" s="53">
        <f t="shared" si="46"/>
        <v>-180.7</v>
      </c>
      <c r="G43" s="53">
        <f t="shared" si="3"/>
        <v>99.9</v>
      </c>
      <c r="H43" s="53">
        <f t="shared" ref="H43" si="47">SUM(H40:H42)</f>
        <v>195119.9</v>
      </c>
      <c r="I43" s="53">
        <f t="shared" ref="I43" si="48">SUM(I40:I42)</f>
        <v>194878.2</v>
      </c>
      <c r="J43" s="53">
        <f t="shared" ref="J43:K43" si="49">SUM(J40:J42)</f>
        <v>128668.2</v>
      </c>
      <c r="K43" s="53">
        <f t="shared" si="49"/>
        <v>128488.9</v>
      </c>
      <c r="L43" s="53">
        <f t="shared" ref="L43" si="50">SUM(L40:L42)</f>
        <v>3919.2</v>
      </c>
      <c r="M43" s="53">
        <f t="shared" ref="M43" si="51">SUM(M40:M42)</f>
        <v>3980.2</v>
      </c>
    </row>
    <row r="44" spans="1:13" ht="46.5" customHeight="1" x14ac:dyDescent="0.25">
      <c r="A44" s="97" t="s">
        <v>280</v>
      </c>
      <c r="B44" s="98" t="s">
        <v>246</v>
      </c>
      <c r="C44" s="61" t="s">
        <v>198</v>
      </c>
      <c r="D44" s="54">
        <f t="shared" si="0"/>
        <v>719</v>
      </c>
      <c r="E44" s="54">
        <f t="shared" si="1"/>
        <v>514.5</v>
      </c>
      <c r="F44" s="54">
        <f t="shared" si="2"/>
        <v>-204.5</v>
      </c>
      <c r="G44" s="54">
        <f t="shared" si="3"/>
        <v>71.599999999999994</v>
      </c>
      <c r="H44" s="54">
        <f>+'1 pr. asignavimai'!G86</f>
        <v>0</v>
      </c>
      <c r="I44" s="54">
        <f>+'1 pr. asignavimai'!H86</f>
        <v>0</v>
      </c>
      <c r="J44" s="54">
        <f>+'1 pr. asignavimai'!I86</f>
        <v>0</v>
      </c>
      <c r="K44" s="54">
        <f>+'1 pr. asignavimai'!J86</f>
        <v>0</v>
      </c>
      <c r="L44" s="54">
        <f>+'1 pr. asignavimai'!K86</f>
        <v>719</v>
      </c>
      <c r="M44" s="54">
        <f>+'1 pr. asignavimai'!L86</f>
        <v>514.5</v>
      </c>
    </row>
    <row r="45" spans="1:13" ht="38.25" customHeight="1" x14ac:dyDescent="0.25">
      <c r="A45" s="97"/>
      <c r="B45" s="98"/>
      <c r="C45" s="61" t="s">
        <v>10</v>
      </c>
      <c r="D45" s="54">
        <f t="shared" si="0"/>
        <v>214.8</v>
      </c>
      <c r="E45" s="54">
        <f t="shared" si="1"/>
        <v>214.8</v>
      </c>
      <c r="F45" s="54">
        <f t="shared" si="2"/>
        <v>0</v>
      </c>
      <c r="G45" s="54">
        <f t="shared" si="3"/>
        <v>100</v>
      </c>
      <c r="H45" s="54">
        <f>+'1 pr. asignavimai'!G113</f>
        <v>0</v>
      </c>
      <c r="I45" s="54">
        <f>+'1 pr. asignavimai'!H113</f>
        <v>0</v>
      </c>
      <c r="J45" s="54">
        <f>+'1 pr. asignavimai'!I113</f>
        <v>0</v>
      </c>
      <c r="K45" s="54">
        <f>+'1 pr. asignavimai'!J113</f>
        <v>0</v>
      </c>
      <c r="L45" s="54">
        <f>+'1 pr. asignavimai'!K113</f>
        <v>214.8</v>
      </c>
      <c r="M45" s="54">
        <f>+'1 pr. asignavimai'!L113</f>
        <v>214.8</v>
      </c>
    </row>
    <row r="46" spans="1:13" ht="46.5" customHeight="1" x14ac:dyDescent="0.25">
      <c r="A46" s="97"/>
      <c r="B46" s="98"/>
      <c r="C46" s="61" t="s">
        <v>11</v>
      </c>
      <c r="D46" s="54">
        <f t="shared" si="0"/>
        <v>15140.6</v>
      </c>
      <c r="E46" s="54">
        <f t="shared" si="1"/>
        <v>15103.5</v>
      </c>
      <c r="F46" s="54">
        <f t="shared" si="2"/>
        <v>-37.1</v>
      </c>
      <c r="G46" s="54">
        <f t="shared" si="3"/>
        <v>99.8</v>
      </c>
      <c r="H46" s="54">
        <f>+'1 pr. asignavimai'!G128</f>
        <v>14962</v>
      </c>
      <c r="I46" s="54">
        <f>+'1 pr. asignavimai'!H128</f>
        <v>14925.4</v>
      </c>
      <c r="J46" s="54">
        <f>+'1 pr. asignavimai'!I128</f>
        <v>6742.2</v>
      </c>
      <c r="K46" s="54">
        <f>+'1 pr. asignavimai'!J128</f>
        <v>6733.5</v>
      </c>
      <c r="L46" s="54">
        <f>+'1 pr. asignavimai'!K128</f>
        <v>178.6</v>
      </c>
      <c r="M46" s="54">
        <f>+'1 pr. asignavimai'!L128</f>
        <v>178.1</v>
      </c>
    </row>
    <row r="47" spans="1:13" ht="25.5" customHeight="1" x14ac:dyDescent="0.25">
      <c r="A47" s="97"/>
      <c r="B47" s="98"/>
      <c r="C47" s="61" t="s">
        <v>266</v>
      </c>
      <c r="D47" s="53">
        <f>SUM(D44:D46)</f>
        <v>16074.4</v>
      </c>
      <c r="E47" s="53">
        <f t="shared" ref="E47:F47" si="52">SUM(E44:E46)</f>
        <v>15832.8</v>
      </c>
      <c r="F47" s="53">
        <f t="shared" si="52"/>
        <v>-241.6</v>
      </c>
      <c r="G47" s="53">
        <f t="shared" si="3"/>
        <v>98.5</v>
      </c>
      <c r="H47" s="53">
        <f t="shared" ref="H47" si="53">SUM(H44:H46)</f>
        <v>14962</v>
      </c>
      <c r="I47" s="53">
        <f t="shared" ref="I47" si="54">SUM(I44:I46)</f>
        <v>14925.4</v>
      </c>
      <c r="J47" s="53">
        <f t="shared" ref="J47" si="55">SUM(J44:J46)</f>
        <v>6742.2</v>
      </c>
      <c r="K47" s="53">
        <f t="shared" ref="K47" si="56">SUM(K44:K46)</f>
        <v>6733.5</v>
      </c>
      <c r="L47" s="53">
        <f t="shared" ref="L47" si="57">SUM(L44:L46)</f>
        <v>1112.4000000000001</v>
      </c>
      <c r="M47" s="53">
        <f t="shared" ref="M47" si="58">SUM(M44:M46)</f>
        <v>907.4</v>
      </c>
    </row>
    <row r="48" spans="1:13" ht="34.5" customHeight="1" x14ac:dyDescent="0.25">
      <c r="A48" s="97" t="s">
        <v>281</v>
      </c>
      <c r="B48" s="98" t="s">
        <v>249</v>
      </c>
      <c r="C48" s="61" t="s">
        <v>9</v>
      </c>
      <c r="D48" s="54">
        <f t="shared" si="0"/>
        <v>1600</v>
      </c>
      <c r="E48" s="54">
        <f t="shared" si="1"/>
        <v>1354</v>
      </c>
      <c r="F48" s="54">
        <f t="shared" si="2"/>
        <v>-246</v>
      </c>
      <c r="G48" s="54">
        <f t="shared" si="3"/>
        <v>84.6</v>
      </c>
      <c r="H48" s="54">
        <f>+'1 pr. asignavimai'!G47</f>
        <v>0</v>
      </c>
      <c r="I48" s="54">
        <f>+'1 pr. asignavimai'!H47</f>
        <v>0</v>
      </c>
      <c r="J48" s="54">
        <f>+'1 pr. asignavimai'!I47</f>
        <v>0</v>
      </c>
      <c r="K48" s="54">
        <f>+'1 pr. asignavimai'!J47</f>
        <v>0</v>
      </c>
      <c r="L48" s="54">
        <f>+'1 pr. asignavimai'!K47</f>
        <v>1600</v>
      </c>
      <c r="M48" s="54">
        <f>+'1 pr. asignavimai'!L47</f>
        <v>1354</v>
      </c>
    </row>
    <row r="49" spans="1:13" ht="50.25" customHeight="1" x14ac:dyDescent="0.25">
      <c r="A49" s="97"/>
      <c r="B49" s="98"/>
      <c r="C49" s="61" t="s">
        <v>198</v>
      </c>
      <c r="D49" s="54">
        <f t="shared" si="0"/>
        <v>2928.7</v>
      </c>
      <c r="E49" s="54">
        <f t="shared" si="1"/>
        <v>2663.8</v>
      </c>
      <c r="F49" s="54">
        <f t="shared" si="2"/>
        <v>-264.89999999999998</v>
      </c>
      <c r="G49" s="54">
        <f t="shared" si="3"/>
        <v>91</v>
      </c>
      <c r="H49" s="54">
        <f>+'1 pr. asignavimai'!G90</f>
        <v>12.9</v>
      </c>
      <c r="I49" s="54">
        <f>+'1 pr. asignavimai'!H90</f>
        <v>11.2</v>
      </c>
      <c r="J49" s="54">
        <f>+'1 pr. asignavimai'!I90</f>
        <v>4.0999999999999996</v>
      </c>
      <c r="K49" s="54">
        <f>+'1 pr. asignavimai'!J90</f>
        <v>3.9</v>
      </c>
      <c r="L49" s="54">
        <f>+'1 pr. asignavimai'!K90</f>
        <v>2915.8</v>
      </c>
      <c r="M49" s="54">
        <f>+'1 pr. asignavimai'!L90</f>
        <v>2652.6</v>
      </c>
    </row>
    <row r="50" spans="1:13" ht="31.5" x14ac:dyDescent="0.25">
      <c r="A50" s="97"/>
      <c r="B50" s="98"/>
      <c r="C50" s="61" t="s">
        <v>10</v>
      </c>
      <c r="D50" s="54">
        <f t="shared" ref="D50" si="59">+H50+L50</f>
        <v>95.1</v>
      </c>
      <c r="E50" s="54">
        <f t="shared" ref="E50" si="60">+I50+M50</f>
        <v>88.8</v>
      </c>
      <c r="F50" s="54">
        <f t="shared" ref="F50" si="61">+E50-D50</f>
        <v>-6.3</v>
      </c>
      <c r="G50" s="54">
        <f t="shared" si="3"/>
        <v>93.4</v>
      </c>
      <c r="H50" s="54">
        <f>+'1 pr. asignavimai'!G114</f>
        <v>83.6</v>
      </c>
      <c r="I50" s="54">
        <f>+'1 pr. asignavimai'!H114</f>
        <v>83.4</v>
      </c>
      <c r="J50" s="54">
        <f>+'1 pr. asignavimai'!I114</f>
        <v>0</v>
      </c>
      <c r="K50" s="54">
        <f>+'1 pr. asignavimai'!J114</f>
        <v>0</v>
      </c>
      <c r="L50" s="54">
        <f>+'1 pr. asignavimai'!K114</f>
        <v>11.5</v>
      </c>
      <c r="M50" s="54">
        <f>+'1 pr. asignavimai'!L114</f>
        <v>5.4</v>
      </c>
    </row>
    <row r="51" spans="1:13" ht="38.25" customHeight="1" x14ac:dyDescent="0.25">
      <c r="A51" s="97"/>
      <c r="B51" s="98"/>
      <c r="C51" s="61" t="s">
        <v>105</v>
      </c>
      <c r="D51" s="54">
        <f t="shared" si="0"/>
        <v>47631.5</v>
      </c>
      <c r="E51" s="54">
        <f t="shared" si="1"/>
        <v>42955.9</v>
      </c>
      <c r="F51" s="54">
        <f t="shared" si="2"/>
        <v>-4675.6000000000004</v>
      </c>
      <c r="G51" s="54">
        <f t="shared" si="3"/>
        <v>90.2</v>
      </c>
      <c r="H51" s="54">
        <f>+'1 pr. asignavimai'!G133</f>
        <v>47104.4</v>
      </c>
      <c r="I51" s="54">
        <f>+'1 pr. asignavimai'!H133</f>
        <v>42494.7</v>
      </c>
      <c r="J51" s="54">
        <f>+'1 pr. asignavimai'!I133</f>
        <v>8649.7000000000007</v>
      </c>
      <c r="K51" s="54">
        <f>+'1 pr. asignavimai'!J133</f>
        <v>8486.6</v>
      </c>
      <c r="L51" s="54">
        <f>+'1 pr. asignavimai'!K133</f>
        <v>527.1</v>
      </c>
      <c r="M51" s="54">
        <f>+'1 pr. asignavimai'!L133</f>
        <v>461.2</v>
      </c>
    </row>
    <row r="52" spans="1:13" ht="19.5" customHeight="1" x14ac:dyDescent="0.25">
      <c r="A52" s="97"/>
      <c r="B52" s="98"/>
      <c r="C52" s="61" t="s">
        <v>266</v>
      </c>
      <c r="D52" s="53">
        <f>SUM(D48:D51)</f>
        <v>52255.3</v>
      </c>
      <c r="E52" s="53">
        <f t="shared" ref="E52:F52" si="62">SUM(E48:E51)</f>
        <v>47062.5</v>
      </c>
      <c r="F52" s="53">
        <f t="shared" si="62"/>
        <v>-5192.8</v>
      </c>
      <c r="G52" s="53">
        <f t="shared" si="3"/>
        <v>90.1</v>
      </c>
      <c r="H52" s="53">
        <f t="shared" ref="H52" si="63">SUM(H48:H51)</f>
        <v>47200.9</v>
      </c>
      <c r="I52" s="53">
        <f t="shared" ref="I52" si="64">SUM(I48:I51)</f>
        <v>42589.3</v>
      </c>
      <c r="J52" s="53">
        <f t="shared" ref="J52" si="65">SUM(J48:J51)</f>
        <v>8653.7999999999993</v>
      </c>
      <c r="K52" s="53">
        <f t="shared" ref="K52" si="66">SUM(K48:K51)</f>
        <v>8490.5</v>
      </c>
      <c r="L52" s="53">
        <f t="shared" ref="L52" si="67">SUM(L48:L51)</f>
        <v>5054.3999999999996</v>
      </c>
      <c r="M52" s="53">
        <f t="shared" ref="M52" si="68">SUM(M48:M51)</f>
        <v>4473.2</v>
      </c>
    </row>
    <row r="53" spans="1:13" ht="47.25" x14ac:dyDescent="0.25">
      <c r="A53" s="97" t="s">
        <v>282</v>
      </c>
      <c r="B53" s="98" t="s">
        <v>283</v>
      </c>
      <c r="C53" s="61" t="s">
        <v>198</v>
      </c>
      <c r="D53" s="54">
        <f t="shared" si="0"/>
        <v>1000</v>
      </c>
      <c r="E53" s="54">
        <f t="shared" si="1"/>
        <v>1000</v>
      </c>
      <c r="F53" s="54">
        <f t="shared" si="2"/>
        <v>0</v>
      </c>
      <c r="G53" s="54">
        <f t="shared" si="3"/>
        <v>100</v>
      </c>
      <c r="H53" s="54">
        <f>+'1 pr. asignavimai'!G94</f>
        <v>0</v>
      </c>
      <c r="I53" s="54">
        <f>+'1 pr. asignavimai'!H94</f>
        <v>0</v>
      </c>
      <c r="J53" s="54">
        <f>+'1 pr. asignavimai'!I94</f>
        <v>0</v>
      </c>
      <c r="K53" s="54">
        <f>+'1 pr. asignavimai'!J94</f>
        <v>0</v>
      </c>
      <c r="L53" s="54">
        <f>+'1 pr. asignavimai'!K94</f>
        <v>1000</v>
      </c>
      <c r="M53" s="54">
        <f>+'1 pr. asignavimai'!L94</f>
        <v>1000</v>
      </c>
    </row>
    <row r="54" spans="1:13" ht="31.5" x14ac:dyDescent="0.25">
      <c r="A54" s="97"/>
      <c r="B54" s="98"/>
      <c r="C54" s="61" t="s">
        <v>105</v>
      </c>
      <c r="D54" s="54">
        <f t="shared" si="0"/>
        <v>4879.6000000000004</v>
      </c>
      <c r="E54" s="54">
        <f t="shared" si="1"/>
        <v>4821.7</v>
      </c>
      <c r="F54" s="54">
        <f t="shared" si="2"/>
        <v>-57.9</v>
      </c>
      <c r="G54" s="54">
        <f t="shared" si="3"/>
        <v>98.8</v>
      </c>
      <c r="H54" s="54">
        <f>+'1 pr. asignavimai'!G145</f>
        <v>4826.3999999999996</v>
      </c>
      <c r="I54" s="54">
        <f>+'1 pr. asignavimai'!H145</f>
        <v>4768.5</v>
      </c>
      <c r="J54" s="54">
        <f>+'1 pr. asignavimai'!I145</f>
        <v>2547.3000000000002</v>
      </c>
      <c r="K54" s="54">
        <f>+'1 pr. asignavimai'!J145</f>
        <v>2547</v>
      </c>
      <c r="L54" s="54">
        <f>+'1 pr. asignavimai'!K145</f>
        <v>53.2</v>
      </c>
      <c r="M54" s="54">
        <f>+'1 pr. asignavimai'!L145</f>
        <v>53.2</v>
      </c>
    </row>
    <row r="55" spans="1:13" ht="17.25" customHeight="1" x14ac:dyDescent="0.25">
      <c r="A55" s="97"/>
      <c r="B55" s="98"/>
      <c r="C55" s="61" t="s">
        <v>266</v>
      </c>
      <c r="D55" s="53">
        <f>+D53+D54</f>
        <v>5879.6</v>
      </c>
      <c r="E55" s="53">
        <f t="shared" ref="E55:F55" si="69">+E53+E54</f>
        <v>5821.7</v>
      </c>
      <c r="F55" s="53">
        <f t="shared" si="69"/>
        <v>-57.9</v>
      </c>
      <c r="G55" s="53">
        <f t="shared" si="3"/>
        <v>99</v>
      </c>
      <c r="H55" s="53">
        <f t="shared" ref="H55" si="70">+H53+H54</f>
        <v>4826.3999999999996</v>
      </c>
      <c r="I55" s="53">
        <f t="shared" ref="I55" si="71">+I53+I54</f>
        <v>4768.5</v>
      </c>
      <c r="J55" s="53">
        <f t="shared" ref="J55" si="72">+J53+J54</f>
        <v>2547.3000000000002</v>
      </c>
      <c r="K55" s="53">
        <f t="shared" ref="K55" si="73">+K53+K54</f>
        <v>2547</v>
      </c>
      <c r="L55" s="53">
        <f t="shared" ref="L55" si="74">+L53+L54</f>
        <v>1053.2</v>
      </c>
      <c r="M55" s="53">
        <f t="shared" ref="M55" si="75">+M53+M54</f>
        <v>1053.2</v>
      </c>
    </row>
    <row r="56" spans="1:13" ht="19.5" customHeight="1" x14ac:dyDescent="0.25">
      <c r="A56" s="66" t="s">
        <v>284</v>
      </c>
      <c r="B56" s="34" t="s">
        <v>285</v>
      </c>
      <c r="C56" s="14"/>
      <c r="D56" s="53">
        <f>+D17+D18+D22+D23+D26+D30+D35+D38+D43+D47+D52+D55+D39</f>
        <v>420888.6</v>
      </c>
      <c r="E56" s="53">
        <f t="shared" ref="E56:F56" si="76">+E17+E18+E22+E23+E26+E30+E35+E38+E43+E47+E52+E55+E39</f>
        <v>411839.8</v>
      </c>
      <c r="F56" s="53">
        <f t="shared" si="76"/>
        <v>-9048.7999999999993</v>
      </c>
      <c r="G56" s="53">
        <f t="shared" si="3"/>
        <v>97.9</v>
      </c>
      <c r="H56" s="53">
        <f t="shared" ref="H56" si="77">+H17+H18+H22+H23+H26+H30+H35+H38+H43+H47+H52+H55+H39</f>
        <v>375763.20000000001</v>
      </c>
      <c r="I56" s="53">
        <f t="shared" ref="I56" si="78">+I17+I18+I22+I23+I26+I30+I35+I38+I43+I47+I52+I55+I39</f>
        <v>368646.1</v>
      </c>
      <c r="J56" s="53">
        <f t="shared" ref="J56" si="79">+J17+J18+J22+J23+J26+J30+J35+J38+J43+J47+J52+J55+J39</f>
        <v>166223.70000000001</v>
      </c>
      <c r="K56" s="53">
        <f t="shared" ref="K56" si="80">+K17+K18+K22+K23+K26+K30+K35+K38+K43+K47+K52+K55+K39</f>
        <v>165763.4</v>
      </c>
      <c r="L56" s="53">
        <f t="shared" ref="L56" si="81">+L17+L18+L22+L23+L26+L30+L35+L38+L43+L47+L52+L55+L39</f>
        <v>45125.4</v>
      </c>
      <c r="M56" s="53">
        <f t="shared" ref="M56" si="82">+M17+M18+M22+M23+M26+M30+M35+M38+M43+M47+M52+M55+M39</f>
        <v>43193.7</v>
      </c>
    </row>
    <row r="58" spans="1:13" x14ac:dyDescent="0.2">
      <c r="B58" s="32"/>
      <c r="C58" s="32"/>
    </row>
  </sheetData>
  <mergeCells count="36">
    <mergeCell ref="A9:A12"/>
    <mergeCell ref="B5:M6"/>
    <mergeCell ref="C9:C12"/>
    <mergeCell ref="B9:B12"/>
    <mergeCell ref="D9:D12"/>
    <mergeCell ref="E9:E12"/>
    <mergeCell ref="F9:F12"/>
    <mergeCell ref="G9:G12"/>
    <mergeCell ref="H9:M9"/>
    <mergeCell ref="H10:K10"/>
    <mergeCell ref="L10:M10"/>
    <mergeCell ref="H11:H12"/>
    <mergeCell ref="I11:I12"/>
    <mergeCell ref="J11:K11"/>
    <mergeCell ref="L11:L12"/>
    <mergeCell ref="M11:M12"/>
    <mergeCell ref="A36:A38"/>
    <mergeCell ref="B36:B38"/>
    <mergeCell ref="A14:A17"/>
    <mergeCell ref="B14:B17"/>
    <mergeCell ref="A19:A22"/>
    <mergeCell ref="B19:B22"/>
    <mergeCell ref="A24:A26"/>
    <mergeCell ref="B24:B26"/>
    <mergeCell ref="A27:A30"/>
    <mergeCell ref="B27:B30"/>
    <mergeCell ref="A31:A35"/>
    <mergeCell ref="B31:B35"/>
    <mergeCell ref="A53:A55"/>
    <mergeCell ref="B53:B55"/>
    <mergeCell ref="A40:A43"/>
    <mergeCell ref="B40:B43"/>
    <mergeCell ref="A44:A47"/>
    <mergeCell ref="B44:B47"/>
    <mergeCell ref="A48:A52"/>
    <mergeCell ref="B48:B52"/>
  </mergeCells>
  <pageMargins left="0.9055118110236221" right="0.51181102362204722" top="0.74803149606299213" bottom="0.59055118110236227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Zeros="0" zoomScale="115" zoomScaleNormal="115" workbookViewId="0">
      <selection activeCell="A5" sqref="A5:F5"/>
    </sheetView>
  </sheetViews>
  <sheetFormatPr defaultColWidth="10.140625" defaultRowHeight="15.75" x14ac:dyDescent="0.25"/>
  <cols>
    <col min="1" max="1" width="6" style="42" customWidth="1"/>
    <col min="2" max="2" width="51.140625" customWidth="1"/>
    <col min="3" max="3" width="13.42578125" customWidth="1"/>
    <col min="4" max="4" width="11.7109375" customWidth="1"/>
    <col min="5" max="5" width="12.140625" customWidth="1"/>
    <col min="6" max="6" width="11.85546875" customWidth="1"/>
    <col min="252" max="252" width="6" customWidth="1"/>
    <col min="253" max="253" width="54.28515625" customWidth="1"/>
    <col min="254" max="254" width="15.140625" customWidth="1"/>
    <col min="255" max="255" width="10.85546875" customWidth="1"/>
    <col min="256" max="256" width="11.140625" customWidth="1"/>
    <col min="508" max="508" width="6" customWidth="1"/>
    <col min="509" max="509" width="54.28515625" customWidth="1"/>
    <col min="510" max="510" width="15.140625" customWidth="1"/>
    <col min="511" max="511" width="10.85546875" customWidth="1"/>
    <col min="512" max="512" width="11.140625" customWidth="1"/>
    <col min="764" max="764" width="6" customWidth="1"/>
    <col min="765" max="765" width="54.28515625" customWidth="1"/>
    <col min="766" max="766" width="15.140625" customWidth="1"/>
    <col min="767" max="767" width="10.85546875" customWidth="1"/>
    <col min="768" max="768" width="11.140625" customWidth="1"/>
    <col min="1020" max="1020" width="6" customWidth="1"/>
    <col min="1021" max="1021" width="54.28515625" customWidth="1"/>
    <col min="1022" max="1022" width="15.140625" customWidth="1"/>
    <col min="1023" max="1023" width="10.85546875" customWidth="1"/>
    <col min="1024" max="1024" width="11.140625" customWidth="1"/>
    <col min="1276" max="1276" width="6" customWidth="1"/>
    <col min="1277" max="1277" width="54.28515625" customWidth="1"/>
    <col min="1278" max="1278" width="15.140625" customWidth="1"/>
    <col min="1279" max="1279" width="10.85546875" customWidth="1"/>
    <col min="1280" max="1280" width="11.140625" customWidth="1"/>
    <col min="1532" max="1532" width="6" customWidth="1"/>
    <col min="1533" max="1533" width="54.28515625" customWidth="1"/>
    <col min="1534" max="1534" width="15.140625" customWidth="1"/>
    <col min="1535" max="1535" width="10.85546875" customWidth="1"/>
    <col min="1536" max="1536" width="11.140625" customWidth="1"/>
    <col min="1788" max="1788" width="6" customWidth="1"/>
    <col min="1789" max="1789" width="54.28515625" customWidth="1"/>
    <col min="1790" max="1790" width="15.140625" customWidth="1"/>
    <col min="1791" max="1791" width="10.85546875" customWidth="1"/>
    <col min="1792" max="1792" width="11.140625" customWidth="1"/>
    <col min="2044" max="2044" width="6" customWidth="1"/>
    <col min="2045" max="2045" width="54.28515625" customWidth="1"/>
    <col min="2046" max="2046" width="15.140625" customWidth="1"/>
    <col min="2047" max="2047" width="10.85546875" customWidth="1"/>
    <col min="2048" max="2048" width="11.140625" customWidth="1"/>
    <col min="2300" max="2300" width="6" customWidth="1"/>
    <col min="2301" max="2301" width="54.28515625" customWidth="1"/>
    <col min="2302" max="2302" width="15.140625" customWidth="1"/>
    <col min="2303" max="2303" width="10.85546875" customWidth="1"/>
    <col min="2304" max="2304" width="11.140625" customWidth="1"/>
    <col min="2556" max="2556" width="6" customWidth="1"/>
    <col min="2557" max="2557" width="54.28515625" customWidth="1"/>
    <col min="2558" max="2558" width="15.140625" customWidth="1"/>
    <col min="2559" max="2559" width="10.85546875" customWidth="1"/>
    <col min="2560" max="2560" width="11.140625" customWidth="1"/>
    <col min="2812" max="2812" width="6" customWidth="1"/>
    <col min="2813" max="2813" width="54.28515625" customWidth="1"/>
    <col min="2814" max="2814" width="15.140625" customWidth="1"/>
    <col min="2815" max="2815" width="10.85546875" customWidth="1"/>
    <col min="2816" max="2816" width="11.140625" customWidth="1"/>
    <col min="3068" max="3068" width="6" customWidth="1"/>
    <col min="3069" max="3069" width="54.28515625" customWidth="1"/>
    <col min="3070" max="3070" width="15.140625" customWidth="1"/>
    <col min="3071" max="3071" width="10.85546875" customWidth="1"/>
    <col min="3072" max="3072" width="11.140625" customWidth="1"/>
    <col min="3324" max="3324" width="6" customWidth="1"/>
    <col min="3325" max="3325" width="54.28515625" customWidth="1"/>
    <col min="3326" max="3326" width="15.140625" customWidth="1"/>
    <col min="3327" max="3327" width="10.85546875" customWidth="1"/>
    <col min="3328" max="3328" width="11.140625" customWidth="1"/>
    <col min="3580" max="3580" width="6" customWidth="1"/>
    <col min="3581" max="3581" width="54.28515625" customWidth="1"/>
    <col min="3582" max="3582" width="15.140625" customWidth="1"/>
    <col min="3583" max="3583" width="10.85546875" customWidth="1"/>
    <col min="3584" max="3584" width="11.140625" customWidth="1"/>
    <col min="3836" max="3836" width="6" customWidth="1"/>
    <col min="3837" max="3837" width="54.28515625" customWidth="1"/>
    <col min="3838" max="3838" width="15.140625" customWidth="1"/>
    <col min="3839" max="3839" width="10.85546875" customWidth="1"/>
    <col min="3840" max="3840" width="11.140625" customWidth="1"/>
    <col min="4092" max="4092" width="6" customWidth="1"/>
    <col min="4093" max="4093" width="54.28515625" customWidth="1"/>
    <col min="4094" max="4094" width="15.140625" customWidth="1"/>
    <col min="4095" max="4095" width="10.85546875" customWidth="1"/>
    <col min="4096" max="4096" width="11.140625" customWidth="1"/>
    <col min="4348" max="4348" width="6" customWidth="1"/>
    <col min="4349" max="4349" width="54.28515625" customWidth="1"/>
    <col min="4350" max="4350" width="15.140625" customWidth="1"/>
    <col min="4351" max="4351" width="10.85546875" customWidth="1"/>
    <col min="4352" max="4352" width="11.140625" customWidth="1"/>
    <col min="4604" max="4604" width="6" customWidth="1"/>
    <col min="4605" max="4605" width="54.28515625" customWidth="1"/>
    <col min="4606" max="4606" width="15.140625" customWidth="1"/>
    <col min="4607" max="4607" width="10.85546875" customWidth="1"/>
    <col min="4608" max="4608" width="11.140625" customWidth="1"/>
    <col min="4860" max="4860" width="6" customWidth="1"/>
    <col min="4861" max="4861" width="54.28515625" customWidth="1"/>
    <col min="4862" max="4862" width="15.140625" customWidth="1"/>
    <col min="4863" max="4863" width="10.85546875" customWidth="1"/>
    <col min="4864" max="4864" width="11.140625" customWidth="1"/>
    <col min="5116" max="5116" width="6" customWidth="1"/>
    <col min="5117" max="5117" width="54.28515625" customWidth="1"/>
    <col min="5118" max="5118" width="15.140625" customWidth="1"/>
    <col min="5119" max="5119" width="10.85546875" customWidth="1"/>
    <col min="5120" max="5120" width="11.140625" customWidth="1"/>
    <col min="5372" max="5372" width="6" customWidth="1"/>
    <col min="5373" max="5373" width="54.28515625" customWidth="1"/>
    <col min="5374" max="5374" width="15.140625" customWidth="1"/>
    <col min="5375" max="5375" width="10.85546875" customWidth="1"/>
    <col min="5376" max="5376" width="11.140625" customWidth="1"/>
    <col min="5628" max="5628" width="6" customWidth="1"/>
    <col min="5629" max="5629" width="54.28515625" customWidth="1"/>
    <col min="5630" max="5630" width="15.140625" customWidth="1"/>
    <col min="5631" max="5631" width="10.85546875" customWidth="1"/>
    <col min="5632" max="5632" width="11.140625" customWidth="1"/>
    <col min="5884" max="5884" width="6" customWidth="1"/>
    <col min="5885" max="5885" width="54.28515625" customWidth="1"/>
    <col min="5886" max="5886" width="15.140625" customWidth="1"/>
    <col min="5887" max="5887" width="10.85546875" customWidth="1"/>
    <col min="5888" max="5888" width="11.140625" customWidth="1"/>
    <col min="6140" max="6140" width="6" customWidth="1"/>
    <col min="6141" max="6141" width="54.28515625" customWidth="1"/>
    <col min="6142" max="6142" width="15.140625" customWidth="1"/>
    <col min="6143" max="6143" width="10.85546875" customWidth="1"/>
    <col min="6144" max="6144" width="11.140625" customWidth="1"/>
    <col min="6396" max="6396" width="6" customWidth="1"/>
    <col min="6397" max="6397" width="54.28515625" customWidth="1"/>
    <col min="6398" max="6398" width="15.140625" customWidth="1"/>
    <col min="6399" max="6399" width="10.85546875" customWidth="1"/>
    <col min="6400" max="6400" width="11.140625" customWidth="1"/>
    <col min="6652" max="6652" width="6" customWidth="1"/>
    <col min="6653" max="6653" width="54.28515625" customWidth="1"/>
    <col min="6654" max="6654" width="15.140625" customWidth="1"/>
    <col min="6655" max="6655" width="10.85546875" customWidth="1"/>
    <col min="6656" max="6656" width="11.140625" customWidth="1"/>
    <col min="6908" max="6908" width="6" customWidth="1"/>
    <col min="6909" max="6909" width="54.28515625" customWidth="1"/>
    <col min="6910" max="6910" width="15.140625" customWidth="1"/>
    <col min="6911" max="6911" width="10.85546875" customWidth="1"/>
    <col min="6912" max="6912" width="11.140625" customWidth="1"/>
    <col min="7164" max="7164" width="6" customWidth="1"/>
    <col min="7165" max="7165" width="54.28515625" customWidth="1"/>
    <col min="7166" max="7166" width="15.140625" customWidth="1"/>
    <col min="7167" max="7167" width="10.85546875" customWidth="1"/>
    <col min="7168" max="7168" width="11.140625" customWidth="1"/>
    <col min="7420" max="7420" width="6" customWidth="1"/>
    <col min="7421" max="7421" width="54.28515625" customWidth="1"/>
    <col min="7422" max="7422" width="15.140625" customWidth="1"/>
    <col min="7423" max="7423" width="10.85546875" customWidth="1"/>
    <col min="7424" max="7424" width="11.140625" customWidth="1"/>
    <col min="7676" max="7676" width="6" customWidth="1"/>
    <col min="7677" max="7677" width="54.28515625" customWidth="1"/>
    <col min="7678" max="7678" width="15.140625" customWidth="1"/>
    <col min="7679" max="7679" width="10.85546875" customWidth="1"/>
    <col min="7680" max="7680" width="11.140625" customWidth="1"/>
    <col min="7932" max="7932" width="6" customWidth="1"/>
    <col min="7933" max="7933" width="54.28515625" customWidth="1"/>
    <col min="7934" max="7934" width="15.140625" customWidth="1"/>
    <col min="7935" max="7935" width="10.85546875" customWidth="1"/>
    <col min="7936" max="7936" width="11.140625" customWidth="1"/>
    <col min="8188" max="8188" width="6" customWidth="1"/>
    <col min="8189" max="8189" width="54.28515625" customWidth="1"/>
    <col min="8190" max="8190" width="15.140625" customWidth="1"/>
    <col min="8191" max="8191" width="10.85546875" customWidth="1"/>
    <col min="8192" max="8192" width="11.140625" customWidth="1"/>
    <col min="8444" max="8444" width="6" customWidth="1"/>
    <col min="8445" max="8445" width="54.28515625" customWidth="1"/>
    <col min="8446" max="8446" width="15.140625" customWidth="1"/>
    <col min="8447" max="8447" width="10.85546875" customWidth="1"/>
    <col min="8448" max="8448" width="11.140625" customWidth="1"/>
    <col min="8700" max="8700" width="6" customWidth="1"/>
    <col min="8701" max="8701" width="54.28515625" customWidth="1"/>
    <col min="8702" max="8702" width="15.140625" customWidth="1"/>
    <col min="8703" max="8703" width="10.85546875" customWidth="1"/>
    <col min="8704" max="8704" width="11.140625" customWidth="1"/>
    <col min="8956" max="8956" width="6" customWidth="1"/>
    <col min="8957" max="8957" width="54.28515625" customWidth="1"/>
    <col min="8958" max="8958" width="15.140625" customWidth="1"/>
    <col min="8959" max="8959" width="10.85546875" customWidth="1"/>
    <col min="8960" max="8960" width="11.140625" customWidth="1"/>
    <col min="9212" max="9212" width="6" customWidth="1"/>
    <col min="9213" max="9213" width="54.28515625" customWidth="1"/>
    <col min="9214" max="9214" width="15.140625" customWidth="1"/>
    <col min="9215" max="9215" width="10.85546875" customWidth="1"/>
    <col min="9216" max="9216" width="11.140625" customWidth="1"/>
    <col min="9468" max="9468" width="6" customWidth="1"/>
    <col min="9469" max="9469" width="54.28515625" customWidth="1"/>
    <col min="9470" max="9470" width="15.140625" customWidth="1"/>
    <col min="9471" max="9471" width="10.85546875" customWidth="1"/>
    <col min="9472" max="9472" width="11.140625" customWidth="1"/>
    <col min="9724" max="9724" width="6" customWidth="1"/>
    <col min="9725" max="9725" width="54.28515625" customWidth="1"/>
    <col min="9726" max="9726" width="15.140625" customWidth="1"/>
    <col min="9727" max="9727" width="10.85546875" customWidth="1"/>
    <col min="9728" max="9728" width="11.140625" customWidth="1"/>
    <col min="9980" max="9980" width="6" customWidth="1"/>
    <col min="9981" max="9981" width="54.28515625" customWidth="1"/>
    <col min="9982" max="9982" width="15.140625" customWidth="1"/>
    <col min="9983" max="9983" width="10.85546875" customWidth="1"/>
    <col min="9984" max="9984" width="11.140625" customWidth="1"/>
    <col min="10236" max="10236" width="6" customWidth="1"/>
    <col min="10237" max="10237" width="54.28515625" customWidth="1"/>
    <col min="10238" max="10238" width="15.140625" customWidth="1"/>
    <col min="10239" max="10239" width="10.85546875" customWidth="1"/>
    <col min="10240" max="10240" width="11.140625" customWidth="1"/>
    <col min="10492" max="10492" width="6" customWidth="1"/>
    <col min="10493" max="10493" width="54.28515625" customWidth="1"/>
    <col min="10494" max="10494" width="15.140625" customWidth="1"/>
    <col min="10495" max="10495" width="10.85546875" customWidth="1"/>
    <col min="10496" max="10496" width="11.140625" customWidth="1"/>
    <col min="10748" max="10748" width="6" customWidth="1"/>
    <col min="10749" max="10749" width="54.28515625" customWidth="1"/>
    <col min="10750" max="10750" width="15.140625" customWidth="1"/>
    <col min="10751" max="10751" width="10.85546875" customWidth="1"/>
    <col min="10752" max="10752" width="11.140625" customWidth="1"/>
    <col min="11004" max="11004" width="6" customWidth="1"/>
    <col min="11005" max="11005" width="54.28515625" customWidth="1"/>
    <col min="11006" max="11006" width="15.140625" customWidth="1"/>
    <col min="11007" max="11007" width="10.85546875" customWidth="1"/>
    <col min="11008" max="11008" width="11.140625" customWidth="1"/>
    <col min="11260" max="11260" width="6" customWidth="1"/>
    <col min="11261" max="11261" width="54.28515625" customWidth="1"/>
    <col min="11262" max="11262" width="15.140625" customWidth="1"/>
    <col min="11263" max="11263" width="10.85546875" customWidth="1"/>
    <col min="11264" max="11264" width="11.140625" customWidth="1"/>
    <col min="11516" max="11516" width="6" customWidth="1"/>
    <col min="11517" max="11517" width="54.28515625" customWidth="1"/>
    <col min="11518" max="11518" width="15.140625" customWidth="1"/>
    <col min="11519" max="11519" width="10.85546875" customWidth="1"/>
    <col min="11520" max="11520" width="11.140625" customWidth="1"/>
    <col min="11772" max="11772" width="6" customWidth="1"/>
    <col min="11773" max="11773" width="54.28515625" customWidth="1"/>
    <col min="11774" max="11774" width="15.140625" customWidth="1"/>
    <col min="11775" max="11775" width="10.85546875" customWidth="1"/>
    <col min="11776" max="11776" width="11.140625" customWidth="1"/>
    <col min="12028" max="12028" width="6" customWidth="1"/>
    <col min="12029" max="12029" width="54.28515625" customWidth="1"/>
    <col min="12030" max="12030" width="15.140625" customWidth="1"/>
    <col min="12031" max="12031" width="10.85546875" customWidth="1"/>
    <col min="12032" max="12032" width="11.140625" customWidth="1"/>
    <col min="12284" max="12284" width="6" customWidth="1"/>
    <col min="12285" max="12285" width="54.28515625" customWidth="1"/>
    <col min="12286" max="12286" width="15.140625" customWidth="1"/>
    <col min="12287" max="12287" width="10.85546875" customWidth="1"/>
    <col min="12288" max="12288" width="11.140625" customWidth="1"/>
    <col min="12540" max="12540" width="6" customWidth="1"/>
    <col min="12541" max="12541" width="54.28515625" customWidth="1"/>
    <col min="12542" max="12542" width="15.140625" customWidth="1"/>
    <col min="12543" max="12543" width="10.85546875" customWidth="1"/>
    <col min="12544" max="12544" width="11.140625" customWidth="1"/>
    <col min="12796" max="12796" width="6" customWidth="1"/>
    <col min="12797" max="12797" width="54.28515625" customWidth="1"/>
    <col min="12798" max="12798" width="15.140625" customWidth="1"/>
    <col min="12799" max="12799" width="10.85546875" customWidth="1"/>
    <col min="12800" max="12800" width="11.140625" customWidth="1"/>
    <col min="13052" max="13052" width="6" customWidth="1"/>
    <col min="13053" max="13053" width="54.28515625" customWidth="1"/>
    <col min="13054" max="13054" width="15.140625" customWidth="1"/>
    <col min="13055" max="13055" width="10.85546875" customWidth="1"/>
    <col min="13056" max="13056" width="11.140625" customWidth="1"/>
    <col min="13308" max="13308" width="6" customWidth="1"/>
    <col min="13309" max="13309" width="54.28515625" customWidth="1"/>
    <col min="13310" max="13310" width="15.140625" customWidth="1"/>
    <col min="13311" max="13311" width="10.85546875" customWidth="1"/>
    <col min="13312" max="13312" width="11.140625" customWidth="1"/>
    <col min="13564" max="13564" width="6" customWidth="1"/>
    <col min="13565" max="13565" width="54.28515625" customWidth="1"/>
    <col min="13566" max="13566" width="15.140625" customWidth="1"/>
    <col min="13567" max="13567" width="10.85546875" customWidth="1"/>
    <col min="13568" max="13568" width="11.140625" customWidth="1"/>
    <col min="13820" max="13820" width="6" customWidth="1"/>
    <col min="13821" max="13821" width="54.28515625" customWidth="1"/>
    <col min="13822" max="13822" width="15.140625" customWidth="1"/>
    <col min="13823" max="13823" width="10.85546875" customWidth="1"/>
    <col min="13824" max="13824" width="11.140625" customWidth="1"/>
    <col min="14076" max="14076" width="6" customWidth="1"/>
    <col min="14077" max="14077" width="54.28515625" customWidth="1"/>
    <col min="14078" max="14078" width="15.140625" customWidth="1"/>
    <col min="14079" max="14079" width="10.85546875" customWidth="1"/>
    <col min="14080" max="14080" width="11.140625" customWidth="1"/>
    <col min="14332" max="14332" width="6" customWidth="1"/>
    <col min="14333" max="14333" width="54.28515625" customWidth="1"/>
    <col min="14334" max="14334" width="15.140625" customWidth="1"/>
    <col min="14335" max="14335" width="10.85546875" customWidth="1"/>
    <col min="14336" max="14336" width="11.140625" customWidth="1"/>
    <col min="14588" max="14588" width="6" customWidth="1"/>
    <col min="14589" max="14589" width="54.28515625" customWidth="1"/>
    <col min="14590" max="14590" width="15.140625" customWidth="1"/>
    <col min="14591" max="14591" width="10.85546875" customWidth="1"/>
    <col min="14592" max="14592" width="11.140625" customWidth="1"/>
    <col min="14844" max="14844" width="6" customWidth="1"/>
    <col min="14845" max="14845" width="54.28515625" customWidth="1"/>
    <col min="14846" max="14846" width="15.140625" customWidth="1"/>
    <col min="14847" max="14847" width="10.85546875" customWidth="1"/>
    <col min="14848" max="14848" width="11.140625" customWidth="1"/>
    <col min="15100" max="15100" width="6" customWidth="1"/>
    <col min="15101" max="15101" width="54.28515625" customWidth="1"/>
    <col min="15102" max="15102" width="15.140625" customWidth="1"/>
    <col min="15103" max="15103" width="10.85546875" customWidth="1"/>
    <col min="15104" max="15104" width="11.140625" customWidth="1"/>
    <col min="15356" max="15356" width="6" customWidth="1"/>
    <col min="15357" max="15357" width="54.28515625" customWidth="1"/>
    <col min="15358" max="15358" width="15.140625" customWidth="1"/>
    <col min="15359" max="15359" width="10.85546875" customWidth="1"/>
    <col min="15360" max="15360" width="11.140625" customWidth="1"/>
    <col min="15612" max="15612" width="6" customWidth="1"/>
    <col min="15613" max="15613" width="54.28515625" customWidth="1"/>
    <col min="15614" max="15614" width="15.140625" customWidth="1"/>
    <col min="15615" max="15615" width="10.85546875" customWidth="1"/>
    <col min="15616" max="15616" width="11.140625" customWidth="1"/>
    <col min="15868" max="15868" width="6" customWidth="1"/>
    <col min="15869" max="15869" width="54.28515625" customWidth="1"/>
    <col min="15870" max="15870" width="15.140625" customWidth="1"/>
    <col min="15871" max="15871" width="10.85546875" customWidth="1"/>
    <col min="15872" max="15872" width="11.140625" customWidth="1"/>
    <col min="16124" max="16124" width="6" customWidth="1"/>
    <col min="16125" max="16125" width="54.28515625" customWidth="1"/>
    <col min="16126" max="16126" width="15.140625" customWidth="1"/>
    <col min="16127" max="16127" width="10.85546875" customWidth="1"/>
    <col min="16128" max="16128" width="11.140625" customWidth="1"/>
  </cols>
  <sheetData>
    <row r="1" spans="1:7" x14ac:dyDescent="0.25">
      <c r="A1" s="36"/>
      <c r="B1" s="16"/>
      <c r="C1" s="16" t="s">
        <v>355</v>
      </c>
      <c r="D1" s="81"/>
      <c r="E1" s="81"/>
      <c r="F1" s="81"/>
      <c r="G1" s="81"/>
    </row>
    <row r="2" spans="1:7" x14ac:dyDescent="0.25">
      <c r="A2" s="36"/>
      <c r="B2" s="16"/>
      <c r="C2" s="16" t="s">
        <v>356</v>
      </c>
      <c r="D2" s="81"/>
      <c r="E2" s="81"/>
      <c r="F2" s="81"/>
      <c r="G2" s="81"/>
    </row>
    <row r="3" spans="1:7" x14ac:dyDescent="0.25">
      <c r="A3" s="36"/>
      <c r="B3" s="16"/>
      <c r="C3" s="16" t="s">
        <v>357</v>
      </c>
      <c r="D3" s="81"/>
      <c r="E3" s="81"/>
      <c r="F3" s="81"/>
      <c r="G3" s="81"/>
    </row>
    <row r="4" spans="1:7" x14ac:dyDescent="0.25">
      <c r="A4" s="36"/>
      <c r="B4" s="36"/>
      <c r="C4" s="81"/>
      <c r="D4" s="81"/>
      <c r="E4" s="81"/>
      <c r="F4" s="81"/>
      <c r="G4" s="81"/>
    </row>
    <row r="5" spans="1:7" ht="49.5" customHeight="1" x14ac:dyDescent="0.25">
      <c r="A5" s="102" t="s">
        <v>360</v>
      </c>
      <c r="B5" s="102"/>
      <c r="C5" s="102"/>
      <c r="D5" s="102"/>
      <c r="E5" s="102"/>
      <c r="F5" s="102"/>
      <c r="G5" s="81"/>
    </row>
    <row r="6" spans="1:7" x14ac:dyDescent="0.25">
      <c r="A6" s="36"/>
      <c r="B6" s="36"/>
      <c r="C6" s="81"/>
      <c r="D6" s="81"/>
      <c r="E6" s="81"/>
      <c r="F6" s="81"/>
      <c r="G6" s="81"/>
    </row>
    <row r="7" spans="1:7" x14ac:dyDescent="0.25">
      <c r="A7" s="37"/>
      <c r="B7" s="16"/>
      <c r="C7" s="81"/>
      <c r="D7" s="82"/>
      <c r="E7" s="81"/>
      <c r="F7" s="81" t="s">
        <v>0</v>
      </c>
      <c r="G7" s="81"/>
    </row>
    <row r="8" spans="1:7" x14ac:dyDescent="0.25">
      <c r="A8" s="107" t="s">
        <v>1</v>
      </c>
      <c r="B8" s="107" t="s">
        <v>174</v>
      </c>
      <c r="C8" s="106" t="s">
        <v>288</v>
      </c>
      <c r="D8" s="106"/>
      <c r="E8" s="106"/>
      <c r="F8" s="106"/>
      <c r="G8" s="81"/>
    </row>
    <row r="9" spans="1:7" ht="47.25" x14ac:dyDescent="0.25">
      <c r="A9" s="107"/>
      <c r="B9" s="107"/>
      <c r="C9" s="40" t="s">
        <v>340</v>
      </c>
      <c r="D9" s="40" t="s">
        <v>307</v>
      </c>
      <c r="E9" s="40" t="s">
        <v>354</v>
      </c>
      <c r="F9" s="40" t="s">
        <v>322</v>
      </c>
      <c r="G9" s="81"/>
    </row>
    <row r="10" spans="1:7" x14ac:dyDescent="0.25">
      <c r="A10" s="56">
        <v>1</v>
      </c>
      <c r="B10" s="57">
        <v>2</v>
      </c>
      <c r="C10" s="56">
        <v>3</v>
      </c>
      <c r="D10" s="57">
        <v>4</v>
      </c>
      <c r="E10" s="56">
        <v>5</v>
      </c>
      <c r="F10" s="57">
        <v>6</v>
      </c>
      <c r="G10" s="81"/>
    </row>
    <row r="11" spans="1:7" x14ac:dyDescent="0.25">
      <c r="A11" s="38">
        <v>1</v>
      </c>
      <c r="B11" s="58" t="s">
        <v>198</v>
      </c>
      <c r="C11" s="83"/>
      <c r="D11" s="83"/>
      <c r="E11" s="83"/>
      <c r="F11" s="83"/>
      <c r="G11" s="81"/>
    </row>
    <row r="12" spans="1:7" x14ac:dyDescent="0.25">
      <c r="A12" s="38">
        <f>+A11+1</f>
        <v>2</v>
      </c>
      <c r="B12" s="40" t="s">
        <v>286</v>
      </c>
      <c r="C12" s="84">
        <v>2989.3</v>
      </c>
      <c r="D12" s="83">
        <v>2554.1</v>
      </c>
      <c r="E12" s="84">
        <f>+D12-C12</f>
        <v>-435.2</v>
      </c>
      <c r="F12" s="84">
        <f>+D12/C12*100</f>
        <v>85.4</v>
      </c>
      <c r="G12" s="81"/>
    </row>
    <row r="13" spans="1:7" x14ac:dyDescent="0.25">
      <c r="A13" s="38">
        <f t="shared" ref="A13:A20" si="0">+A12+1</f>
        <v>3</v>
      </c>
      <c r="B13" s="40" t="s">
        <v>180</v>
      </c>
      <c r="C13" s="84">
        <v>595</v>
      </c>
      <c r="D13" s="83"/>
      <c r="E13" s="84">
        <f t="shared" ref="E13:E19" si="1">+D13-C13</f>
        <v>-595</v>
      </c>
      <c r="F13" s="84">
        <f t="shared" ref="F13:F20" si="2">+D13/C13*100</f>
        <v>0</v>
      </c>
      <c r="G13" s="81"/>
    </row>
    <row r="14" spans="1:7" x14ac:dyDescent="0.25">
      <c r="A14" s="38">
        <f t="shared" si="0"/>
        <v>4</v>
      </c>
      <c r="B14" s="40" t="s">
        <v>270</v>
      </c>
      <c r="C14" s="84">
        <v>1531</v>
      </c>
      <c r="D14" s="83">
        <v>1502.9</v>
      </c>
      <c r="E14" s="84">
        <f t="shared" si="1"/>
        <v>-28.1</v>
      </c>
      <c r="F14" s="84">
        <f t="shared" si="2"/>
        <v>98.2</v>
      </c>
      <c r="G14" s="81"/>
    </row>
    <row r="15" spans="1:7" x14ac:dyDescent="0.25">
      <c r="A15" s="38">
        <f t="shared" si="0"/>
        <v>5</v>
      </c>
      <c r="B15" s="40" t="s">
        <v>209</v>
      </c>
      <c r="C15" s="84">
        <v>4159.8999999999996</v>
      </c>
      <c r="D15" s="83">
        <v>2096.5</v>
      </c>
      <c r="E15" s="84">
        <f t="shared" si="1"/>
        <v>-2063.4</v>
      </c>
      <c r="F15" s="84">
        <f t="shared" si="2"/>
        <v>50.4</v>
      </c>
      <c r="G15" s="81"/>
    </row>
    <row r="16" spans="1:7" s="41" customFormat="1" x14ac:dyDescent="0.25">
      <c r="A16" s="38">
        <f t="shared" si="0"/>
        <v>6</v>
      </c>
      <c r="B16" s="40" t="s">
        <v>287</v>
      </c>
      <c r="C16" s="84">
        <v>138.19999999999999</v>
      </c>
      <c r="D16" s="85">
        <v>137.6</v>
      </c>
      <c r="E16" s="84">
        <f t="shared" si="1"/>
        <v>-0.6</v>
      </c>
      <c r="F16" s="84">
        <f t="shared" si="2"/>
        <v>99.6</v>
      </c>
      <c r="G16" s="86"/>
    </row>
    <row r="17" spans="1:7" s="41" customFormat="1" ht="31.5" x14ac:dyDescent="0.25">
      <c r="A17" s="38">
        <f t="shared" si="0"/>
        <v>7</v>
      </c>
      <c r="B17" s="73" t="s">
        <v>232</v>
      </c>
      <c r="C17" s="84">
        <v>598.79999999999995</v>
      </c>
      <c r="D17" s="85">
        <v>597.70000000000005</v>
      </c>
      <c r="E17" s="84">
        <f t="shared" si="1"/>
        <v>-1.1000000000000001</v>
      </c>
      <c r="F17" s="84">
        <f t="shared" si="2"/>
        <v>99.8</v>
      </c>
      <c r="G17" s="86"/>
    </row>
    <row r="18" spans="1:7" x14ac:dyDescent="0.25">
      <c r="A18" s="38">
        <f t="shared" si="0"/>
        <v>8</v>
      </c>
      <c r="B18" s="40" t="s">
        <v>219</v>
      </c>
      <c r="C18" s="84">
        <v>1701.6</v>
      </c>
      <c r="D18" s="84">
        <v>1669.6</v>
      </c>
      <c r="E18" s="84">
        <f t="shared" si="1"/>
        <v>-32</v>
      </c>
      <c r="F18" s="84">
        <f t="shared" si="2"/>
        <v>98.1</v>
      </c>
      <c r="G18" s="81"/>
    </row>
    <row r="19" spans="1:7" s="41" customFormat="1" x14ac:dyDescent="0.25">
      <c r="A19" s="38">
        <f t="shared" si="0"/>
        <v>9</v>
      </c>
      <c r="B19" s="40" t="s">
        <v>225</v>
      </c>
      <c r="C19" s="84">
        <v>594.9</v>
      </c>
      <c r="D19" s="85">
        <v>594.9</v>
      </c>
      <c r="E19" s="84">
        <f t="shared" si="1"/>
        <v>0</v>
      </c>
      <c r="F19" s="84">
        <f t="shared" si="2"/>
        <v>100</v>
      </c>
      <c r="G19" s="86"/>
    </row>
    <row r="20" spans="1:7" x14ac:dyDescent="0.25">
      <c r="A20" s="38">
        <f t="shared" si="0"/>
        <v>10</v>
      </c>
      <c r="B20" s="59" t="s">
        <v>261</v>
      </c>
      <c r="C20" s="39">
        <f>SUM(C12:C19)</f>
        <v>12308.7</v>
      </c>
      <c r="D20" s="39">
        <f t="shared" ref="D20:E20" si="3">SUM(D12:D19)</f>
        <v>9153.2999999999993</v>
      </c>
      <c r="E20" s="39">
        <f t="shared" si="3"/>
        <v>-3155.4</v>
      </c>
      <c r="F20" s="87">
        <f t="shared" si="2"/>
        <v>74.400000000000006</v>
      </c>
      <c r="G20" s="81"/>
    </row>
    <row r="22" spans="1:7" ht="15.6" x14ac:dyDescent="0.35">
      <c r="B22" s="43"/>
    </row>
  </sheetData>
  <mergeCells count="4">
    <mergeCell ref="C8:F8"/>
    <mergeCell ref="B8:B9"/>
    <mergeCell ref="A8:A9"/>
    <mergeCell ref="A5:F5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showZeros="0" tabSelected="1" topLeftCell="A4" workbookViewId="0">
      <selection activeCell="B3" sqref="B3"/>
    </sheetView>
  </sheetViews>
  <sheetFormatPr defaultColWidth="9.140625" defaultRowHeight="15.75" x14ac:dyDescent="0.25"/>
  <cols>
    <col min="1" max="1" width="5.140625" style="1" customWidth="1"/>
    <col min="2" max="2" width="39.5703125" style="1" customWidth="1"/>
    <col min="3" max="3" width="10.7109375" style="2" customWidth="1"/>
    <col min="4" max="4" width="10" style="2" customWidth="1"/>
    <col min="5" max="5" width="10.7109375" style="2" customWidth="1"/>
    <col min="6" max="6" width="11.140625" style="2" customWidth="1"/>
    <col min="7" max="7" width="9.28515625" style="12" customWidth="1"/>
    <col min="8" max="8" width="10.140625" style="2" customWidth="1"/>
    <col min="9" max="9" width="10.85546875" style="2" customWidth="1"/>
    <col min="10" max="10" width="9.140625" style="12" customWidth="1"/>
    <col min="11" max="11" width="9.85546875" style="2" customWidth="1"/>
    <col min="12" max="12" width="10.5703125" style="2" customWidth="1"/>
    <col min="13" max="13" width="9.7109375" style="12" customWidth="1"/>
    <col min="14" max="14" width="10" style="2" customWidth="1"/>
    <col min="15" max="15" width="11.5703125" style="2" customWidth="1"/>
    <col min="16" max="16" width="15.85546875" style="2" customWidth="1"/>
    <col min="17" max="17" width="23.85546875" style="2" customWidth="1"/>
    <col min="18" max="22" width="43.28515625" style="2" customWidth="1"/>
    <col min="23" max="16384" width="9.140625" style="2"/>
  </cols>
  <sheetData>
    <row r="1" spans="1:14" x14ac:dyDescent="0.25">
      <c r="C1" s="1"/>
      <c r="D1" s="1"/>
      <c r="E1" s="1"/>
      <c r="F1" s="1"/>
      <c r="G1" s="15"/>
      <c r="H1" s="1"/>
      <c r="I1" s="1" t="s">
        <v>298</v>
      </c>
      <c r="J1" s="15"/>
      <c r="K1" s="1"/>
      <c r="L1" s="1"/>
      <c r="M1" s="15"/>
      <c r="N1" s="1"/>
    </row>
    <row r="2" spans="1:14" x14ac:dyDescent="0.25">
      <c r="C2" s="1"/>
      <c r="D2" s="1"/>
      <c r="E2" s="1"/>
      <c r="F2" s="1"/>
      <c r="G2" s="15"/>
      <c r="H2" s="1"/>
      <c r="I2" s="1" t="s">
        <v>347</v>
      </c>
      <c r="J2" s="15"/>
      <c r="K2" s="1"/>
      <c r="L2" s="1"/>
      <c r="M2" s="15"/>
      <c r="N2" s="1"/>
    </row>
    <row r="3" spans="1:14" x14ac:dyDescent="0.25">
      <c r="C3" s="1"/>
      <c r="D3" s="1"/>
      <c r="E3" s="1"/>
      <c r="F3" s="1"/>
      <c r="G3" s="15"/>
      <c r="H3" s="1"/>
      <c r="I3" s="1" t="s">
        <v>299</v>
      </c>
      <c r="J3" s="15"/>
      <c r="K3" s="1"/>
      <c r="L3" s="1"/>
      <c r="M3" s="15"/>
      <c r="N3" s="1"/>
    </row>
    <row r="4" spans="1:14" ht="10.5" customHeight="1" x14ac:dyDescent="0.25">
      <c r="C4" s="1"/>
      <c r="D4" s="1"/>
      <c r="E4" s="1"/>
      <c r="F4" s="1"/>
      <c r="G4" s="15"/>
      <c r="H4" s="1"/>
      <c r="I4" s="1"/>
      <c r="J4" s="15"/>
      <c r="K4" s="1"/>
      <c r="L4" s="1" t="s">
        <v>342</v>
      </c>
      <c r="M4" s="15"/>
      <c r="N4" s="1"/>
    </row>
    <row r="5" spans="1:14" ht="14.25" customHeight="1" x14ac:dyDescent="0.25">
      <c r="A5" s="3"/>
      <c r="B5" s="3" t="s">
        <v>348</v>
      </c>
      <c r="C5" s="15"/>
      <c r="D5" s="15"/>
      <c r="E5" s="15"/>
      <c r="F5" s="1"/>
      <c r="G5" s="15"/>
      <c r="H5" s="1"/>
      <c r="I5" s="1"/>
      <c r="J5" s="15"/>
      <c r="K5" s="1"/>
      <c r="L5" s="1"/>
      <c r="M5" s="15"/>
      <c r="N5" s="1"/>
    </row>
    <row r="6" spans="1:14" ht="14.25" customHeight="1" x14ac:dyDescent="0.25">
      <c r="A6" s="3"/>
      <c r="B6" s="3"/>
      <c r="C6" s="15"/>
      <c r="D6" s="15"/>
      <c r="E6" s="15"/>
      <c r="F6" s="1"/>
      <c r="G6" s="15"/>
      <c r="H6" s="1"/>
      <c r="I6" s="1"/>
      <c r="J6" s="15"/>
      <c r="K6" s="1"/>
      <c r="L6" s="1"/>
      <c r="M6" s="15"/>
      <c r="N6" s="1"/>
    </row>
    <row r="7" spans="1:14" ht="15" customHeight="1" x14ac:dyDescent="0.25">
      <c r="A7" s="4"/>
      <c r="B7" s="5"/>
      <c r="C7" s="77"/>
      <c r="D7" s="77"/>
      <c r="E7" s="77"/>
      <c r="F7" s="77"/>
      <c r="G7" s="77"/>
      <c r="H7" s="77"/>
      <c r="I7" s="77"/>
      <c r="J7" s="77"/>
      <c r="K7" s="77"/>
      <c r="L7" s="77"/>
      <c r="M7" s="77" t="s">
        <v>0</v>
      </c>
      <c r="N7" s="77"/>
    </row>
    <row r="8" spans="1:14" ht="21.75" customHeight="1" x14ac:dyDescent="0.25">
      <c r="A8" s="108" t="s">
        <v>1</v>
      </c>
      <c r="B8" s="108" t="s">
        <v>2</v>
      </c>
      <c r="C8" s="108" t="s">
        <v>3</v>
      </c>
      <c r="D8" s="108"/>
      <c r="E8" s="108"/>
      <c r="F8" s="93" t="s">
        <v>4</v>
      </c>
      <c r="G8" s="93"/>
      <c r="H8" s="93"/>
      <c r="I8" s="93"/>
      <c r="J8" s="93"/>
      <c r="K8" s="93"/>
      <c r="L8" s="93"/>
      <c r="M8" s="93"/>
      <c r="N8" s="93"/>
    </row>
    <row r="9" spans="1:14" ht="48" customHeight="1" x14ac:dyDescent="0.2">
      <c r="A9" s="108"/>
      <c r="B9" s="108"/>
      <c r="C9" s="108"/>
      <c r="D9" s="108"/>
      <c r="E9" s="108"/>
      <c r="F9" s="109" t="s">
        <v>343</v>
      </c>
      <c r="G9" s="109"/>
      <c r="H9" s="109"/>
      <c r="I9" s="110" t="s">
        <v>344</v>
      </c>
      <c r="J9" s="110"/>
      <c r="K9" s="110"/>
      <c r="L9" s="110" t="s">
        <v>345</v>
      </c>
      <c r="M9" s="110"/>
      <c r="N9" s="110"/>
    </row>
    <row r="10" spans="1:14" ht="54.75" customHeight="1" x14ac:dyDescent="0.2">
      <c r="A10" s="108"/>
      <c r="B10" s="108"/>
      <c r="C10" s="80" t="s">
        <v>340</v>
      </c>
      <c r="D10" s="80" t="s">
        <v>307</v>
      </c>
      <c r="E10" s="19" t="s">
        <v>346</v>
      </c>
      <c r="F10" s="80" t="s">
        <v>340</v>
      </c>
      <c r="G10" s="75" t="s">
        <v>307</v>
      </c>
      <c r="H10" s="19" t="s">
        <v>346</v>
      </c>
      <c r="I10" s="80" t="s">
        <v>340</v>
      </c>
      <c r="J10" s="75" t="s">
        <v>307</v>
      </c>
      <c r="K10" s="19" t="s">
        <v>346</v>
      </c>
      <c r="L10" s="80" t="s">
        <v>340</v>
      </c>
      <c r="M10" s="75" t="s">
        <v>307</v>
      </c>
      <c r="N10" s="19" t="s">
        <v>346</v>
      </c>
    </row>
    <row r="11" spans="1:14" ht="15" customHeight="1" x14ac:dyDescent="0.25">
      <c r="A11" s="66">
        <v>1</v>
      </c>
      <c r="B11" s="6" t="s">
        <v>5</v>
      </c>
      <c r="C11" s="7" t="s">
        <v>6</v>
      </c>
      <c r="D11" s="7" t="s">
        <v>7</v>
      </c>
      <c r="E11" s="7" t="s">
        <v>349</v>
      </c>
      <c r="F11" s="7" t="s">
        <v>8</v>
      </c>
      <c r="G11" s="7" t="s">
        <v>350</v>
      </c>
      <c r="H11" s="7" t="s">
        <v>351</v>
      </c>
      <c r="I11" s="74">
        <v>9</v>
      </c>
      <c r="J11" s="74">
        <v>10</v>
      </c>
      <c r="K11" s="74">
        <v>11</v>
      </c>
      <c r="L11" s="74">
        <v>12</v>
      </c>
      <c r="M11" s="74">
        <v>13</v>
      </c>
      <c r="N11" s="7" t="s">
        <v>352</v>
      </c>
    </row>
    <row r="12" spans="1:14" ht="18" customHeight="1" x14ac:dyDescent="0.25">
      <c r="A12" s="8">
        <v>1</v>
      </c>
      <c r="B12" s="9" t="s">
        <v>9</v>
      </c>
      <c r="C12" s="46">
        <f>F12+I12+L12</f>
        <v>40.5</v>
      </c>
      <c r="D12" s="46">
        <f>G12+J12+M12</f>
        <v>39.200000000000003</v>
      </c>
      <c r="E12" s="46">
        <f>D12-C12</f>
        <v>-1.3</v>
      </c>
      <c r="F12" s="51"/>
      <c r="G12" s="51"/>
      <c r="H12" s="46">
        <f>G12-F12</f>
        <v>0</v>
      </c>
      <c r="I12" s="51"/>
      <c r="J12" s="51"/>
      <c r="K12" s="46">
        <f>J12-I12</f>
        <v>0</v>
      </c>
      <c r="L12" s="51">
        <v>40.5</v>
      </c>
      <c r="M12" s="51">
        <v>39.200000000000003</v>
      </c>
      <c r="N12" s="46">
        <f>M12-L12</f>
        <v>-1.3</v>
      </c>
    </row>
    <row r="13" spans="1:14" ht="19.5" customHeight="1" x14ac:dyDescent="0.25">
      <c r="A13" s="8">
        <v>2</v>
      </c>
      <c r="B13" s="9" t="s">
        <v>10</v>
      </c>
      <c r="C13" s="46">
        <f t="shared" ref="C13:N13" si="0">+C14+C15</f>
        <v>119.7</v>
      </c>
      <c r="D13" s="46">
        <f t="shared" si="0"/>
        <v>82.8</v>
      </c>
      <c r="E13" s="46">
        <f t="shared" si="0"/>
        <v>-36.9</v>
      </c>
      <c r="F13" s="46">
        <f t="shared" si="0"/>
        <v>0</v>
      </c>
      <c r="G13" s="46">
        <f t="shared" si="0"/>
        <v>0</v>
      </c>
      <c r="H13" s="46">
        <f t="shared" si="0"/>
        <v>0</v>
      </c>
      <c r="I13" s="46">
        <f t="shared" si="0"/>
        <v>96.5</v>
      </c>
      <c r="J13" s="46">
        <f t="shared" si="0"/>
        <v>66.400000000000006</v>
      </c>
      <c r="K13" s="46">
        <f t="shared" si="0"/>
        <v>-30.1</v>
      </c>
      <c r="L13" s="46">
        <f t="shared" si="0"/>
        <v>23.2</v>
      </c>
      <c r="M13" s="46">
        <f t="shared" si="0"/>
        <v>16.399999999999999</v>
      </c>
      <c r="N13" s="46">
        <f t="shared" si="0"/>
        <v>-6.8</v>
      </c>
    </row>
    <row r="14" spans="1:14" ht="16.5" customHeight="1" x14ac:dyDescent="0.25">
      <c r="A14" s="8">
        <v>3</v>
      </c>
      <c r="B14" s="88" t="s">
        <v>10</v>
      </c>
      <c r="C14" s="47">
        <f>F14+I14+L14</f>
        <v>3.5</v>
      </c>
      <c r="D14" s="47">
        <f>G14+J14+M14</f>
        <v>1.4</v>
      </c>
      <c r="E14" s="47">
        <f t="shared" ref="E14:E78" si="1">D14-C14</f>
        <v>-2.1</v>
      </c>
      <c r="F14" s="52"/>
      <c r="G14" s="52"/>
      <c r="H14" s="46">
        <f t="shared" ref="H14:H78" si="2">G14-F14</f>
        <v>0</v>
      </c>
      <c r="I14" s="52">
        <v>3.5</v>
      </c>
      <c r="J14" s="52">
        <v>1.4</v>
      </c>
      <c r="K14" s="47">
        <f t="shared" ref="K14:K15" si="3">J14-I14</f>
        <v>-2.1</v>
      </c>
      <c r="L14" s="52"/>
      <c r="M14" s="52"/>
      <c r="N14" s="47">
        <f t="shared" ref="N14:N15" si="4">M14-L14</f>
        <v>0</v>
      </c>
    </row>
    <row r="15" spans="1:14" x14ac:dyDescent="0.25">
      <c r="A15" s="8">
        <v>4</v>
      </c>
      <c r="B15" s="88" t="s">
        <v>292</v>
      </c>
      <c r="C15" s="47">
        <f>F15+I15+L15</f>
        <v>116.2</v>
      </c>
      <c r="D15" s="47">
        <f>G15+J15+M15</f>
        <v>81.400000000000006</v>
      </c>
      <c r="E15" s="47">
        <f t="shared" si="1"/>
        <v>-34.799999999999997</v>
      </c>
      <c r="F15" s="52"/>
      <c r="G15" s="52"/>
      <c r="H15" s="46">
        <f t="shared" si="2"/>
        <v>0</v>
      </c>
      <c r="I15" s="52">
        <v>93</v>
      </c>
      <c r="J15" s="52">
        <v>65</v>
      </c>
      <c r="K15" s="47">
        <f t="shared" si="3"/>
        <v>-28</v>
      </c>
      <c r="L15" s="52">
        <v>23.2</v>
      </c>
      <c r="M15" s="52">
        <v>16.399999999999999</v>
      </c>
      <c r="N15" s="47">
        <f t="shared" si="4"/>
        <v>-6.8</v>
      </c>
    </row>
    <row r="16" spans="1:14" s="10" customFormat="1" x14ac:dyDescent="0.25">
      <c r="A16" s="8">
        <v>5</v>
      </c>
      <c r="B16" s="9" t="s">
        <v>11</v>
      </c>
      <c r="C16" s="46">
        <f t="shared" ref="C16:N16" si="5">SUM(C17:C122)</f>
        <v>19248.2</v>
      </c>
      <c r="D16" s="46">
        <f t="shared" si="5"/>
        <v>20688.599999999999</v>
      </c>
      <c r="E16" s="46">
        <f t="shared" si="5"/>
        <v>1440.4</v>
      </c>
      <c r="F16" s="46">
        <f t="shared" si="5"/>
        <v>14269.2</v>
      </c>
      <c r="G16" s="46">
        <f t="shared" si="5"/>
        <v>15333.4</v>
      </c>
      <c r="H16" s="46">
        <f t="shared" si="5"/>
        <v>1064.2</v>
      </c>
      <c r="I16" s="46">
        <f t="shared" si="5"/>
        <v>4520.8999999999996</v>
      </c>
      <c r="J16" s="46">
        <f t="shared" si="5"/>
        <v>4969.3999999999996</v>
      </c>
      <c r="K16" s="46">
        <f t="shared" si="5"/>
        <v>448.5</v>
      </c>
      <c r="L16" s="46">
        <f t="shared" si="5"/>
        <v>458.1</v>
      </c>
      <c r="M16" s="46">
        <f t="shared" si="5"/>
        <v>385.8</v>
      </c>
      <c r="N16" s="46">
        <f t="shared" si="5"/>
        <v>-72.3</v>
      </c>
    </row>
    <row r="17" spans="1:14" x14ac:dyDescent="0.25">
      <c r="A17" s="8">
        <v>6</v>
      </c>
      <c r="B17" s="88" t="s">
        <v>12</v>
      </c>
      <c r="C17" s="47">
        <f t="shared" ref="C17:D81" si="6">F17+I17+L17</f>
        <v>330</v>
      </c>
      <c r="D17" s="47">
        <f t="shared" si="6"/>
        <v>401.3</v>
      </c>
      <c r="E17" s="47">
        <f t="shared" si="1"/>
        <v>71.3</v>
      </c>
      <c r="F17" s="52">
        <v>120</v>
      </c>
      <c r="G17" s="52">
        <v>129.9</v>
      </c>
      <c r="H17" s="47">
        <f t="shared" si="2"/>
        <v>9.9</v>
      </c>
      <c r="I17" s="52">
        <v>210</v>
      </c>
      <c r="J17" s="52">
        <v>271.39999999999998</v>
      </c>
      <c r="K17" s="47">
        <f t="shared" ref="K17:K80" si="7">J17-I17</f>
        <v>61.4</v>
      </c>
      <c r="L17" s="52">
        <v>0</v>
      </c>
      <c r="M17" s="52"/>
      <c r="N17" s="47">
        <f t="shared" ref="N17:N80" si="8">M17-L17</f>
        <v>0</v>
      </c>
    </row>
    <row r="18" spans="1:14" x14ac:dyDescent="0.25">
      <c r="A18" s="8">
        <v>7</v>
      </c>
      <c r="B18" s="88" t="s">
        <v>13</v>
      </c>
      <c r="C18" s="47">
        <f t="shared" si="6"/>
        <v>40</v>
      </c>
      <c r="D18" s="47">
        <f t="shared" si="6"/>
        <v>47.8</v>
      </c>
      <c r="E18" s="47">
        <f t="shared" si="1"/>
        <v>7.8</v>
      </c>
      <c r="F18" s="52">
        <v>40</v>
      </c>
      <c r="G18" s="52">
        <v>47.8</v>
      </c>
      <c r="H18" s="47">
        <f t="shared" si="2"/>
        <v>7.8</v>
      </c>
      <c r="I18" s="52">
        <v>0</v>
      </c>
      <c r="J18" s="52"/>
      <c r="K18" s="47">
        <f t="shared" si="7"/>
        <v>0</v>
      </c>
      <c r="L18" s="52">
        <v>0</v>
      </c>
      <c r="M18" s="52"/>
      <c r="N18" s="47">
        <f t="shared" si="8"/>
        <v>0</v>
      </c>
    </row>
    <row r="19" spans="1:14" ht="15" customHeight="1" x14ac:dyDescent="0.25">
      <c r="A19" s="8">
        <v>8</v>
      </c>
      <c r="B19" s="88" t="s">
        <v>14</v>
      </c>
      <c r="C19" s="47">
        <f t="shared" si="6"/>
        <v>162</v>
      </c>
      <c r="D19" s="47">
        <f t="shared" si="6"/>
        <v>169.3</v>
      </c>
      <c r="E19" s="47">
        <f t="shared" si="1"/>
        <v>7.3</v>
      </c>
      <c r="F19" s="52">
        <v>96</v>
      </c>
      <c r="G19" s="52">
        <v>101.3</v>
      </c>
      <c r="H19" s="47">
        <f t="shared" si="2"/>
        <v>5.3</v>
      </c>
      <c r="I19" s="52">
        <v>47.4</v>
      </c>
      <c r="J19" s="52">
        <v>48.1</v>
      </c>
      <c r="K19" s="47">
        <f t="shared" si="7"/>
        <v>0.7</v>
      </c>
      <c r="L19" s="52">
        <v>18.600000000000001</v>
      </c>
      <c r="M19" s="52">
        <v>19.899999999999999</v>
      </c>
      <c r="N19" s="47">
        <f t="shared" si="8"/>
        <v>1.3</v>
      </c>
    </row>
    <row r="20" spans="1:14" ht="14.25" customHeight="1" x14ac:dyDescent="0.25">
      <c r="A20" s="8">
        <v>9</v>
      </c>
      <c r="B20" s="88" t="s">
        <v>114</v>
      </c>
      <c r="C20" s="47">
        <f t="shared" si="6"/>
        <v>45.4</v>
      </c>
      <c r="D20" s="47">
        <f t="shared" si="6"/>
        <v>35.9</v>
      </c>
      <c r="E20" s="47">
        <f t="shared" si="1"/>
        <v>-9.5</v>
      </c>
      <c r="F20" s="52">
        <v>24</v>
      </c>
      <c r="G20" s="52">
        <v>21.1</v>
      </c>
      <c r="H20" s="47">
        <f t="shared" si="2"/>
        <v>-2.9</v>
      </c>
      <c r="I20" s="52">
        <v>14.4</v>
      </c>
      <c r="J20" s="52">
        <v>14.1</v>
      </c>
      <c r="K20" s="47">
        <f t="shared" si="7"/>
        <v>-0.3</v>
      </c>
      <c r="L20" s="52">
        <v>7</v>
      </c>
      <c r="M20" s="52">
        <v>0.7</v>
      </c>
      <c r="N20" s="47">
        <f t="shared" si="8"/>
        <v>-6.3</v>
      </c>
    </row>
    <row r="21" spans="1:14" ht="33" customHeight="1" x14ac:dyDescent="0.25">
      <c r="A21" s="8">
        <v>10</v>
      </c>
      <c r="B21" s="88" t="s">
        <v>15</v>
      </c>
      <c r="C21" s="47">
        <f t="shared" si="6"/>
        <v>100</v>
      </c>
      <c r="D21" s="47">
        <f t="shared" si="6"/>
        <v>109.4</v>
      </c>
      <c r="E21" s="47">
        <f t="shared" si="1"/>
        <v>9.4</v>
      </c>
      <c r="F21" s="52">
        <v>100</v>
      </c>
      <c r="G21" s="52">
        <v>109.4</v>
      </c>
      <c r="H21" s="47">
        <f t="shared" si="2"/>
        <v>9.4</v>
      </c>
      <c r="I21" s="52">
        <v>0</v>
      </c>
      <c r="J21" s="52"/>
      <c r="K21" s="47">
        <f t="shared" si="7"/>
        <v>0</v>
      </c>
      <c r="L21" s="52">
        <v>0</v>
      </c>
      <c r="M21" s="52"/>
      <c r="N21" s="47">
        <f t="shared" si="8"/>
        <v>0</v>
      </c>
    </row>
    <row r="22" spans="1:14" ht="32.25" customHeight="1" x14ac:dyDescent="0.25">
      <c r="A22" s="8">
        <v>11</v>
      </c>
      <c r="B22" s="88" t="s">
        <v>16</v>
      </c>
      <c r="C22" s="47">
        <f t="shared" si="6"/>
        <v>102.7</v>
      </c>
      <c r="D22" s="47">
        <f t="shared" si="6"/>
        <v>130.69999999999999</v>
      </c>
      <c r="E22" s="47">
        <f t="shared" si="1"/>
        <v>28</v>
      </c>
      <c r="F22" s="52">
        <v>0</v>
      </c>
      <c r="G22" s="52"/>
      <c r="H22" s="47">
        <f t="shared" si="2"/>
        <v>0</v>
      </c>
      <c r="I22" s="52">
        <v>93.9</v>
      </c>
      <c r="J22" s="52">
        <v>126</v>
      </c>
      <c r="K22" s="47">
        <f t="shared" si="7"/>
        <v>32.1</v>
      </c>
      <c r="L22" s="52">
        <v>8.8000000000000007</v>
      </c>
      <c r="M22" s="52">
        <v>4.7</v>
      </c>
      <c r="N22" s="47">
        <f t="shared" si="8"/>
        <v>-4.0999999999999996</v>
      </c>
    </row>
    <row r="23" spans="1:14" ht="30.75" customHeight="1" x14ac:dyDescent="0.25">
      <c r="A23" s="8">
        <v>12</v>
      </c>
      <c r="B23" s="88" t="s">
        <v>17</v>
      </c>
      <c r="C23" s="47">
        <f t="shared" si="6"/>
        <v>38</v>
      </c>
      <c r="D23" s="47">
        <f t="shared" si="6"/>
        <v>39</v>
      </c>
      <c r="E23" s="47">
        <f t="shared" si="1"/>
        <v>1</v>
      </c>
      <c r="F23" s="52">
        <v>0</v>
      </c>
      <c r="G23" s="52"/>
      <c r="H23" s="47">
        <f t="shared" si="2"/>
        <v>0</v>
      </c>
      <c r="I23" s="52">
        <v>38</v>
      </c>
      <c r="J23" s="52">
        <v>39</v>
      </c>
      <c r="K23" s="47">
        <f t="shared" si="7"/>
        <v>1</v>
      </c>
      <c r="L23" s="52">
        <v>0</v>
      </c>
      <c r="M23" s="52"/>
      <c r="N23" s="47">
        <f t="shared" si="8"/>
        <v>0</v>
      </c>
    </row>
    <row r="24" spans="1:14" ht="31.5" customHeight="1" x14ac:dyDescent="0.25">
      <c r="A24" s="8">
        <v>13</v>
      </c>
      <c r="B24" s="88" t="s">
        <v>18</v>
      </c>
      <c r="C24" s="47">
        <f t="shared" si="6"/>
        <v>118.9</v>
      </c>
      <c r="D24" s="47">
        <f t="shared" si="6"/>
        <v>133.5</v>
      </c>
      <c r="E24" s="47">
        <f t="shared" si="1"/>
        <v>14.6</v>
      </c>
      <c r="F24" s="52">
        <v>0</v>
      </c>
      <c r="G24" s="52"/>
      <c r="H24" s="47">
        <f t="shared" si="2"/>
        <v>0</v>
      </c>
      <c r="I24" s="52">
        <v>118.9</v>
      </c>
      <c r="J24" s="52">
        <v>133.5</v>
      </c>
      <c r="K24" s="47">
        <f t="shared" si="7"/>
        <v>14.6</v>
      </c>
      <c r="L24" s="52">
        <v>0</v>
      </c>
      <c r="M24" s="52"/>
      <c r="N24" s="47">
        <f t="shared" si="8"/>
        <v>0</v>
      </c>
    </row>
    <row r="25" spans="1:14" ht="31.5" x14ac:dyDescent="0.25">
      <c r="A25" s="8">
        <v>14</v>
      </c>
      <c r="B25" s="88" t="s">
        <v>19</v>
      </c>
      <c r="C25" s="47">
        <f t="shared" si="6"/>
        <v>353</v>
      </c>
      <c r="D25" s="47">
        <f t="shared" si="6"/>
        <v>352.5</v>
      </c>
      <c r="E25" s="47">
        <f t="shared" si="1"/>
        <v>-0.5</v>
      </c>
      <c r="F25" s="52">
        <v>0</v>
      </c>
      <c r="G25" s="52"/>
      <c r="H25" s="47">
        <f t="shared" si="2"/>
        <v>0</v>
      </c>
      <c r="I25" s="52">
        <v>220</v>
      </c>
      <c r="J25" s="52">
        <v>216.2</v>
      </c>
      <c r="K25" s="47">
        <f t="shared" si="7"/>
        <v>-3.8</v>
      </c>
      <c r="L25" s="52">
        <v>133</v>
      </c>
      <c r="M25" s="52">
        <v>136.30000000000001</v>
      </c>
      <c r="N25" s="47">
        <f t="shared" si="8"/>
        <v>3.3</v>
      </c>
    </row>
    <row r="26" spans="1:14" ht="31.5" x14ac:dyDescent="0.25">
      <c r="A26" s="8">
        <v>15</v>
      </c>
      <c r="B26" s="88" t="s">
        <v>20</v>
      </c>
      <c r="C26" s="47">
        <f t="shared" si="6"/>
        <v>697.5</v>
      </c>
      <c r="D26" s="47">
        <f t="shared" si="6"/>
        <v>869.2</v>
      </c>
      <c r="E26" s="47">
        <f t="shared" si="1"/>
        <v>171.7</v>
      </c>
      <c r="F26" s="52">
        <v>0</v>
      </c>
      <c r="G26" s="52"/>
      <c r="H26" s="47">
        <f t="shared" si="2"/>
        <v>0</v>
      </c>
      <c r="I26" s="52">
        <v>670</v>
      </c>
      <c r="J26" s="52">
        <v>848</v>
      </c>
      <c r="K26" s="47">
        <f t="shared" si="7"/>
        <v>178</v>
      </c>
      <c r="L26" s="52">
        <v>27.5</v>
      </c>
      <c r="M26" s="52">
        <f>16.5+4.7</f>
        <v>21.2</v>
      </c>
      <c r="N26" s="47">
        <f t="shared" si="8"/>
        <v>-6.3</v>
      </c>
    </row>
    <row r="27" spans="1:14" ht="32.25" customHeight="1" x14ac:dyDescent="0.25">
      <c r="A27" s="8">
        <v>16</v>
      </c>
      <c r="B27" s="88" t="s">
        <v>21</v>
      </c>
      <c r="C27" s="47">
        <f t="shared" si="6"/>
        <v>20</v>
      </c>
      <c r="D27" s="47">
        <f t="shared" si="6"/>
        <v>15.3</v>
      </c>
      <c r="E27" s="47">
        <f t="shared" si="1"/>
        <v>-4.7</v>
      </c>
      <c r="F27" s="52">
        <v>0</v>
      </c>
      <c r="G27" s="52"/>
      <c r="H27" s="47">
        <f t="shared" si="2"/>
        <v>0</v>
      </c>
      <c r="I27" s="52">
        <v>20</v>
      </c>
      <c r="J27" s="52">
        <v>15.3</v>
      </c>
      <c r="K27" s="47">
        <f t="shared" si="7"/>
        <v>-4.7</v>
      </c>
      <c r="L27" s="52">
        <v>0</v>
      </c>
      <c r="M27" s="52"/>
      <c r="N27" s="47">
        <f t="shared" si="8"/>
        <v>0</v>
      </c>
    </row>
    <row r="28" spans="1:14" ht="15" customHeight="1" x14ac:dyDescent="0.25">
      <c r="A28" s="8">
        <v>17</v>
      </c>
      <c r="B28" s="88" t="s">
        <v>22</v>
      </c>
      <c r="C28" s="47">
        <f t="shared" si="6"/>
        <v>119.8</v>
      </c>
      <c r="D28" s="47">
        <f t="shared" si="6"/>
        <v>127</v>
      </c>
      <c r="E28" s="47">
        <f t="shared" si="1"/>
        <v>7.2</v>
      </c>
      <c r="F28" s="52">
        <v>0</v>
      </c>
      <c r="G28" s="52"/>
      <c r="H28" s="47">
        <f t="shared" si="2"/>
        <v>0</v>
      </c>
      <c r="I28" s="52">
        <v>114.3</v>
      </c>
      <c r="J28" s="52">
        <v>119.1</v>
      </c>
      <c r="K28" s="47">
        <f t="shared" si="7"/>
        <v>4.8</v>
      </c>
      <c r="L28" s="52">
        <v>5.5</v>
      </c>
      <c r="M28" s="52">
        <v>7.9</v>
      </c>
      <c r="N28" s="47">
        <f t="shared" si="8"/>
        <v>2.4</v>
      </c>
    </row>
    <row r="29" spans="1:14" ht="15" customHeight="1" x14ac:dyDescent="0.25">
      <c r="A29" s="8">
        <v>18</v>
      </c>
      <c r="B29" s="11" t="s">
        <v>23</v>
      </c>
      <c r="C29" s="47">
        <f t="shared" si="6"/>
        <v>431</v>
      </c>
      <c r="D29" s="47">
        <f t="shared" si="6"/>
        <v>488.3</v>
      </c>
      <c r="E29" s="47">
        <f t="shared" si="1"/>
        <v>57.3</v>
      </c>
      <c r="F29" s="52">
        <v>0</v>
      </c>
      <c r="G29" s="52"/>
      <c r="H29" s="47">
        <f t="shared" si="2"/>
        <v>0</v>
      </c>
      <c r="I29" s="52">
        <v>423</v>
      </c>
      <c r="J29" s="52">
        <v>481.4</v>
      </c>
      <c r="K29" s="47">
        <f t="shared" si="7"/>
        <v>58.4</v>
      </c>
      <c r="L29" s="52">
        <v>8</v>
      </c>
      <c r="M29" s="52">
        <v>6.9</v>
      </c>
      <c r="N29" s="47">
        <f t="shared" si="8"/>
        <v>-1.1000000000000001</v>
      </c>
    </row>
    <row r="30" spans="1:14" ht="15" customHeight="1" x14ac:dyDescent="0.25">
      <c r="A30" s="8">
        <v>19</v>
      </c>
      <c r="B30" s="11" t="s">
        <v>24</v>
      </c>
      <c r="C30" s="47">
        <f t="shared" si="6"/>
        <v>5</v>
      </c>
      <c r="D30" s="47">
        <f t="shared" si="6"/>
        <v>1.9</v>
      </c>
      <c r="E30" s="47">
        <f t="shared" si="1"/>
        <v>-3.1</v>
      </c>
      <c r="F30" s="52">
        <v>0</v>
      </c>
      <c r="G30" s="52"/>
      <c r="H30" s="47">
        <f t="shared" si="2"/>
        <v>0</v>
      </c>
      <c r="I30" s="52">
        <v>0</v>
      </c>
      <c r="J30" s="52"/>
      <c r="K30" s="47">
        <f t="shared" si="7"/>
        <v>0</v>
      </c>
      <c r="L30" s="52">
        <v>5</v>
      </c>
      <c r="M30" s="52">
        <v>1.9</v>
      </c>
      <c r="N30" s="47">
        <f t="shared" si="8"/>
        <v>-3.1</v>
      </c>
    </row>
    <row r="31" spans="1:14" ht="15" customHeight="1" x14ac:dyDescent="0.25">
      <c r="A31" s="8">
        <v>20</v>
      </c>
      <c r="B31" s="11" t="s">
        <v>25</v>
      </c>
      <c r="C31" s="47">
        <f t="shared" si="6"/>
        <v>99.6</v>
      </c>
      <c r="D31" s="47">
        <f t="shared" si="6"/>
        <v>102.8</v>
      </c>
      <c r="E31" s="47">
        <f t="shared" si="1"/>
        <v>3.2</v>
      </c>
      <c r="F31" s="52">
        <v>0</v>
      </c>
      <c r="G31" s="52"/>
      <c r="H31" s="47">
        <f t="shared" si="2"/>
        <v>0</v>
      </c>
      <c r="I31" s="52">
        <v>95</v>
      </c>
      <c r="J31" s="52">
        <v>98.1</v>
      </c>
      <c r="K31" s="47">
        <f t="shared" si="7"/>
        <v>3.1</v>
      </c>
      <c r="L31" s="52">
        <v>4.5999999999999996</v>
      </c>
      <c r="M31" s="52">
        <v>4.7</v>
      </c>
      <c r="N31" s="47">
        <f t="shared" si="8"/>
        <v>0.1</v>
      </c>
    </row>
    <row r="32" spans="1:14" ht="15" customHeight="1" x14ac:dyDescent="0.25">
      <c r="A32" s="8">
        <v>21</v>
      </c>
      <c r="B32" s="11" t="s">
        <v>115</v>
      </c>
      <c r="C32" s="47">
        <f t="shared" si="6"/>
        <v>1.6</v>
      </c>
      <c r="D32" s="47">
        <f t="shared" si="6"/>
        <v>1.2</v>
      </c>
      <c r="E32" s="47">
        <f t="shared" si="1"/>
        <v>-0.4</v>
      </c>
      <c r="F32" s="52">
        <v>0</v>
      </c>
      <c r="G32" s="52"/>
      <c r="H32" s="47">
        <f t="shared" si="2"/>
        <v>0</v>
      </c>
      <c r="I32" s="52">
        <v>0</v>
      </c>
      <c r="J32" s="52"/>
      <c r="K32" s="47">
        <f t="shared" si="7"/>
        <v>0</v>
      </c>
      <c r="L32" s="52">
        <v>1.6</v>
      </c>
      <c r="M32" s="52">
        <v>1.2</v>
      </c>
      <c r="N32" s="47">
        <f t="shared" si="8"/>
        <v>-0.4</v>
      </c>
    </row>
    <row r="33" spans="1:14" ht="15" customHeight="1" x14ac:dyDescent="0.25">
      <c r="A33" s="8">
        <v>22</v>
      </c>
      <c r="B33" s="11" t="s">
        <v>116</v>
      </c>
      <c r="C33" s="47">
        <f>F33+I33+L33</f>
        <v>5.7</v>
      </c>
      <c r="D33" s="47">
        <f>G33+J33+M33</f>
        <v>3.7</v>
      </c>
      <c r="E33" s="47">
        <f>D33-C33</f>
        <v>-2</v>
      </c>
      <c r="F33" s="52">
        <v>3.7</v>
      </c>
      <c r="G33" s="52">
        <v>3.7</v>
      </c>
      <c r="H33" s="47">
        <f t="shared" si="2"/>
        <v>0</v>
      </c>
      <c r="I33" s="52">
        <v>0</v>
      </c>
      <c r="J33" s="52"/>
      <c r="K33" s="47">
        <f t="shared" si="7"/>
        <v>0</v>
      </c>
      <c r="L33" s="52">
        <v>2</v>
      </c>
      <c r="M33" s="52"/>
      <c r="N33" s="47">
        <f t="shared" si="8"/>
        <v>-2</v>
      </c>
    </row>
    <row r="34" spans="1:14" x14ac:dyDescent="0.25">
      <c r="A34" s="8">
        <v>23</v>
      </c>
      <c r="B34" s="11" t="s">
        <v>26</v>
      </c>
      <c r="C34" s="47">
        <f t="shared" si="6"/>
        <v>3</v>
      </c>
      <c r="D34" s="47">
        <f t="shared" si="6"/>
        <v>3.1</v>
      </c>
      <c r="E34" s="47">
        <f t="shared" si="1"/>
        <v>0.1</v>
      </c>
      <c r="F34" s="52">
        <v>0</v>
      </c>
      <c r="G34" s="52"/>
      <c r="H34" s="47">
        <f t="shared" si="2"/>
        <v>0</v>
      </c>
      <c r="I34" s="52">
        <v>0</v>
      </c>
      <c r="J34" s="52"/>
      <c r="K34" s="47">
        <f t="shared" si="7"/>
        <v>0</v>
      </c>
      <c r="L34" s="52">
        <v>3</v>
      </c>
      <c r="M34" s="52">
        <v>3.1</v>
      </c>
      <c r="N34" s="47">
        <f t="shared" si="8"/>
        <v>0.1</v>
      </c>
    </row>
    <row r="35" spans="1:14" ht="15" customHeight="1" x14ac:dyDescent="0.25">
      <c r="A35" s="8">
        <v>24</v>
      </c>
      <c r="B35" s="11" t="s">
        <v>27</v>
      </c>
      <c r="C35" s="47">
        <f t="shared" si="6"/>
        <v>445.9</v>
      </c>
      <c r="D35" s="47">
        <f t="shared" si="6"/>
        <v>478.8</v>
      </c>
      <c r="E35" s="47">
        <f t="shared" si="1"/>
        <v>32.9</v>
      </c>
      <c r="F35" s="52">
        <v>90.1</v>
      </c>
      <c r="G35" s="52">
        <v>90.7</v>
      </c>
      <c r="H35" s="47">
        <f t="shared" si="2"/>
        <v>0.6</v>
      </c>
      <c r="I35" s="52">
        <v>347.3</v>
      </c>
      <c r="J35" s="52">
        <v>385.9</v>
      </c>
      <c r="K35" s="47">
        <f t="shared" si="7"/>
        <v>38.6</v>
      </c>
      <c r="L35" s="52">
        <v>8.5</v>
      </c>
      <c r="M35" s="52">
        <v>2.2000000000000002</v>
      </c>
      <c r="N35" s="47">
        <f t="shared" si="8"/>
        <v>-6.3</v>
      </c>
    </row>
    <row r="36" spans="1:14" ht="16.5" customHeight="1" x14ac:dyDescent="0.25">
      <c r="A36" s="8">
        <v>25</v>
      </c>
      <c r="B36" s="11" t="s">
        <v>28</v>
      </c>
      <c r="C36" s="47">
        <f t="shared" si="6"/>
        <v>55.8</v>
      </c>
      <c r="D36" s="47">
        <f t="shared" si="6"/>
        <v>55.8</v>
      </c>
      <c r="E36" s="47">
        <f t="shared" si="1"/>
        <v>0</v>
      </c>
      <c r="F36" s="52">
        <v>0</v>
      </c>
      <c r="G36" s="52"/>
      <c r="H36" s="47">
        <f t="shared" si="2"/>
        <v>0</v>
      </c>
      <c r="I36" s="52">
        <v>55.8</v>
      </c>
      <c r="J36" s="52">
        <v>55.8</v>
      </c>
      <c r="K36" s="47">
        <f t="shared" si="7"/>
        <v>0</v>
      </c>
      <c r="L36" s="52">
        <v>0</v>
      </c>
      <c r="M36" s="52"/>
      <c r="N36" s="47">
        <f t="shared" si="8"/>
        <v>0</v>
      </c>
    </row>
    <row r="37" spans="1:14" ht="15" customHeight="1" x14ac:dyDescent="0.25">
      <c r="A37" s="8">
        <v>26</v>
      </c>
      <c r="B37" s="11" t="s">
        <v>117</v>
      </c>
      <c r="C37" s="47">
        <f t="shared" si="6"/>
        <v>605.4</v>
      </c>
      <c r="D37" s="47">
        <f t="shared" si="6"/>
        <v>562.79999999999995</v>
      </c>
      <c r="E37" s="47">
        <f t="shared" si="1"/>
        <v>-42.6</v>
      </c>
      <c r="F37" s="52">
        <v>353</v>
      </c>
      <c r="G37" s="52">
        <v>327.2</v>
      </c>
      <c r="H37" s="47">
        <f t="shared" si="2"/>
        <v>-25.8</v>
      </c>
      <c r="I37" s="52">
        <v>246</v>
      </c>
      <c r="J37" s="52">
        <v>228.9</v>
      </c>
      <c r="K37" s="47">
        <f t="shared" si="7"/>
        <v>-17.100000000000001</v>
      </c>
      <c r="L37" s="52">
        <v>6.4</v>
      </c>
      <c r="M37" s="52">
        <v>6.7</v>
      </c>
      <c r="N37" s="47">
        <f t="shared" si="8"/>
        <v>0.3</v>
      </c>
    </row>
    <row r="38" spans="1:14" ht="17.25" customHeight="1" x14ac:dyDescent="0.25">
      <c r="A38" s="8">
        <v>27</v>
      </c>
      <c r="B38" s="11" t="s">
        <v>29</v>
      </c>
      <c r="C38" s="47">
        <f t="shared" si="6"/>
        <v>160.80000000000001</v>
      </c>
      <c r="D38" s="47">
        <f t="shared" si="6"/>
        <v>184.9</v>
      </c>
      <c r="E38" s="47">
        <f t="shared" si="1"/>
        <v>24.1</v>
      </c>
      <c r="F38" s="52">
        <v>0</v>
      </c>
      <c r="G38" s="52"/>
      <c r="H38" s="47">
        <f t="shared" si="2"/>
        <v>0</v>
      </c>
      <c r="I38" s="52">
        <v>151</v>
      </c>
      <c r="J38" s="52">
        <v>172.8</v>
      </c>
      <c r="K38" s="47">
        <f t="shared" si="7"/>
        <v>21.8</v>
      </c>
      <c r="L38" s="52">
        <v>9.8000000000000007</v>
      </c>
      <c r="M38" s="52">
        <v>12.1</v>
      </c>
      <c r="N38" s="47">
        <f t="shared" si="8"/>
        <v>2.2999999999999998</v>
      </c>
    </row>
    <row r="39" spans="1:14" ht="17.25" customHeight="1" x14ac:dyDescent="0.25">
      <c r="A39" s="8">
        <v>28</v>
      </c>
      <c r="B39" s="11" t="s">
        <v>30</v>
      </c>
      <c r="C39" s="47">
        <f t="shared" si="6"/>
        <v>32.200000000000003</v>
      </c>
      <c r="D39" s="47">
        <f t="shared" si="6"/>
        <v>31.3</v>
      </c>
      <c r="E39" s="47">
        <f t="shared" si="1"/>
        <v>-0.9</v>
      </c>
      <c r="F39" s="52">
        <v>23.9</v>
      </c>
      <c r="G39" s="52">
        <v>25.2</v>
      </c>
      <c r="H39" s="47">
        <f t="shared" si="2"/>
        <v>1.3</v>
      </c>
      <c r="I39" s="52">
        <v>0</v>
      </c>
      <c r="J39" s="52"/>
      <c r="K39" s="47">
        <f t="shared" si="7"/>
        <v>0</v>
      </c>
      <c r="L39" s="52">
        <v>8.3000000000000007</v>
      </c>
      <c r="M39" s="52">
        <v>6.1</v>
      </c>
      <c r="N39" s="47">
        <f t="shared" si="8"/>
        <v>-2.2000000000000002</v>
      </c>
    </row>
    <row r="40" spans="1:14" ht="33" customHeight="1" x14ac:dyDescent="0.25">
      <c r="A40" s="8">
        <v>29</v>
      </c>
      <c r="B40" s="11" t="s">
        <v>31</v>
      </c>
      <c r="C40" s="47">
        <f t="shared" si="6"/>
        <v>279.5</v>
      </c>
      <c r="D40" s="47">
        <f t="shared" si="6"/>
        <v>287.3</v>
      </c>
      <c r="E40" s="47">
        <f t="shared" si="1"/>
        <v>7.8</v>
      </c>
      <c r="F40" s="52">
        <v>13</v>
      </c>
      <c r="G40" s="52">
        <v>14.3</v>
      </c>
      <c r="H40" s="47">
        <f t="shared" si="2"/>
        <v>1.3</v>
      </c>
      <c r="I40" s="52">
        <v>250.5</v>
      </c>
      <c r="J40" s="52">
        <v>263.7</v>
      </c>
      <c r="K40" s="47">
        <f t="shared" si="7"/>
        <v>13.2</v>
      </c>
      <c r="L40" s="52">
        <v>16</v>
      </c>
      <c r="M40" s="52">
        <v>9.3000000000000007</v>
      </c>
      <c r="N40" s="47">
        <f t="shared" si="8"/>
        <v>-6.7</v>
      </c>
    </row>
    <row r="41" spans="1:14" ht="17.25" customHeight="1" x14ac:dyDescent="0.25">
      <c r="A41" s="8">
        <v>30</v>
      </c>
      <c r="B41" s="11" t="s">
        <v>32</v>
      </c>
      <c r="C41" s="47">
        <f t="shared" si="6"/>
        <v>22.2</v>
      </c>
      <c r="D41" s="47">
        <f t="shared" si="6"/>
        <v>15.5</v>
      </c>
      <c r="E41" s="47">
        <f t="shared" si="1"/>
        <v>-6.7</v>
      </c>
      <c r="F41" s="52">
        <v>15.9</v>
      </c>
      <c r="G41" s="52">
        <v>9.6</v>
      </c>
      <c r="H41" s="47">
        <f t="shared" si="2"/>
        <v>-6.3</v>
      </c>
      <c r="I41" s="52">
        <v>0</v>
      </c>
      <c r="J41" s="52"/>
      <c r="K41" s="47">
        <f t="shared" si="7"/>
        <v>0</v>
      </c>
      <c r="L41" s="52">
        <v>6.3</v>
      </c>
      <c r="M41" s="52">
        <v>5.9</v>
      </c>
      <c r="N41" s="47">
        <f t="shared" si="8"/>
        <v>-0.4</v>
      </c>
    </row>
    <row r="42" spans="1:14" ht="15" customHeight="1" x14ac:dyDescent="0.25">
      <c r="A42" s="8">
        <v>31</v>
      </c>
      <c r="B42" s="11" t="s">
        <v>118</v>
      </c>
      <c r="C42" s="47">
        <f t="shared" si="6"/>
        <v>33.5</v>
      </c>
      <c r="D42" s="47">
        <f t="shared" si="6"/>
        <v>32.6</v>
      </c>
      <c r="E42" s="47">
        <f t="shared" si="1"/>
        <v>-0.9</v>
      </c>
      <c r="F42" s="52">
        <v>33.5</v>
      </c>
      <c r="G42" s="52">
        <v>32.6</v>
      </c>
      <c r="H42" s="47">
        <f t="shared" si="2"/>
        <v>-0.9</v>
      </c>
      <c r="I42" s="52">
        <v>0</v>
      </c>
      <c r="J42" s="52"/>
      <c r="K42" s="47">
        <f t="shared" si="7"/>
        <v>0</v>
      </c>
      <c r="L42" s="52">
        <v>0</v>
      </c>
      <c r="M42" s="52"/>
      <c r="N42" s="47">
        <f t="shared" si="8"/>
        <v>0</v>
      </c>
    </row>
    <row r="43" spans="1:14" ht="15" customHeight="1" x14ac:dyDescent="0.25">
      <c r="A43" s="8">
        <v>32</v>
      </c>
      <c r="B43" s="11" t="s">
        <v>33</v>
      </c>
      <c r="C43" s="47">
        <f t="shared" si="6"/>
        <v>24.8</v>
      </c>
      <c r="D43" s="47">
        <f t="shared" si="6"/>
        <v>10.3</v>
      </c>
      <c r="E43" s="47">
        <f t="shared" si="1"/>
        <v>-14.5</v>
      </c>
      <c r="F43" s="52">
        <v>16.399999999999999</v>
      </c>
      <c r="G43" s="52">
        <v>2.4</v>
      </c>
      <c r="H43" s="47">
        <f t="shared" si="2"/>
        <v>-14</v>
      </c>
      <c r="I43" s="52">
        <v>0</v>
      </c>
      <c r="J43" s="52"/>
      <c r="K43" s="47">
        <f t="shared" si="7"/>
        <v>0</v>
      </c>
      <c r="L43" s="52">
        <v>8.4</v>
      </c>
      <c r="M43" s="52">
        <v>7.9</v>
      </c>
      <c r="N43" s="47">
        <f t="shared" si="8"/>
        <v>-0.5</v>
      </c>
    </row>
    <row r="44" spans="1:14" ht="15" customHeight="1" x14ac:dyDescent="0.25">
      <c r="A44" s="8">
        <v>33</v>
      </c>
      <c r="B44" s="11" t="s">
        <v>34</v>
      </c>
      <c r="C44" s="47">
        <f t="shared" si="6"/>
        <v>210</v>
      </c>
      <c r="D44" s="47">
        <f t="shared" si="6"/>
        <v>209.8</v>
      </c>
      <c r="E44" s="47">
        <f t="shared" si="1"/>
        <v>-0.2</v>
      </c>
      <c r="F44" s="52">
        <v>0</v>
      </c>
      <c r="G44" s="52"/>
      <c r="H44" s="47">
        <f t="shared" si="2"/>
        <v>0</v>
      </c>
      <c r="I44" s="52">
        <v>210</v>
      </c>
      <c r="J44" s="52">
        <v>209.8</v>
      </c>
      <c r="K44" s="47">
        <f t="shared" si="7"/>
        <v>-0.2</v>
      </c>
      <c r="L44" s="52">
        <v>0</v>
      </c>
      <c r="M44" s="52"/>
      <c r="N44" s="47">
        <f t="shared" si="8"/>
        <v>0</v>
      </c>
    </row>
    <row r="45" spans="1:14" ht="15" customHeight="1" x14ac:dyDescent="0.25">
      <c r="A45" s="8">
        <v>34</v>
      </c>
      <c r="B45" s="11" t="s">
        <v>35</v>
      </c>
      <c r="C45" s="47">
        <f t="shared" si="6"/>
        <v>23</v>
      </c>
      <c r="D45" s="47">
        <f t="shared" si="6"/>
        <v>22.5</v>
      </c>
      <c r="E45" s="47">
        <f t="shared" si="1"/>
        <v>-0.5</v>
      </c>
      <c r="F45" s="52">
        <v>15</v>
      </c>
      <c r="G45" s="52">
        <v>14.7</v>
      </c>
      <c r="H45" s="47">
        <f t="shared" si="2"/>
        <v>-0.3</v>
      </c>
      <c r="I45" s="52">
        <v>0</v>
      </c>
      <c r="J45" s="52"/>
      <c r="K45" s="47">
        <f t="shared" si="7"/>
        <v>0</v>
      </c>
      <c r="L45" s="52">
        <v>8</v>
      </c>
      <c r="M45" s="52">
        <v>7.8</v>
      </c>
      <c r="N45" s="47">
        <f t="shared" si="8"/>
        <v>-0.2</v>
      </c>
    </row>
    <row r="46" spans="1:14" ht="18.75" customHeight="1" x14ac:dyDescent="0.25">
      <c r="A46" s="8">
        <v>35</v>
      </c>
      <c r="B46" s="11" t="s">
        <v>36</v>
      </c>
      <c r="C46" s="47">
        <f t="shared" si="6"/>
        <v>122</v>
      </c>
      <c r="D46" s="47">
        <f t="shared" si="6"/>
        <v>117.4</v>
      </c>
      <c r="E46" s="47">
        <f t="shared" si="1"/>
        <v>-4.5999999999999996</v>
      </c>
      <c r="F46" s="52">
        <v>0</v>
      </c>
      <c r="G46" s="52"/>
      <c r="H46" s="47">
        <f t="shared" si="2"/>
        <v>0</v>
      </c>
      <c r="I46" s="52">
        <v>121</v>
      </c>
      <c r="J46" s="52">
        <v>117.3</v>
      </c>
      <c r="K46" s="47">
        <f t="shared" si="7"/>
        <v>-3.7</v>
      </c>
      <c r="L46" s="52">
        <v>1</v>
      </c>
      <c r="M46" s="52">
        <v>0.1</v>
      </c>
      <c r="N46" s="47">
        <f t="shared" si="8"/>
        <v>-0.9</v>
      </c>
    </row>
    <row r="47" spans="1:14" ht="15" customHeight="1" x14ac:dyDescent="0.25">
      <c r="A47" s="8">
        <v>36</v>
      </c>
      <c r="B47" s="11" t="s">
        <v>37</v>
      </c>
      <c r="C47" s="47">
        <f t="shared" si="6"/>
        <v>65.5</v>
      </c>
      <c r="D47" s="47">
        <f t="shared" si="6"/>
        <v>56</v>
      </c>
      <c r="E47" s="47">
        <f t="shared" si="1"/>
        <v>-9.5</v>
      </c>
      <c r="F47" s="52">
        <v>0</v>
      </c>
      <c r="G47" s="52"/>
      <c r="H47" s="47">
        <f t="shared" si="2"/>
        <v>0</v>
      </c>
      <c r="I47" s="52">
        <v>58.7</v>
      </c>
      <c r="J47" s="52">
        <v>51.2</v>
      </c>
      <c r="K47" s="47">
        <f t="shared" si="7"/>
        <v>-7.5</v>
      </c>
      <c r="L47" s="52">
        <v>6.8</v>
      </c>
      <c r="M47" s="52">
        <v>4.8</v>
      </c>
      <c r="N47" s="47">
        <f t="shared" si="8"/>
        <v>-2</v>
      </c>
    </row>
    <row r="48" spans="1:14" ht="33" customHeight="1" x14ac:dyDescent="0.25">
      <c r="A48" s="8">
        <v>37</v>
      </c>
      <c r="B48" s="11" t="s">
        <v>38</v>
      </c>
      <c r="C48" s="47">
        <f t="shared" si="6"/>
        <v>16.899999999999999</v>
      </c>
      <c r="D48" s="47">
        <f t="shared" si="6"/>
        <v>16.899999999999999</v>
      </c>
      <c r="E48" s="47">
        <f t="shared" si="1"/>
        <v>0</v>
      </c>
      <c r="F48" s="52">
        <v>0</v>
      </c>
      <c r="G48" s="52"/>
      <c r="H48" s="47">
        <f t="shared" si="2"/>
        <v>0</v>
      </c>
      <c r="I48" s="52">
        <v>16.7</v>
      </c>
      <c r="J48" s="52">
        <v>16.7</v>
      </c>
      <c r="K48" s="47">
        <f t="shared" si="7"/>
        <v>0</v>
      </c>
      <c r="L48" s="52">
        <v>0.2</v>
      </c>
      <c r="M48" s="52">
        <v>0.2</v>
      </c>
      <c r="N48" s="47">
        <f t="shared" si="8"/>
        <v>0</v>
      </c>
    </row>
    <row r="49" spans="1:14" ht="18" customHeight="1" x14ac:dyDescent="0.25">
      <c r="A49" s="8">
        <v>38</v>
      </c>
      <c r="B49" s="11" t="s">
        <v>39</v>
      </c>
      <c r="C49" s="47">
        <f t="shared" si="6"/>
        <v>69.3</v>
      </c>
      <c r="D49" s="47">
        <f t="shared" si="6"/>
        <v>90.2</v>
      </c>
      <c r="E49" s="47">
        <f t="shared" si="1"/>
        <v>20.9</v>
      </c>
      <c r="F49" s="52">
        <v>68.3</v>
      </c>
      <c r="G49" s="52">
        <v>89.5</v>
      </c>
      <c r="H49" s="47">
        <f t="shared" si="2"/>
        <v>21.2</v>
      </c>
      <c r="I49" s="52">
        <v>0</v>
      </c>
      <c r="J49" s="52"/>
      <c r="K49" s="47">
        <f t="shared" si="7"/>
        <v>0</v>
      </c>
      <c r="L49" s="52">
        <v>1</v>
      </c>
      <c r="M49" s="52">
        <v>0.7</v>
      </c>
      <c r="N49" s="47">
        <f t="shared" si="8"/>
        <v>-0.3</v>
      </c>
    </row>
    <row r="50" spans="1:14" ht="15" customHeight="1" x14ac:dyDescent="0.25">
      <c r="A50" s="8">
        <v>39</v>
      </c>
      <c r="B50" s="11" t="s">
        <v>40</v>
      </c>
      <c r="C50" s="47">
        <f t="shared" si="6"/>
        <v>4.5</v>
      </c>
      <c r="D50" s="47">
        <f t="shared" si="6"/>
        <v>2.2999999999999998</v>
      </c>
      <c r="E50" s="47">
        <f t="shared" si="1"/>
        <v>-2.2000000000000002</v>
      </c>
      <c r="F50" s="52">
        <v>0</v>
      </c>
      <c r="G50" s="52"/>
      <c r="H50" s="47">
        <f t="shared" si="2"/>
        <v>0</v>
      </c>
      <c r="I50" s="52">
        <v>0</v>
      </c>
      <c r="J50" s="52"/>
      <c r="K50" s="47">
        <f t="shared" si="7"/>
        <v>0</v>
      </c>
      <c r="L50" s="52">
        <v>4.5</v>
      </c>
      <c r="M50" s="52">
        <v>2.2999999999999998</v>
      </c>
      <c r="N50" s="47">
        <f t="shared" si="8"/>
        <v>-2.2000000000000002</v>
      </c>
    </row>
    <row r="51" spans="1:14" ht="14.25" customHeight="1" x14ac:dyDescent="0.25">
      <c r="A51" s="8">
        <v>40</v>
      </c>
      <c r="B51" s="11" t="s">
        <v>41</v>
      </c>
      <c r="C51" s="47">
        <f t="shared" si="6"/>
        <v>300</v>
      </c>
      <c r="D51" s="47">
        <f t="shared" si="6"/>
        <v>312.39999999999998</v>
      </c>
      <c r="E51" s="47">
        <f t="shared" si="1"/>
        <v>12.4</v>
      </c>
      <c r="F51" s="52">
        <v>0</v>
      </c>
      <c r="G51" s="52"/>
      <c r="H51" s="47">
        <f t="shared" si="2"/>
        <v>0</v>
      </c>
      <c r="I51" s="52">
        <v>300</v>
      </c>
      <c r="J51" s="52">
        <v>312.39999999999998</v>
      </c>
      <c r="K51" s="47">
        <f t="shared" si="7"/>
        <v>12.4</v>
      </c>
      <c r="L51" s="52">
        <v>0</v>
      </c>
      <c r="M51" s="52"/>
      <c r="N51" s="47">
        <f t="shared" si="8"/>
        <v>0</v>
      </c>
    </row>
    <row r="52" spans="1:14" x14ac:dyDescent="0.25">
      <c r="A52" s="8">
        <v>41</v>
      </c>
      <c r="B52" s="11" t="s">
        <v>300</v>
      </c>
      <c r="C52" s="47">
        <f t="shared" si="6"/>
        <v>170.6</v>
      </c>
      <c r="D52" s="47">
        <f t="shared" si="6"/>
        <v>201.8</v>
      </c>
      <c r="E52" s="47">
        <f t="shared" si="1"/>
        <v>31.2</v>
      </c>
      <c r="F52" s="52">
        <v>0</v>
      </c>
      <c r="G52" s="52"/>
      <c r="H52" s="47">
        <f t="shared" si="2"/>
        <v>0</v>
      </c>
      <c r="I52" s="52">
        <v>164</v>
      </c>
      <c r="J52" s="52">
        <v>195.7</v>
      </c>
      <c r="K52" s="47">
        <f t="shared" si="7"/>
        <v>31.7</v>
      </c>
      <c r="L52" s="52">
        <v>6.6</v>
      </c>
      <c r="M52" s="52">
        <v>6.1</v>
      </c>
      <c r="N52" s="47">
        <f t="shared" si="8"/>
        <v>-0.5</v>
      </c>
    </row>
    <row r="53" spans="1:14" x14ac:dyDescent="0.25">
      <c r="A53" s="8">
        <v>42</v>
      </c>
      <c r="B53" s="11" t="s">
        <v>42</v>
      </c>
      <c r="C53" s="47">
        <f t="shared" si="6"/>
        <v>155.69999999999999</v>
      </c>
      <c r="D53" s="47">
        <f t="shared" si="6"/>
        <v>162</v>
      </c>
      <c r="E53" s="47">
        <f t="shared" si="1"/>
        <v>6.3</v>
      </c>
      <c r="F53" s="52">
        <v>80.7</v>
      </c>
      <c r="G53" s="52">
        <v>88.1</v>
      </c>
      <c r="H53" s="47">
        <f t="shared" si="2"/>
        <v>7.4</v>
      </c>
      <c r="I53" s="52">
        <v>75</v>
      </c>
      <c r="J53" s="52">
        <v>73.900000000000006</v>
      </c>
      <c r="K53" s="47">
        <f t="shared" si="7"/>
        <v>-1.1000000000000001</v>
      </c>
      <c r="L53" s="52">
        <v>0</v>
      </c>
      <c r="M53" s="52"/>
      <c r="N53" s="47">
        <f t="shared" si="8"/>
        <v>0</v>
      </c>
    </row>
    <row r="54" spans="1:14" ht="15.75" customHeight="1" x14ac:dyDescent="0.25">
      <c r="A54" s="8">
        <v>43</v>
      </c>
      <c r="B54" s="11" t="s">
        <v>43</v>
      </c>
      <c r="C54" s="47">
        <f t="shared" si="6"/>
        <v>125.7</v>
      </c>
      <c r="D54" s="47">
        <f t="shared" si="6"/>
        <v>130.30000000000001</v>
      </c>
      <c r="E54" s="47">
        <f t="shared" si="1"/>
        <v>4.5999999999999996</v>
      </c>
      <c r="F54" s="52">
        <v>18.399999999999999</v>
      </c>
      <c r="G54" s="52">
        <v>23.4</v>
      </c>
      <c r="H54" s="47">
        <f t="shared" si="2"/>
        <v>5</v>
      </c>
      <c r="I54" s="52">
        <v>102.7</v>
      </c>
      <c r="J54" s="52">
        <v>102.7</v>
      </c>
      <c r="K54" s="47">
        <f t="shared" si="7"/>
        <v>0</v>
      </c>
      <c r="L54" s="52">
        <v>4.5999999999999996</v>
      </c>
      <c r="M54" s="52">
        <v>4.2</v>
      </c>
      <c r="N54" s="47">
        <f t="shared" si="8"/>
        <v>-0.4</v>
      </c>
    </row>
    <row r="55" spans="1:14" ht="30.75" customHeight="1" x14ac:dyDescent="0.25">
      <c r="A55" s="8">
        <v>44</v>
      </c>
      <c r="B55" s="11" t="s">
        <v>44</v>
      </c>
      <c r="C55" s="47">
        <f t="shared" si="6"/>
        <v>6.2</v>
      </c>
      <c r="D55" s="47">
        <f t="shared" si="6"/>
        <v>7.9</v>
      </c>
      <c r="E55" s="47">
        <f t="shared" si="1"/>
        <v>1.7</v>
      </c>
      <c r="F55" s="52">
        <v>0</v>
      </c>
      <c r="G55" s="52"/>
      <c r="H55" s="47">
        <f t="shared" si="2"/>
        <v>0</v>
      </c>
      <c r="I55" s="52">
        <v>0</v>
      </c>
      <c r="J55" s="52"/>
      <c r="K55" s="47">
        <f t="shared" si="7"/>
        <v>0</v>
      </c>
      <c r="L55" s="52">
        <v>6.2</v>
      </c>
      <c r="M55" s="52">
        <v>7.9</v>
      </c>
      <c r="N55" s="47">
        <f t="shared" si="8"/>
        <v>1.7</v>
      </c>
    </row>
    <row r="56" spans="1:14" ht="18" customHeight="1" x14ac:dyDescent="0.25">
      <c r="A56" s="8">
        <v>45</v>
      </c>
      <c r="B56" s="11" t="s">
        <v>45</v>
      </c>
      <c r="C56" s="47">
        <f t="shared" si="6"/>
        <v>0.7</v>
      </c>
      <c r="D56" s="47">
        <f t="shared" si="6"/>
        <v>0.7</v>
      </c>
      <c r="E56" s="47">
        <f t="shared" si="1"/>
        <v>0</v>
      </c>
      <c r="F56" s="52">
        <v>0</v>
      </c>
      <c r="G56" s="52"/>
      <c r="H56" s="47">
        <f t="shared" si="2"/>
        <v>0</v>
      </c>
      <c r="I56" s="52">
        <v>0</v>
      </c>
      <c r="J56" s="52"/>
      <c r="K56" s="47">
        <f t="shared" si="7"/>
        <v>0</v>
      </c>
      <c r="L56" s="52">
        <v>0.7</v>
      </c>
      <c r="M56" s="52">
        <v>0.7</v>
      </c>
      <c r="N56" s="47">
        <f t="shared" si="8"/>
        <v>0</v>
      </c>
    </row>
    <row r="57" spans="1:14" ht="15" customHeight="1" x14ac:dyDescent="0.25">
      <c r="A57" s="8">
        <v>46</v>
      </c>
      <c r="B57" s="11" t="s">
        <v>119</v>
      </c>
      <c r="C57" s="47">
        <f t="shared" si="6"/>
        <v>4.5</v>
      </c>
      <c r="D57" s="47">
        <f t="shared" si="6"/>
        <v>0</v>
      </c>
      <c r="E57" s="47">
        <f t="shared" si="1"/>
        <v>-4.5</v>
      </c>
      <c r="F57" s="52">
        <v>4.5</v>
      </c>
      <c r="G57" s="52"/>
      <c r="H57" s="47">
        <f t="shared" si="2"/>
        <v>-4.5</v>
      </c>
      <c r="I57" s="52">
        <v>0</v>
      </c>
      <c r="J57" s="52"/>
      <c r="K57" s="47">
        <f t="shared" si="7"/>
        <v>0</v>
      </c>
      <c r="L57" s="52">
        <v>0</v>
      </c>
      <c r="M57" s="52"/>
      <c r="N57" s="47">
        <f t="shared" si="8"/>
        <v>0</v>
      </c>
    </row>
    <row r="58" spans="1:14" ht="31.5" customHeight="1" x14ac:dyDescent="0.25">
      <c r="A58" s="8">
        <v>47</v>
      </c>
      <c r="B58" s="11" t="s">
        <v>120</v>
      </c>
      <c r="C58" s="47">
        <f t="shared" si="6"/>
        <v>7.2</v>
      </c>
      <c r="D58" s="47">
        <f t="shared" si="6"/>
        <v>7.2</v>
      </c>
      <c r="E58" s="47">
        <f t="shared" si="1"/>
        <v>0</v>
      </c>
      <c r="F58" s="52">
        <v>0</v>
      </c>
      <c r="G58" s="52"/>
      <c r="H58" s="47">
        <f t="shared" si="2"/>
        <v>0</v>
      </c>
      <c r="I58" s="52">
        <v>0</v>
      </c>
      <c r="J58" s="52"/>
      <c r="K58" s="47">
        <f t="shared" si="7"/>
        <v>0</v>
      </c>
      <c r="L58" s="52">
        <v>7.2</v>
      </c>
      <c r="M58" s="52">
        <v>7.2</v>
      </c>
      <c r="N58" s="47">
        <f t="shared" si="8"/>
        <v>0</v>
      </c>
    </row>
    <row r="59" spans="1:14" ht="29.25" customHeight="1" x14ac:dyDescent="0.25">
      <c r="A59" s="8">
        <v>48</v>
      </c>
      <c r="B59" s="11" t="s">
        <v>46</v>
      </c>
      <c r="C59" s="47">
        <f t="shared" si="6"/>
        <v>1.4</v>
      </c>
      <c r="D59" s="47">
        <f t="shared" si="6"/>
        <v>1.9</v>
      </c>
      <c r="E59" s="47">
        <f t="shared" si="1"/>
        <v>0.5</v>
      </c>
      <c r="F59" s="52">
        <v>1.4</v>
      </c>
      <c r="G59" s="52">
        <v>1.9</v>
      </c>
      <c r="H59" s="47">
        <f t="shared" si="2"/>
        <v>0.5</v>
      </c>
      <c r="I59" s="52">
        <v>0</v>
      </c>
      <c r="J59" s="52"/>
      <c r="K59" s="47">
        <f t="shared" si="7"/>
        <v>0</v>
      </c>
      <c r="L59" s="52">
        <v>0</v>
      </c>
      <c r="M59" s="52"/>
      <c r="N59" s="47">
        <f t="shared" si="8"/>
        <v>0</v>
      </c>
    </row>
    <row r="60" spans="1:14" ht="19.5" customHeight="1" x14ac:dyDescent="0.25">
      <c r="A60" s="8">
        <v>49</v>
      </c>
      <c r="B60" s="11" t="s">
        <v>301</v>
      </c>
      <c r="C60" s="47">
        <f t="shared" si="6"/>
        <v>12.9</v>
      </c>
      <c r="D60" s="47">
        <f t="shared" si="6"/>
        <v>3.5</v>
      </c>
      <c r="E60" s="47">
        <f t="shared" si="1"/>
        <v>-9.4</v>
      </c>
      <c r="F60" s="52">
        <v>2.2999999999999998</v>
      </c>
      <c r="G60" s="52">
        <v>1.2</v>
      </c>
      <c r="H60" s="47">
        <f t="shared" si="2"/>
        <v>-1.1000000000000001</v>
      </c>
      <c r="I60" s="52">
        <v>0</v>
      </c>
      <c r="J60" s="52"/>
      <c r="K60" s="47">
        <f t="shared" si="7"/>
        <v>0</v>
      </c>
      <c r="L60" s="52">
        <v>10.6</v>
      </c>
      <c r="M60" s="52">
        <v>2.2999999999999998</v>
      </c>
      <c r="N60" s="47">
        <f t="shared" si="8"/>
        <v>-8.3000000000000007</v>
      </c>
    </row>
    <row r="61" spans="1:14" ht="15" customHeight="1" x14ac:dyDescent="0.25">
      <c r="A61" s="8">
        <v>50</v>
      </c>
      <c r="B61" s="11" t="s">
        <v>47</v>
      </c>
      <c r="C61" s="47">
        <f t="shared" si="6"/>
        <v>306.10000000000002</v>
      </c>
      <c r="D61" s="47">
        <f t="shared" si="6"/>
        <v>340.3</v>
      </c>
      <c r="E61" s="47">
        <f t="shared" si="1"/>
        <v>34.200000000000003</v>
      </c>
      <c r="F61" s="52">
        <v>304.10000000000002</v>
      </c>
      <c r="G61" s="52">
        <v>339</v>
      </c>
      <c r="H61" s="47">
        <f t="shared" si="2"/>
        <v>34.9</v>
      </c>
      <c r="I61" s="52">
        <v>0</v>
      </c>
      <c r="J61" s="52"/>
      <c r="K61" s="47">
        <f t="shared" si="7"/>
        <v>0</v>
      </c>
      <c r="L61" s="52">
        <v>2</v>
      </c>
      <c r="M61" s="52">
        <v>1.3</v>
      </c>
      <c r="N61" s="47">
        <f t="shared" si="8"/>
        <v>-0.7</v>
      </c>
    </row>
    <row r="62" spans="1:14" ht="17.25" customHeight="1" x14ac:dyDescent="0.25">
      <c r="A62" s="8">
        <v>51</v>
      </c>
      <c r="B62" s="11" t="s">
        <v>48</v>
      </c>
      <c r="C62" s="47">
        <f t="shared" si="6"/>
        <v>231.6</v>
      </c>
      <c r="D62" s="47">
        <f t="shared" si="6"/>
        <v>244.5</v>
      </c>
      <c r="E62" s="47">
        <f t="shared" si="1"/>
        <v>12.9</v>
      </c>
      <c r="F62" s="52">
        <v>230</v>
      </c>
      <c r="G62" s="52">
        <v>243.5</v>
      </c>
      <c r="H62" s="47">
        <f t="shared" si="2"/>
        <v>13.5</v>
      </c>
      <c r="I62" s="52">
        <v>0</v>
      </c>
      <c r="J62" s="52"/>
      <c r="K62" s="47">
        <f t="shared" si="7"/>
        <v>0</v>
      </c>
      <c r="L62" s="52">
        <v>1.6</v>
      </c>
      <c r="M62" s="52">
        <v>1</v>
      </c>
      <c r="N62" s="47">
        <f t="shared" si="8"/>
        <v>-0.6</v>
      </c>
    </row>
    <row r="63" spans="1:14" ht="15" customHeight="1" x14ac:dyDescent="0.25">
      <c r="A63" s="8">
        <v>52</v>
      </c>
      <c r="B63" s="11" t="s">
        <v>49</v>
      </c>
      <c r="C63" s="47">
        <f t="shared" si="6"/>
        <v>233.9</v>
      </c>
      <c r="D63" s="47">
        <f t="shared" si="6"/>
        <v>277.8</v>
      </c>
      <c r="E63" s="47">
        <f t="shared" si="1"/>
        <v>43.9</v>
      </c>
      <c r="F63" s="52">
        <v>233.9</v>
      </c>
      <c r="G63" s="52">
        <v>277.8</v>
      </c>
      <c r="H63" s="47">
        <f t="shared" si="2"/>
        <v>43.9</v>
      </c>
      <c r="I63" s="52">
        <v>0</v>
      </c>
      <c r="J63" s="52"/>
      <c r="K63" s="47">
        <f t="shared" si="7"/>
        <v>0</v>
      </c>
      <c r="L63" s="52">
        <v>0</v>
      </c>
      <c r="M63" s="52"/>
      <c r="N63" s="47">
        <f t="shared" si="8"/>
        <v>0</v>
      </c>
    </row>
    <row r="64" spans="1:14" ht="15" customHeight="1" x14ac:dyDescent="0.25">
      <c r="A64" s="8">
        <v>53</v>
      </c>
      <c r="B64" s="11" t="s">
        <v>50</v>
      </c>
      <c r="C64" s="47">
        <f t="shared" si="6"/>
        <v>361.7</v>
      </c>
      <c r="D64" s="47">
        <f t="shared" si="6"/>
        <v>371.5</v>
      </c>
      <c r="E64" s="47">
        <f t="shared" si="1"/>
        <v>9.8000000000000007</v>
      </c>
      <c r="F64" s="52">
        <v>359.4</v>
      </c>
      <c r="G64" s="52">
        <v>368.9</v>
      </c>
      <c r="H64" s="47">
        <f t="shared" si="2"/>
        <v>9.5</v>
      </c>
      <c r="I64" s="52">
        <v>0</v>
      </c>
      <c r="J64" s="52"/>
      <c r="K64" s="47">
        <f t="shared" si="7"/>
        <v>0</v>
      </c>
      <c r="L64" s="52">
        <v>2.2999999999999998</v>
      </c>
      <c r="M64" s="52">
        <v>2.6</v>
      </c>
      <c r="N64" s="47">
        <f t="shared" si="8"/>
        <v>0.3</v>
      </c>
    </row>
    <row r="65" spans="1:14" ht="15" customHeight="1" x14ac:dyDescent="0.25">
      <c r="A65" s="8">
        <v>54</v>
      </c>
      <c r="B65" s="11" t="s">
        <v>51</v>
      </c>
      <c r="C65" s="47">
        <f t="shared" si="6"/>
        <v>198.4</v>
      </c>
      <c r="D65" s="47">
        <f t="shared" si="6"/>
        <v>234.5</v>
      </c>
      <c r="E65" s="47">
        <f t="shared" si="1"/>
        <v>36.1</v>
      </c>
      <c r="F65" s="52">
        <v>197</v>
      </c>
      <c r="G65" s="52">
        <v>233.6</v>
      </c>
      <c r="H65" s="47">
        <f t="shared" si="2"/>
        <v>36.6</v>
      </c>
      <c r="I65" s="52">
        <v>0</v>
      </c>
      <c r="J65" s="52"/>
      <c r="K65" s="47">
        <f t="shared" si="7"/>
        <v>0</v>
      </c>
      <c r="L65" s="52">
        <v>1.4</v>
      </c>
      <c r="M65" s="52">
        <v>0.9</v>
      </c>
      <c r="N65" s="47">
        <f t="shared" si="8"/>
        <v>-0.5</v>
      </c>
    </row>
    <row r="66" spans="1:14" ht="17.25" customHeight="1" x14ac:dyDescent="0.25">
      <c r="A66" s="8">
        <v>55</v>
      </c>
      <c r="B66" s="11" t="s">
        <v>52</v>
      </c>
      <c r="C66" s="47">
        <f t="shared" si="6"/>
        <v>215</v>
      </c>
      <c r="D66" s="47">
        <f t="shared" si="6"/>
        <v>237</v>
      </c>
      <c r="E66" s="47">
        <f t="shared" si="1"/>
        <v>22</v>
      </c>
      <c r="F66" s="52">
        <v>215</v>
      </c>
      <c r="G66" s="52">
        <v>237</v>
      </c>
      <c r="H66" s="47">
        <f t="shared" si="2"/>
        <v>22</v>
      </c>
      <c r="I66" s="52">
        <v>0</v>
      </c>
      <c r="J66" s="52"/>
      <c r="K66" s="47">
        <f t="shared" si="7"/>
        <v>0</v>
      </c>
      <c r="L66" s="52">
        <v>0</v>
      </c>
      <c r="M66" s="52"/>
      <c r="N66" s="47">
        <f t="shared" si="8"/>
        <v>0</v>
      </c>
    </row>
    <row r="67" spans="1:14" ht="30.75" customHeight="1" x14ac:dyDescent="0.25">
      <c r="A67" s="8">
        <v>56</v>
      </c>
      <c r="B67" s="11" t="s">
        <v>53</v>
      </c>
      <c r="C67" s="47">
        <f t="shared" si="6"/>
        <v>302.3</v>
      </c>
      <c r="D67" s="47">
        <f t="shared" si="6"/>
        <v>330.6</v>
      </c>
      <c r="E67" s="47">
        <f t="shared" si="1"/>
        <v>28.3</v>
      </c>
      <c r="F67" s="52">
        <v>302.3</v>
      </c>
      <c r="G67" s="52">
        <v>330.6</v>
      </c>
      <c r="H67" s="47">
        <f t="shared" si="2"/>
        <v>28.3</v>
      </c>
      <c r="I67" s="52">
        <v>0</v>
      </c>
      <c r="J67" s="52"/>
      <c r="K67" s="47">
        <f t="shared" si="7"/>
        <v>0</v>
      </c>
      <c r="L67" s="52">
        <v>0</v>
      </c>
      <c r="M67" s="52"/>
      <c r="N67" s="47">
        <f t="shared" si="8"/>
        <v>0</v>
      </c>
    </row>
    <row r="68" spans="1:14" ht="15" customHeight="1" x14ac:dyDescent="0.25">
      <c r="A68" s="8">
        <v>57</v>
      </c>
      <c r="B68" s="11" t="s">
        <v>54</v>
      </c>
      <c r="C68" s="47">
        <f t="shared" si="6"/>
        <v>235</v>
      </c>
      <c r="D68" s="47">
        <f t="shared" si="6"/>
        <v>213.1</v>
      </c>
      <c r="E68" s="47">
        <f t="shared" si="1"/>
        <v>-21.9</v>
      </c>
      <c r="F68" s="52">
        <v>235</v>
      </c>
      <c r="G68" s="52">
        <v>213.1</v>
      </c>
      <c r="H68" s="47">
        <f t="shared" si="2"/>
        <v>-21.9</v>
      </c>
      <c r="I68" s="52">
        <v>0</v>
      </c>
      <c r="J68" s="52"/>
      <c r="K68" s="47">
        <f t="shared" si="7"/>
        <v>0</v>
      </c>
      <c r="L68" s="52">
        <v>0</v>
      </c>
      <c r="M68" s="52"/>
      <c r="N68" s="47">
        <f t="shared" si="8"/>
        <v>0</v>
      </c>
    </row>
    <row r="69" spans="1:14" ht="15" customHeight="1" x14ac:dyDescent="0.25">
      <c r="A69" s="8">
        <v>58</v>
      </c>
      <c r="B69" s="11" t="s">
        <v>358</v>
      </c>
      <c r="C69" s="47">
        <f t="shared" si="6"/>
        <v>319.2</v>
      </c>
      <c r="D69" s="47">
        <f t="shared" si="6"/>
        <v>336.5</v>
      </c>
      <c r="E69" s="47">
        <f t="shared" si="1"/>
        <v>17.3</v>
      </c>
      <c r="F69" s="52">
        <v>315</v>
      </c>
      <c r="G69" s="52">
        <v>332.9</v>
      </c>
      <c r="H69" s="47">
        <f t="shared" si="2"/>
        <v>17.899999999999999</v>
      </c>
      <c r="I69" s="52">
        <v>0</v>
      </c>
      <c r="J69" s="52"/>
      <c r="K69" s="47">
        <f t="shared" si="7"/>
        <v>0</v>
      </c>
      <c r="L69" s="52">
        <v>4.2</v>
      </c>
      <c r="M69" s="52">
        <v>3.6</v>
      </c>
      <c r="N69" s="47">
        <f t="shared" si="8"/>
        <v>-0.6</v>
      </c>
    </row>
    <row r="70" spans="1:14" ht="15.75" customHeight="1" x14ac:dyDescent="0.25">
      <c r="A70" s="8">
        <v>59</v>
      </c>
      <c r="B70" s="11" t="s">
        <v>55</v>
      </c>
      <c r="C70" s="47">
        <f t="shared" si="6"/>
        <v>289.10000000000002</v>
      </c>
      <c r="D70" s="47">
        <f t="shared" si="6"/>
        <v>315.8</v>
      </c>
      <c r="E70" s="47">
        <f t="shared" si="1"/>
        <v>26.7</v>
      </c>
      <c r="F70" s="52">
        <v>287.7</v>
      </c>
      <c r="G70" s="52">
        <v>315</v>
      </c>
      <c r="H70" s="47">
        <f t="shared" si="2"/>
        <v>27.3</v>
      </c>
      <c r="I70" s="52">
        <v>0</v>
      </c>
      <c r="J70" s="52"/>
      <c r="K70" s="47">
        <f t="shared" si="7"/>
        <v>0</v>
      </c>
      <c r="L70" s="52">
        <v>1.4</v>
      </c>
      <c r="M70" s="52">
        <v>0.8</v>
      </c>
      <c r="N70" s="47">
        <f t="shared" si="8"/>
        <v>-0.6</v>
      </c>
    </row>
    <row r="71" spans="1:14" ht="18" customHeight="1" x14ac:dyDescent="0.25">
      <c r="A71" s="8">
        <v>60</v>
      </c>
      <c r="B71" s="11" t="s">
        <v>302</v>
      </c>
      <c r="C71" s="47">
        <f t="shared" si="6"/>
        <v>124</v>
      </c>
      <c r="D71" s="47">
        <f t="shared" si="6"/>
        <v>119.6</v>
      </c>
      <c r="E71" s="47">
        <f t="shared" si="1"/>
        <v>-4.4000000000000004</v>
      </c>
      <c r="F71" s="52">
        <v>118</v>
      </c>
      <c r="G71" s="52">
        <v>114.5</v>
      </c>
      <c r="H71" s="47">
        <f t="shared" si="2"/>
        <v>-3.5</v>
      </c>
      <c r="I71" s="52">
        <v>0</v>
      </c>
      <c r="J71" s="52"/>
      <c r="K71" s="47">
        <f t="shared" si="7"/>
        <v>0</v>
      </c>
      <c r="L71" s="52">
        <v>6</v>
      </c>
      <c r="M71" s="52">
        <v>5.0999999999999996</v>
      </c>
      <c r="N71" s="47">
        <f t="shared" si="8"/>
        <v>-0.9</v>
      </c>
    </row>
    <row r="72" spans="1:14" ht="18" customHeight="1" x14ac:dyDescent="0.25">
      <c r="A72" s="8">
        <v>61</v>
      </c>
      <c r="B72" s="11" t="s">
        <v>56</v>
      </c>
      <c r="C72" s="47">
        <f t="shared" si="6"/>
        <v>153.80000000000001</v>
      </c>
      <c r="D72" s="47">
        <f t="shared" si="6"/>
        <v>179.7</v>
      </c>
      <c r="E72" s="47">
        <f t="shared" si="1"/>
        <v>25.9</v>
      </c>
      <c r="F72" s="52">
        <v>152.6</v>
      </c>
      <c r="G72" s="52">
        <v>178.9</v>
      </c>
      <c r="H72" s="47">
        <f t="shared" si="2"/>
        <v>26.3</v>
      </c>
      <c r="I72" s="52">
        <v>0</v>
      </c>
      <c r="J72" s="52"/>
      <c r="K72" s="47">
        <f t="shared" si="7"/>
        <v>0</v>
      </c>
      <c r="L72" s="52">
        <v>1.2</v>
      </c>
      <c r="M72" s="52">
        <v>0.8</v>
      </c>
      <c r="N72" s="47">
        <f t="shared" si="8"/>
        <v>-0.4</v>
      </c>
    </row>
    <row r="73" spans="1:14" ht="15" customHeight="1" x14ac:dyDescent="0.25">
      <c r="A73" s="8">
        <v>62</v>
      </c>
      <c r="B73" s="11" t="s">
        <v>57</v>
      </c>
      <c r="C73" s="47">
        <f t="shared" si="6"/>
        <v>173.6</v>
      </c>
      <c r="D73" s="47">
        <f t="shared" si="6"/>
        <v>180.9</v>
      </c>
      <c r="E73" s="47">
        <f t="shared" si="1"/>
        <v>7.3</v>
      </c>
      <c r="F73" s="52">
        <v>169.6</v>
      </c>
      <c r="G73" s="52">
        <v>177.7</v>
      </c>
      <c r="H73" s="47">
        <f t="shared" si="2"/>
        <v>8.1</v>
      </c>
      <c r="I73" s="52">
        <v>0</v>
      </c>
      <c r="J73" s="52"/>
      <c r="K73" s="47">
        <f t="shared" si="7"/>
        <v>0</v>
      </c>
      <c r="L73" s="52">
        <v>4</v>
      </c>
      <c r="M73" s="52">
        <v>3.2</v>
      </c>
      <c r="N73" s="47">
        <f t="shared" si="8"/>
        <v>-0.8</v>
      </c>
    </row>
    <row r="74" spans="1:14" ht="15" customHeight="1" x14ac:dyDescent="0.25">
      <c r="A74" s="8">
        <v>63</v>
      </c>
      <c r="B74" s="11" t="s">
        <v>58</v>
      </c>
      <c r="C74" s="47">
        <f t="shared" si="6"/>
        <v>187.6</v>
      </c>
      <c r="D74" s="47">
        <f t="shared" si="6"/>
        <v>199.9</v>
      </c>
      <c r="E74" s="47">
        <f t="shared" si="1"/>
        <v>12.3</v>
      </c>
      <c r="F74" s="52">
        <v>187.6</v>
      </c>
      <c r="G74" s="52">
        <v>199.9</v>
      </c>
      <c r="H74" s="47">
        <f t="shared" si="2"/>
        <v>12.3</v>
      </c>
      <c r="I74" s="52">
        <v>0</v>
      </c>
      <c r="J74" s="52"/>
      <c r="K74" s="47">
        <f t="shared" si="7"/>
        <v>0</v>
      </c>
      <c r="L74" s="52">
        <v>0</v>
      </c>
      <c r="M74" s="52"/>
      <c r="N74" s="47">
        <f t="shared" si="8"/>
        <v>0</v>
      </c>
    </row>
    <row r="75" spans="1:14" ht="18.75" customHeight="1" x14ac:dyDescent="0.25">
      <c r="A75" s="8">
        <v>64</v>
      </c>
      <c r="B75" s="11" t="s">
        <v>59</v>
      </c>
      <c r="C75" s="47">
        <f t="shared" si="6"/>
        <v>252.2</v>
      </c>
      <c r="D75" s="47">
        <f t="shared" si="6"/>
        <v>272.39999999999998</v>
      </c>
      <c r="E75" s="47">
        <f t="shared" si="1"/>
        <v>20.2</v>
      </c>
      <c r="F75" s="52">
        <v>252.2</v>
      </c>
      <c r="G75" s="52">
        <v>272.39999999999998</v>
      </c>
      <c r="H75" s="47">
        <f t="shared" si="2"/>
        <v>20.2</v>
      </c>
      <c r="I75" s="52">
        <v>0</v>
      </c>
      <c r="J75" s="52"/>
      <c r="K75" s="47">
        <f t="shared" si="7"/>
        <v>0</v>
      </c>
      <c r="L75" s="52">
        <v>0</v>
      </c>
      <c r="M75" s="52"/>
      <c r="N75" s="47">
        <f t="shared" si="8"/>
        <v>0</v>
      </c>
    </row>
    <row r="76" spans="1:14" ht="18.75" customHeight="1" x14ac:dyDescent="0.25">
      <c r="A76" s="8">
        <v>65</v>
      </c>
      <c r="B76" s="11" t="s">
        <v>60</v>
      </c>
      <c r="C76" s="47">
        <f t="shared" si="6"/>
        <v>260.10000000000002</v>
      </c>
      <c r="D76" s="47">
        <f t="shared" si="6"/>
        <v>298.5</v>
      </c>
      <c r="E76" s="47">
        <f t="shared" si="1"/>
        <v>38.4</v>
      </c>
      <c r="F76" s="52">
        <v>260.10000000000002</v>
      </c>
      <c r="G76" s="52">
        <v>298.5</v>
      </c>
      <c r="H76" s="47">
        <f t="shared" si="2"/>
        <v>38.4</v>
      </c>
      <c r="I76" s="52">
        <v>0</v>
      </c>
      <c r="J76" s="52"/>
      <c r="K76" s="47">
        <f t="shared" si="7"/>
        <v>0</v>
      </c>
      <c r="L76" s="52">
        <v>0</v>
      </c>
      <c r="M76" s="52"/>
      <c r="N76" s="47">
        <f t="shared" si="8"/>
        <v>0</v>
      </c>
    </row>
    <row r="77" spans="1:14" ht="18.75" customHeight="1" x14ac:dyDescent="0.25">
      <c r="A77" s="8">
        <v>66</v>
      </c>
      <c r="B77" s="11" t="s">
        <v>61</v>
      </c>
      <c r="C77" s="47">
        <f t="shared" si="6"/>
        <v>277.60000000000002</v>
      </c>
      <c r="D77" s="47">
        <f t="shared" si="6"/>
        <v>305.3</v>
      </c>
      <c r="E77" s="47">
        <f t="shared" si="1"/>
        <v>27.7</v>
      </c>
      <c r="F77" s="52">
        <v>275.3</v>
      </c>
      <c r="G77" s="52">
        <v>303</v>
      </c>
      <c r="H77" s="47">
        <f t="shared" si="2"/>
        <v>27.7</v>
      </c>
      <c r="I77" s="52">
        <v>0</v>
      </c>
      <c r="J77" s="52"/>
      <c r="K77" s="47">
        <f t="shared" si="7"/>
        <v>0</v>
      </c>
      <c r="L77" s="52">
        <v>2.2999999999999998</v>
      </c>
      <c r="M77" s="52">
        <v>2.2999999999999998</v>
      </c>
      <c r="N77" s="47">
        <f t="shared" si="8"/>
        <v>0</v>
      </c>
    </row>
    <row r="78" spans="1:14" ht="15" customHeight="1" x14ac:dyDescent="0.25">
      <c r="A78" s="8">
        <v>67</v>
      </c>
      <c r="B78" s="11" t="s">
        <v>62</v>
      </c>
      <c r="C78" s="47">
        <f t="shared" si="6"/>
        <v>161</v>
      </c>
      <c r="D78" s="47">
        <f t="shared" si="6"/>
        <v>173</v>
      </c>
      <c r="E78" s="47">
        <f t="shared" si="1"/>
        <v>12</v>
      </c>
      <c r="F78" s="52">
        <v>160</v>
      </c>
      <c r="G78" s="52">
        <v>171.9</v>
      </c>
      <c r="H78" s="47">
        <f t="shared" si="2"/>
        <v>11.9</v>
      </c>
      <c r="I78" s="52">
        <v>0</v>
      </c>
      <c r="J78" s="52"/>
      <c r="K78" s="47">
        <f t="shared" si="7"/>
        <v>0</v>
      </c>
      <c r="L78" s="52">
        <v>1</v>
      </c>
      <c r="M78" s="52">
        <v>1.1000000000000001</v>
      </c>
      <c r="N78" s="47">
        <f t="shared" si="8"/>
        <v>0.1</v>
      </c>
    </row>
    <row r="79" spans="1:14" ht="14.25" customHeight="1" x14ac:dyDescent="0.25">
      <c r="A79" s="8">
        <v>68</v>
      </c>
      <c r="B79" s="11" t="s">
        <v>63</v>
      </c>
      <c r="C79" s="47">
        <f t="shared" si="6"/>
        <v>309.8</v>
      </c>
      <c r="D79" s="47">
        <f t="shared" si="6"/>
        <v>293.8</v>
      </c>
      <c r="E79" s="47">
        <f t="shared" ref="E79:E130" si="9">D79-C79</f>
        <v>-16</v>
      </c>
      <c r="F79" s="52">
        <v>308.3</v>
      </c>
      <c r="G79" s="52">
        <v>292.60000000000002</v>
      </c>
      <c r="H79" s="47">
        <f t="shared" ref="H79:H130" si="10">G79-F79</f>
        <v>-15.7</v>
      </c>
      <c r="I79" s="52">
        <v>0</v>
      </c>
      <c r="J79" s="52"/>
      <c r="K79" s="47">
        <f t="shared" si="7"/>
        <v>0</v>
      </c>
      <c r="L79" s="52">
        <v>1.5</v>
      </c>
      <c r="M79" s="52">
        <v>1.2</v>
      </c>
      <c r="N79" s="47">
        <f t="shared" si="8"/>
        <v>-0.3</v>
      </c>
    </row>
    <row r="80" spans="1:14" x14ac:dyDescent="0.25">
      <c r="A80" s="8">
        <v>69</v>
      </c>
      <c r="B80" s="11" t="s">
        <v>64</v>
      </c>
      <c r="C80" s="47">
        <f t="shared" si="6"/>
        <v>180.2</v>
      </c>
      <c r="D80" s="47">
        <f t="shared" si="6"/>
        <v>216.5</v>
      </c>
      <c r="E80" s="47">
        <f t="shared" si="9"/>
        <v>36.299999999999997</v>
      </c>
      <c r="F80" s="52">
        <v>180.2</v>
      </c>
      <c r="G80" s="52">
        <v>216.5</v>
      </c>
      <c r="H80" s="47">
        <f t="shared" si="10"/>
        <v>36.299999999999997</v>
      </c>
      <c r="I80" s="52">
        <v>0</v>
      </c>
      <c r="J80" s="52"/>
      <c r="K80" s="47">
        <f t="shared" si="7"/>
        <v>0</v>
      </c>
      <c r="L80" s="52">
        <v>0</v>
      </c>
      <c r="M80" s="52"/>
      <c r="N80" s="47">
        <f t="shared" si="8"/>
        <v>0</v>
      </c>
    </row>
    <row r="81" spans="1:14" x14ac:dyDescent="0.25">
      <c r="A81" s="8">
        <v>70</v>
      </c>
      <c r="B81" s="11" t="s">
        <v>121</v>
      </c>
      <c r="C81" s="47">
        <f t="shared" si="6"/>
        <v>117.7</v>
      </c>
      <c r="D81" s="47">
        <f t="shared" si="6"/>
        <v>131.4</v>
      </c>
      <c r="E81" s="47">
        <f t="shared" si="9"/>
        <v>13.7</v>
      </c>
      <c r="F81" s="52">
        <v>117.7</v>
      </c>
      <c r="G81" s="52">
        <v>131.4</v>
      </c>
      <c r="H81" s="47">
        <f t="shared" si="10"/>
        <v>13.7</v>
      </c>
      <c r="I81" s="52">
        <v>0</v>
      </c>
      <c r="J81" s="52"/>
      <c r="K81" s="47">
        <f t="shared" ref="K81:K130" si="11">J81-I81</f>
        <v>0</v>
      </c>
      <c r="L81" s="52">
        <v>0</v>
      </c>
      <c r="M81" s="52"/>
      <c r="N81" s="47">
        <f t="shared" ref="N81:N130" si="12">M81-L81</f>
        <v>0</v>
      </c>
    </row>
    <row r="82" spans="1:14" x14ac:dyDescent="0.25">
      <c r="A82" s="8">
        <v>71</v>
      </c>
      <c r="B82" s="11" t="s">
        <v>65</v>
      </c>
      <c r="C82" s="47">
        <f t="shared" ref="C82:D122" si="13">F82+I82+L82</f>
        <v>250.2</v>
      </c>
      <c r="D82" s="47">
        <f t="shared" si="13"/>
        <v>282.3</v>
      </c>
      <c r="E82" s="47">
        <f t="shared" si="9"/>
        <v>32.1</v>
      </c>
      <c r="F82" s="52">
        <v>248.6</v>
      </c>
      <c r="G82" s="52">
        <v>281</v>
      </c>
      <c r="H82" s="47">
        <f t="shared" si="10"/>
        <v>32.4</v>
      </c>
      <c r="I82" s="52">
        <v>0</v>
      </c>
      <c r="J82" s="52"/>
      <c r="K82" s="47">
        <f t="shared" si="11"/>
        <v>0</v>
      </c>
      <c r="L82" s="52">
        <v>1.6</v>
      </c>
      <c r="M82" s="52">
        <v>1.3</v>
      </c>
      <c r="N82" s="47">
        <f t="shared" si="12"/>
        <v>-0.3</v>
      </c>
    </row>
    <row r="83" spans="1:14" x14ac:dyDescent="0.25">
      <c r="A83" s="8">
        <v>72</v>
      </c>
      <c r="B83" s="11" t="s">
        <v>66</v>
      </c>
      <c r="C83" s="47">
        <f t="shared" si="13"/>
        <v>299.7</v>
      </c>
      <c r="D83" s="47">
        <f t="shared" si="13"/>
        <v>288.7</v>
      </c>
      <c r="E83" s="47">
        <f t="shared" si="9"/>
        <v>-11</v>
      </c>
      <c r="F83" s="52">
        <v>296.2</v>
      </c>
      <c r="G83" s="52">
        <v>286.3</v>
      </c>
      <c r="H83" s="47">
        <f t="shared" si="10"/>
        <v>-9.9</v>
      </c>
      <c r="I83" s="52">
        <v>0</v>
      </c>
      <c r="J83" s="52"/>
      <c r="K83" s="47">
        <f t="shared" si="11"/>
        <v>0</v>
      </c>
      <c r="L83" s="52">
        <v>3.5</v>
      </c>
      <c r="M83" s="52">
        <v>2.4</v>
      </c>
      <c r="N83" s="47">
        <f t="shared" si="12"/>
        <v>-1.1000000000000001</v>
      </c>
    </row>
    <row r="84" spans="1:14" x14ac:dyDescent="0.25">
      <c r="A84" s="8">
        <v>73</v>
      </c>
      <c r="B84" s="11" t="s">
        <v>67</v>
      </c>
      <c r="C84" s="47">
        <f t="shared" si="13"/>
        <v>256.60000000000002</v>
      </c>
      <c r="D84" s="47">
        <f t="shared" si="13"/>
        <v>277.10000000000002</v>
      </c>
      <c r="E84" s="47">
        <f t="shared" si="9"/>
        <v>20.5</v>
      </c>
      <c r="F84" s="52">
        <v>253</v>
      </c>
      <c r="G84" s="52">
        <v>273.5</v>
      </c>
      <c r="H84" s="47">
        <f t="shared" si="10"/>
        <v>20.5</v>
      </c>
      <c r="I84" s="52">
        <v>0</v>
      </c>
      <c r="J84" s="52"/>
      <c r="K84" s="47">
        <f t="shared" si="11"/>
        <v>0</v>
      </c>
      <c r="L84" s="52">
        <v>3.6</v>
      </c>
      <c r="M84" s="52">
        <v>3.6</v>
      </c>
      <c r="N84" s="47">
        <f t="shared" si="12"/>
        <v>0</v>
      </c>
    </row>
    <row r="85" spans="1:14" x14ac:dyDescent="0.25">
      <c r="A85" s="8">
        <v>74</v>
      </c>
      <c r="B85" s="11" t="s">
        <v>68</v>
      </c>
      <c r="C85" s="47">
        <f t="shared" si="13"/>
        <v>111.5</v>
      </c>
      <c r="D85" s="47">
        <f t="shared" si="13"/>
        <v>113.6</v>
      </c>
      <c r="E85" s="47">
        <f t="shared" si="9"/>
        <v>2.1</v>
      </c>
      <c r="F85" s="52">
        <v>107.3</v>
      </c>
      <c r="G85" s="52">
        <f>110.4+0.1</f>
        <v>110.5</v>
      </c>
      <c r="H85" s="47">
        <f t="shared" si="10"/>
        <v>3.2</v>
      </c>
      <c r="I85" s="52">
        <v>0</v>
      </c>
      <c r="J85" s="52"/>
      <c r="K85" s="47">
        <f t="shared" si="11"/>
        <v>0</v>
      </c>
      <c r="L85" s="52">
        <v>4.2</v>
      </c>
      <c r="M85" s="52">
        <v>3.1</v>
      </c>
      <c r="N85" s="47">
        <f t="shared" si="12"/>
        <v>-1.1000000000000001</v>
      </c>
    </row>
    <row r="86" spans="1:14" x14ac:dyDescent="0.25">
      <c r="A86" s="8">
        <v>75</v>
      </c>
      <c r="B86" s="11" t="s">
        <v>69</v>
      </c>
      <c r="C86" s="47">
        <f t="shared" si="13"/>
        <v>306.8</v>
      </c>
      <c r="D86" s="47">
        <f t="shared" si="13"/>
        <v>323.3</v>
      </c>
      <c r="E86" s="47">
        <f t="shared" si="9"/>
        <v>16.5</v>
      </c>
      <c r="F86" s="52">
        <v>305.2</v>
      </c>
      <c r="G86" s="52">
        <v>321.89999999999998</v>
      </c>
      <c r="H86" s="47">
        <f t="shared" si="10"/>
        <v>16.7</v>
      </c>
      <c r="I86" s="52">
        <v>0</v>
      </c>
      <c r="J86" s="52"/>
      <c r="K86" s="47">
        <f t="shared" si="11"/>
        <v>0</v>
      </c>
      <c r="L86" s="52">
        <v>1.6</v>
      </c>
      <c r="M86" s="52">
        <v>1.4</v>
      </c>
      <c r="N86" s="47">
        <f t="shared" si="12"/>
        <v>-0.2</v>
      </c>
    </row>
    <row r="87" spans="1:14" x14ac:dyDescent="0.25">
      <c r="A87" s="8">
        <v>76</v>
      </c>
      <c r="B87" s="89" t="s">
        <v>70</v>
      </c>
      <c r="C87" s="47">
        <f t="shared" si="13"/>
        <v>160</v>
      </c>
      <c r="D87" s="47">
        <f t="shared" si="13"/>
        <v>158.6</v>
      </c>
      <c r="E87" s="47">
        <f t="shared" si="9"/>
        <v>-1.4</v>
      </c>
      <c r="F87" s="52">
        <v>160</v>
      </c>
      <c r="G87" s="52">
        <v>158.6</v>
      </c>
      <c r="H87" s="47">
        <f t="shared" si="10"/>
        <v>-1.4</v>
      </c>
      <c r="I87" s="52">
        <v>0</v>
      </c>
      <c r="J87" s="52"/>
      <c r="K87" s="47">
        <f t="shared" si="11"/>
        <v>0</v>
      </c>
      <c r="L87" s="52">
        <v>0</v>
      </c>
      <c r="M87" s="52"/>
      <c r="N87" s="47">
        <f t="shared" si="12"/>
        <v>0</v>
      </c>
    </row>
    <row r="88" spans="1:14" ht="15" customHeight="1" x14ac:dyDescent="0.25">
      <c r="A88" s="8">
        <v>77</v>
      </c>
      <c r="B88" s="11" t="s">
        <v>71</v>
      </c>
      <c r="C88" s="47">
        <f t="shared" si="13"/>
        <v>165.8</v>
      </c>
      <c r="D88" s="47">
        <f t="shared" si="13"/>
        <v>166.5</v>
      </c>
      <c r="E88" s="47">
        <f t="shared" si="9"/>
        <v>0.7</v>
      </c>
      <c r="F88" s="52">
        <v>165.8</v>
      </c>
      <c r="G88" s="52">
        <v>166.5</v>
      </c>
      <c r="H88" s="47">
        <f t="shared" si="10"/>
        <v>0.7</v>
      </c>
      <c r="I88" s="52">
        <v>0</v>
      </c>
      <c r="J88" s="52"/>
      <c r="K88" s="47">
        <f t="shared" si="11"/>
        <v>0</v>
      </c>
      <c r="L88" s="52">
        <v>0</v>
      </c>
      <c r="M88" s="52"/>
      <c r="N88" s="47">
        <f t="shared" si="12"/>
        <v>0</v>
      </c>
    </row>
    <row r="89" spans="1:14" ht="15" customHeight="1" x14ac:dyDescent="0.25">
      <c r="A89" s="8">
        <v>78</v>
      </c>
      <c r="B89" s="11" t="s">
        <v>72</v>
      </c>
      <c r="C89" s="47">
        <f t="shared" si="13"/>
        <v>162.1</v>
      </c>
      <c r="D89" s="47">
        <f t="shared" si="13"/>
        <v>147.4</v>
      </c>
      <c r="E89" s="47">
        <f t="shared" si="9"/>
        <v>-14.7</v>
      </c>
      <c r="F89" s="52">
        <v>162.1</v>
      </c>
      <c r="G89" s="52">
        <v>147.4</v>
      </c>
      <c r="H89" s="47">
        <f t="shared" si="10"/>
        <v>-14.7</v>
      </c>
      <c r="I89" s="52">
        <v>0</v>
      </c>
      <c r="J89" s="52"/>
      <c r="K89" s="47">
        <f t="shared" si="11"/>
        <v>0</v>
      </c>
      <c r="L89" s="52">
        <v>0</v>
      </c>
      <c r="M89" s="52"/>
      <c r="N89" s="47">
        <f t="shared" si="12"/>
        <v>0</v>
      </c>
    </row>
    <row r="90" spans="1:14" ht="15" customHeight="1" x14ac:dyDescent="0.25">
      <c r="A90" s="8">
        <v>79</v>
      </c>
      <c r="B90" s="11" t="s">
        <v>73</v>
      </c>
      <c r="C90" s="47">
        <f t="shared" si="13"/>
        <v>276.3</v>
      </c>
      <c r="D90" s="47">
        <f t="shared" si="13"/>
        <v>287.89999999999998</v>
      </c>
      <c r="E90" s="47">
        <f t="shared" si="9"/>
        <v>11.6</v>
      </c>
      <c r="F90" s="52">
        <v>272.7</v>
      </c>
      <c r="G90" s="52">
        <v>284.89999999999998</v>
      </c>
      <c r="H90" s="47">
        <f t="shared" si="10"/>
        <v>12.2</v>
      </c>
      <c r="I90" s="52">
        <v>0</v>
      </c>
      <c r="J90" s="52"/>
      <c r="K90" s="47">
        <f t="shared" si="11"/>
        <v>0</v>
      </c>
      <c r="L90" s="52">
        <v>3.6</v>
      </c>
      <c r="M90" s="52">
        <v>3</v>
      </c>
      <c r="N90" s="47">
        <f t="shared" si="12"/>
        <v>-0.6</v>
      </c>
    </row>
    <row r="91" spans="1:14" ht="15" customHeight="1" x14ac:dyDescent="0.25">
      <c r="A91" s="8">
        <v>80</v>
      </c>
      <c r="B91" s="11" t="s">
        <v>74</v>
      </c>
      <c r="C91" s="47">
        <f t="shared" si="13"/>
        <v>179.4</v>
      </c>
      <c r="D91" s="47">
        <f t="shared" si="13"/>
        <v>171</v>
      </c>
      <c r="E91" s="47">
        <f t="shared" si="9"/>
        <v>-8.4</v>
      </c>
      <c r="F91" s="52">
        <v>176.4</v>
      </c>
      <c r="G91" s="52">
        <v>169.5</v>
      </c>
      <c r="H91" s="47">
        <f t="shared" si="10"/>
        <v>-6.9</v>
      </c>
      <c r="I91" s="52">
        <v>0</v>
      </c>
      <c r="J91" s="52"/>
      <c r="K91" s="47">
        <f t="shared" si="11"/>
        <v>0</v>
      </c>
      <c r="L91" s="52">
        <v>3</v>
      </c>
      <c r="M91" s="52">
        <v>1.5</v>
      </c>
      <c r="N91" s="47">
        <f t="shared" si="12"/>
        <v>-1.5</v>
      </c>
    </row>
    <row r="92" spans="1:14" ht="15" customHeight="1" x14ac:dyDescent="0.25">
      <c r="A92" s="8">
        <v>81</v>
      </c>
      <c r="B92" s="11" t="s">
        <v>75</v>
      </c>
      <c r="C92" s="47">
        <f t="shared" si="13"/>
        <v>297.39999999999998</v>
      </c>
      <c r="D92" s="47">
        <f t="shared" si="13"/>
        <v>350.2</v>
      </c>
      <c r="E92" s="47">
        <f t="shared" si="9"/>
        <v>52.8</v>
      </c>
      <c r="F92" s="52">
        <v>295.60000000000002</v>
      </c>
      <c r="G92" s="52">
        <v>348</v>
      </c>
      <c r="H92" s="47">
        <f t="shared" si="10"/>
        <v>52.4</v>
      </c>
      <c r="I92" s="52">
        <v>0</v>
      </c>
      <c r="J92" s="52"/>
      <c r="K92" s="47">
        <f t="shared" si="11"/>
        <v>0</v>
      </c>
      <c r="L92" s="52">
        <v>1.8</v>
      </c>
      <c r="M92" s="52">
        <v>2.2000000000000002</v>
      </c>
      <c r="N92" s="47">
        <f t="shared" si="12"/>
        <v>0.4</v>
      </c>
    </row>
    <row r="93" spans="1:14" ht="15" customHeight="1" x14ac:dyDescent="0.25">
      <c r="A93" s="8">
        <v>82</v>
      </c>
      <c r="B93" s="11" t="s">
        <v>76</v>
      </c>
      <c r="C93" s="47">
        <f t="shared" si="13"/>
        <v>296.10000000000002</v>
      </c>
      <c r="D93" s="47">
        <f t="shared" si="13"/>
        <v>272.3</v>
      </c>
      <c r="E93" s="47">
        <f t="shared" si="9"/>
        <v>-23.8</v>
      </c>
      <c r="F93" s="52">
        <v>295</v>
      </c>
      <c r="G93" s="52">
        <v>271.7</v>
      </c>
      <c r="H93" s="47">
        <f t="shared" si="10"/>
        <v>-23.3</v>
      </c>
      <c r="I93" s="52">
        <v>0</v>
      </c>
      <c r="J93" s="52"/>
      <c r="K93" s="47">
        <f t="shared" si="11"/>
        <v>0</v>
      </c>
      <c r="L93" s="52">
        <v>1.1000000000000001</v>
      </c>
      <c r="M93" s="52">
        <v>0.6</v>
      </c>
      <c r="N93" s="47">
        <f t="shared" si="12"/>
        <v>-0.5</v>
      </c>
    </row>
    <row r="94" spans="1:14" ht="15" customHeight="1" x14ac:dyDescent="0.25">
      <c r="A94" s="8">
        <v>83</v>
      </c>
      <c r="B94" s="11" t="s">
        <v>77</v>
      </c>
      <c r="C94" s="47">
        <f t="shared" si="13"/>
        <v>272.5</v>
      </c>
      <c r="D94" s="47">
        <f t="shared" si="13"/>
        <v>293</v>
      </c>
      <c r="E94" s="47">
        <f t="shared" si="9"/>
        <v>20.5</v>
      </c>
      <c r="F94" s="52">
        <v>270</v>
      </c>
      <c r="G94" s="52">
        <v>291.7</v>
      </c>
      <c r="H94" s="47">
        <f t="shared" si="10"/>
        <v>21.7</v>
      </c>
      <c r="I94" s="52">
        <v>0</v>
      </c>
      <c r="J94" s="52"/>
      <c r="K94" s="47">
        <f t="shared" si="11"/>
        <v>0</v>
      </c>
      <c r="L94" s="52">
        <v>2.5</v>
      </c>
      <c r="M94" s="52">
        <v>1.3</v>
      </c>
      <c r="N94" s="47">
        <f t="shared" si="12"/>
        <v>-1.2</v>
      </c>
    </row>
    <row r="95" spans="1:14" ht="14.25" customHeight="1" x14ac:dyDescent="0.25">
      <c r="A95" s="8">
        <v>84</v>
      </c>
      <c r="B95" s="11" t="s">
        <v>78</v>
      </c>
      <c r="C95" s="47">
        <f t="shared" si="13"/>
        <v>217</v>
      </c>
      <c r="D95" s="47">
        <f t="shared" si="13"/>
        <v>281.8</v>
      </c>
      <c r="E95" s="47">
        <f t="shared" si="9"/>
        <v>64.8</v>
      </c>
      <c r="F95" s="52">
        <v>216</v>
      </c>
      <c r="G95" s="52">
        <v>281.3</v>
      </c>
      <c r="H95" s="47">
        <f t="shared" si="10"/>
        <v>65.3</v>
      </c>
      <c r="I95" s="52">
        <v>0</v>
      </c>
      <c r="J95" s="52"/>
      <c r="K95" s="47">
        <f t="shared" si="11"/>
        <v>0</v>
      </c>
      <c r="L95" s="52">
        <v>1</v>
      </c>
      <c r="M95" s="52">
        <v>0.5</v>
      </c>
      <c r="N95" s="47">
        <f t="shared" si="12"/>
        <v>-0.5</v>
      </c>
    </row>
    <row r="96" spans="1:14" ht="15" customHeight="1" x14ac:dyDescent="0.25">
      <c r="A96" s="8">
        <v>85</v>
      </c>
      <c r="B96" s="11" t="s">
        <v>79</v>
      </c>
      <c r="C96" s="47">
        <f t="shared" si="13"/>
        <v>162.30000000000001</v>
      </c>
      <c r="D96" s="47">
        <f t="shared" si="13"/>
        <v>166.6</v>
      </c>
      <c r="E96" s="47">
        <f t="shared" si="9"/>
        <v>4.3</v>
      </c>
      <c r="F96" s="52">
        <v>162.30000000000001</v>
      </c>
      <c r="G96" s="52">
        <v>166.6</v>
      </c>
      <c r="H96" s="47">
        <f t="shared" si="10"/>
        <v>4.3</v>
      </c>
      <c r="I96" s="52">
        <v>0</v>
      </c>
      <c r="J96" s="52"/>
      <c r="K96" s="47">
        <f t="shared" si="11"/>
        <v>0</v>
      </c>
      <c r="L96" s="52">
        <v>0</v>
      </c>
      <c r="M96" s="52"/>
      <c r="N96" s="47">
        <f t="shared" si="12"/>
        <v>0</v>
      </c>
    </row>
    <row r="97" spans="1:14" ht="15" customHeight="1" x14ac:dyDescent="0.25">
      <c r="A97" s="8">
        <v>86</v>
      </c>
      <c r="B97" s="11" t="s">
        <v>80</v>
      </c>
      <c r="C97" s="47">
        <f t="shared" si="13"/>
        <v>224.9</v>
      </c>
      <c r="D97" s="47">
        <f t="shared" si="13"/>
        <v>234.6</v>
      </c>
      <c r="E97" s="47">
        <f t="shared" si="9"/>
        <v>9.6999999999999993</v>
      </c>
      <c r="F97" s="52">
        <v>224.9</v>
      </c>
      <c r="G97" s="52">
        <v>234.6</v>
      </c>
      <c r="H97" s="47">
        <f t="shared" si="10"/>
        <v>9.6999999999999993</v>
      </c>
      <c r="I97" s="52">
        <v>0</v>
      </c>
      <c r="J97" s="52"/>
      <c r="K97" s="47">
        <f t="shared" si="11"/>
        <v>0</v>
      </c>
      <c r="L97" s="52">
        <v>0</v>
      </c>
      <c r="M97" s="52"/>
      <c r="N97" s="47">
        <f t="shared" si="12"/>
        <v>0</v>
      </c>
    </row>
    <row r="98" spans="1:14" ht="15" customHeight="1" x14ac:dyDescent="0.25">
      <c r="A98" s="8">
        <v>87</v>
      </c>
      <c r="B98" s="11" t="s">
        <v>81</v>
      </c>
      <c r="C98" s="47">
        <f t="shared" si="13"/>
        <v>258.2</v>
      </c>
      <c r="D98" s="47">
        <f t="shared" si="13"/>
        <v>281.10000000000002</v>
      </c>
      <c r="E98" s="47">
        <f t="shared" si="9"/>
        <v>22.9</v>
      </c>
      <c r="F98" s="52">
        <v>258.2</v>
      </c>
      <c r="G98" s="52">
        <v>281.10000000000002</v>
      </c>
      <c r="H98" s="47">
        <f t="shared" si="10"/>
        <v>22.9</v>
      </c>
      <c r="I98" s="52">
        <v>0</v>
      </c>
      <c r="J98" s="52"/>
      <c r="K98" s="47">
        <f t="shared" si="11"/>
        <v>0</v>
      </c>
      <c r="L98" s="52">
        <v>0</v>
      </c>
      <c r="M98" s="52"/>
      <c r="N98" s="47">
        <f t="shared" si="12"/>
        <v>0</v>
      </c>
    </row>
    <row r="99" spans="1:14" ht="15" customHeight="1" x14ac:dyDescent="0.25">
      <c r="A99" s="8">
        <v>88</v>
      </c>
      <c r="B99" s="11" t="s">
        <v>82</v>
      </c>
      <c r="C99" s="47">
        <f t="shared" si="13"/>
        <v>314.10000000000002</v>
      </c>
      <c r="D99" s="47">
        <f t="shared" si="13"/>
        <v>344</v>
      </c>
      <c r="E99" s="47">
        <f t="shared" si="9"/>
        <v>29.9</v>
      </c>
      <c r="F99" s="52">
        <v>312</v>
      </c>
      <c r="G99" s="52">
        <v>342.1</v>
      </c>
      <c r="H99" s="47">
        <f t="shared" si="10"/>
        <v>30.1</v>
      </c>
      <c r="I99" s="52">
        <v>0</v>
      </c>
      <c r="J99" s="52"/>
      <c r="K99" s="47">
        <f t="shared" si="11"/>
        <v>0</v>
      </c>
      <c r="L99" s="52">
        <v>2.1</v>
      </c>
      <c r="M99" s="52">
        <v>1.9</v>
      </c>
      <c r="N99" s="47">
        <f t="shared" si="12"/>
        <v>-0.2</v>
      </c>
    </row>
    <row r="100" spans="1:14" ht="15" customHeight="1" x14ac:dyDescent="0.25">
      <c r="A100" s="8">
        <v>89</v>
      </c>
      <c r="B100" s="11" t="s">
        <v>83</v>
      </c>
      <c r="C100" s="47">
        <f t="shared" si="13"/>
        <v>290.3</v>
      </c>
      <c r="D100" s="47">
        <f t="shared" si="13"/>
        <v>290.89999999999998</v>
      </c>
      <c r="E100" s="47">
        <f t="shared" si="9"/>
        <v>0.6</v>
      </c>
      <c r="F100" s="52">
        <v>288</v>
      </c>
      <c r="G100" s="52">
        <v>288.60000000000002</v>
      </c>
      <c r="H100" s="47">
        <f t="shared" si="10"/>
        <v>0.6</v>
      </c>
      <c r="I100" s="52">
        <v>0</v>
      </c>
      <c r="J100" s="52"/>
      <c r="K100" s="47">
        <f t="shared" si="11"/>
        <v>0</v>
      </c>
      <c r="L100" s="52">
        <v>2.2999999999999998</v>
      </c>
      <c r="M100" s="52">
        <f>2.2+0.1</f>
        <v>2.2999999999999998</v>
      </c>
      <c r="N100" s="47">
        <f t="shared" si="12"/>
        <v>0</v>
      </c>
    </row>
    <row r="101" spans="1:14" ht="15" customHeight="1" x14ac:dyDescent="0.25">
      <c r="A101" s="8">
        <v>90</v>
      </c>
      <c r="B101" s="11" t="s">
        <v>84</v>
      </c>
      <c r="C101" s="47">
        <f t="shared" si="13"/>
        <v>252.2</v>
      </c>
      <c r="D101" s="47">
        <f t="shared" si="13"/>
        <v>336.3</v>
      </c>
      <c r="E101" s="47">
        <f t="shared" si="9"/>
        <v>84.1</v>
      </c>
      <c r="F101" s="52">
        <v>250.9</v>
      </c>
      <c r="G101" s="52">
        <v>336.3</v>
      </c>
      <c r="H101" s="47">
        <f t="shared" si="10"/>
        <v>85.4</v>
      </c>
      <c r="I101" s="52">
        <v>0</v>
      </c>
      <c r="J101" s="52"/>
      <c r="K101" s="47">
        <f t="shared" si="11"/>
        <v>0</v>
      </c>
      <c r="L101" s="52">
        <v>1.3</v>
      </c>
      <c r="M101" s="52"/>
      <c r="N101" s="47">
        <f t="shared" si="12"/>
        <v>-1.3</v>
      </c>
    </row>
    <row r="102" spans="1:14" ht="15" customHeight="1" x14ac:dyDescent="0.25">
      <c r="A102" s="8">
        <v>91</v>
      </c>
      <c r="B102" s="11" t="s">
        <v>85</v>
      </c>
      <c r="C102" s="47">
        <f t="shared" si="13"/>
        <v>192.7</v>
      </c>
      <c r="D102" s="47">
        <f t="shared" si="13"/>
        <v>225.6</v>
      </c>
      <c r="E102" s="47">
        <f t="shared" si="9"/>
        <v>32.9</v>
      </c>
      <c r="F102" s="52">
        <v>192.7</v>
      </c>
      <c r="G102" s="52">
        <v>225.6</v>
      </c>
      <c r="H102" s="47">
        <f t="shared" si="10"/>
        <v>32.9</v>
      </c>
      <c r="I102" s="52">
        <v>0</v>
      </c>
      <c r="J102" s="52"/>
      <c r="K102" s="47">
        <f t="shared" si="11"/>
        <v>0</v>
      </c>
      <c r="L102" s="52">
        <v>0</v>
      </c>
      <c r="M102" s="52"/>
      <c r="N102" s="47">
        <f t="shared" si="12"/>
        <v>0</v>
      </c>
    </row>
    <row r="103" spans="1:14" x14ac:dyDescent="0.25">
      <c r="A103" s="8">
        <v>92</v>
      </c>
      <c r="B103" s="11" t="s">
        <v>86</v>
      </c>
      <c r="C103" s="47">
        <f t="shared" si="13"/>
        <v>180</v>
      </c>
      <c r="D103" s="47">
        <f t="shared" si="13"/>
        <v>240.5</v>
      </c>
      <c r="E103" s="47">
        <f t="shared" si="9"/>
        <v>60.5</v>
      </c>
      <c r="F103" s="52">
        <v>180</v>
      </c>
      <c r="G103" s="52">
        <v>240.5</v>
      </c>
      <c r="H103" s="47">
        <f t="shared" si="10"/>
        <v>60.5</v>
      </c>
      <c r="I103" s="52">
        <v>0</v>
      </c>
      <c r="J103" s="52"/>
      <c r="K103" s="47">
        <f t="shared" si="11"/>
        <v>0</v>
      </c>
      <c r="L103" s="52">
        <v>0</v>
      </c>
      <c r="M103" s="52"/>
      <c r="N103" s="47">
        <f t="shared" si="12"/>
        <v>0</v>
      </c>
    </row>
    <row r="104" spans="1:14" s="12" customFormat="1" ht="15" customHeight="1" x14ac:dyDescent="0.25">
      <c r="A104" s="8">
        <v>93</v>
      </c>
      <c r="B104" s="11" t="s">
        <v>87</v>
      </c>
      <c r="C104" s="47">
        <f t="shared" si="13"/>
        <v>366.9</v>
      </c>
      <c r="D104" s="47">
        <f t="shared" si="13"/>
        <v>301.7</v>
      </c>
      <c r="E104" s="47">
        <f t="shared" si="9"/>
        <v>-65.2</v>
      </c>
      <c r="F104" s="52">
        <v>365.9</v>
      </c>
      <c r="G104" s="52">
        <v>301.10000000000002</v>
      </c>
      <c r="H104" s="47">
        <f t="shared" si="10"/>
        <v>-64.8</v>
      </c>
      <c r="I104" s="52">
        <v>0</v>
      </c>
      <c r="J104" s="52"/>
      <c r="K104" s="47">
        <f t="shared" si="11"/>
        <v>0</v>
      </c>
      <c r="L104" s="52">
        <v>1</v>
      </c>
      <c r="M104" s="52">
        <v>0.6</v>
      </c>
      <c r="N104" s="47">
        <f t="shared" si="12"/>
        <v>-0.4</v>
      </c>
    </row>
    <row r="105" spans="1:14" ht="15" customHeight="1" x14ac:dyDescent="0.25">
      <c r="A105" s="8">
        <v>94</v>
      </c>
      <c r="B105" s="11" t="s">
        <v>88</v>
      </c>
      <c r="C105" s="47">
        <f t="shared" si="13"/>
        <v>167.6</v>
      </c>
      <c r="D105" s="47">
        <f t="shared" si="13"/>
        <v>213.4</v>
      </c>
      <c r="E105" s="47">
        <f t="shared" si="9"/>
        <v>45.8</v>
      </c>
      <c r="F105" s="52">
        <v>165.5</v>
      </c>
      <c r="G105" s="52">
        <v>211.3</v>
      </c>
      <c r="H105" s="47">
        <f t="shared" si="10"/>
        <v>45.8</v>
      </c>
      <c r="I105" s="52">
        <v>0</v>
      </c>
      <c r="J105" s="52"/>
      <c r="K105" s="47">
        <f t="shared" si="11"/>
        <v>0</v>
      </c>
      <c r="L105" s="52">
        <v>2.1</v>
      </c>
      <c r="M105" s="52">
        <v>2.1</v>
      </c>
      <c r="N105" s="47">
        <f t="shared" si="12"/>
        <v>0</v>
      </c>
    </row>
    <row r="106" spans="1:14" ht="15" customHeight="1" x14ac:dyDescent="0.25">
      <c r="A106" s="8">
        <v>95</v>
      </c>
      <c r="B106" s="11" t="s">
        <v>89</v>
      </c>
      <c r="C106" s="47">
        <f t="shared" si="13"/>
        <v>236.1</v>
      </c>
      <c r="D106" s="47">
        <f t="shared" si="13"/>
        <v>259.89999999999998</v>
      </c>
      <c r="E106" s="47">
        <f t="shared" si="9"/>
        <v>23.8</v>
      </c>
      <c r="F106" s="52">
        <v>236.1</v>
      </c>
      <c r="G106" s="52">
        <v>259.89999999999998</v>
      </c>
      <c r="H106" s="47">
        <f t="shared" si="10"/>
        <v>23.8</v>
      </c>
      <c r="I106" s="52">
        <v>0</v>
      </c>
      <c r="J106" s="52"/>
      <c r="K106" s="47">
        <f t="shared" si="11"/>
        <v>0</v>
      </c>
      <c r="L106" s="52">
        <v>0</v>
      </c>
      <c r="M106" s="52"/>
      <c r="N106" s="47">
        <f t="shared" si="12"/>
        <v>0</v>
      </c>
    </row>
    <row r="107" spans="1:14" ht="15" customHeight="1" x14ac:dyDescent="0.25">
      <c r="A107" s="8">
        <v>96</v>
      </c>
      <c r="B107" s="11" t="s">
        <v>90</v>
      </c>
      <c r="C107" s="47">
        <f t="shared" si="13"/>
        <v>195</v>
      </c>
      <c r="D107" s="47">
        <f t="shared" si="13"/>
        <v>239.5</v>
      </c>
      <c r="E107" s="47">
        <f t="shared" si="9"/>
        <v>44.5</v>
      </c>
      <c r="F107" s="52">
        <v>195</v>
      </c>
      <c r="G107" s="52">
        <v>239.5</v>
      </c>
      <c r="H107" s="47">
        <f t="shared" si="10"/>
        <v>44.5</v>
      </c>
      <c r="I107" s="52">
        <v>0</v>
      </c>
      <c r="J107" s="52"/>
      <c r="K107" s="47">
        <f t="shared" si="11"/>
        <v>0</v>
      </c>
      <c r="L107" s="52">
        <v>0</v>
      </c>
      <c r="M107" s="52"/>
      <c r="N107" s="47">
        <f t="shared" si="12"/>
        <v>0</v>
      </c>
    </row>
    <row r="108" spans="1:14" ht="16.5" customHeight="1" x14ac:dyDescent="0.25">
      <c r="A108" s="8">
        <v>97</v>
      </c>
      <c r="B108" s="11" t="s">
        <v>91</v>
      </c>
      <c r="C108" s="47">
        <f t="shared" si="13"/>
        <v>273.3</v>
      </c>
      <c r="D108" s="47">
        <f t="shared" si="13"/>
        <v>300</v>
      </c>
      <c r="E108" s="47">
        <f t="shared" si="9"/>
        <v>26.7</v>
      </c>
      <c r="F108" s="52">
        <v>272.2</v>
      </c>
      <c r="G108" s="52">
        <v>299.3</v>
      </c>
      <c r="H108" s="47">
        <f t="shared" si="10"/>
        <v>27.1</v>
      </c>
      <c r="I108" s="52">
        <v>0</v>
      </c>
      <c r="J108" s="52"/>
      <c r="K108" s="47">
        <f t="shared" si="11"/>
        <v>0</v>
      </c>
      <c r="L108" s="52">
        <v>1.1000000000000001</v>
      </c>
      <c r="M108" s="52">
        <v>0.7</v>
      </c>
      <c r="N108" s="47">
        <f t="shared" si="12"/>
        <v>-0.4</v>
      </c>
    </row>
    <row r="109" spans="1:14" ht="15" customHeight="1" x14ac:dyDescent="0.25">
      <c r="A109" s="8">
        <v>98</v>
      </c>
      <c r="B109" s="11" t="s">
        <v>92</v>
      </c>
      <c r="C109" s="47">
        <f t="shared" si="13"/>
        <v>259.7</v>
      </c>
      <c r="D109" s="47">
        <f t="shared" si="13"/>
        <v>282.8</v>
      </c>
      <c r="E109" s="47">
        <f t="shared" si="9"/>
        <v>23.1</v>
      </c>
      <c r="F109" s="52">
        <v>258.5</v>
      </c>
      <c r="G109" s="52">
        <v>281.5</v>
      </c>
      <c r="H109" s="47">
        <f t="shared" si="10"/>
        <v>23</v>
      </c>
      <c r="I109" s="52">
        <v>0</v>
      </c>
      <c r="J109" s="52"/>
      <c r="K109" s="47">
        <f t="shared" si="11"/>
        <v>0</v>
      </c>
      <c r="L109" s="52">
        <v>1.2</v>
      </c>
      <c r="M109" s="52">
        <v>1.3</v>
      </c>
      <c r="N109" s="47">
        <f t="shared" si="12"/>
        <v>0.1</v>
      </c>
    </row>
    <row r="110" spans="1:14" ht="15" customHeight="1" x14ac:dyDescent="0.25">
      <c r="A110" s="8">
        <v>99</v>
      </c>
      <c r="B110" s="11" t="s">
        <v>93</v>
      </c>
      <c r="C110" s="47">
        <f t="shared" si="13"/>
        <v>297.2</v>
      </c>
      <c r="D110" s="47">
        <f t="shared" si="13"/>
        <v>315.5</v>
      </c>
      <c r="E110" s="47">
        <f t="shared" si="9"/>
        <v>18.3</v>
      </c>
      <c r="F110" s="52">
        <v>294.89999999999998</v>
      </c>
      <c r="G110" s="52">
        <v>314.2</v>
      </c>
      <c r="H110" s="47">
        <f t="shared" si="10"/>
        <v>19.3</v>
      </c>
      <c r="I110" s="52">
        <v>0</v>
      </c>
      <c r="J110" s="52"/>
      <c r="K110" s="47">
        <f t="shared" si="11"/>
        <v>0</v>
      </c>
      <c r="L110" s="52">
        <v>2.2999999999999998</v>
      </c>
      <c r="M110" s="52">
        <v>1.3</v>
      </c>
      <c r="N110" s="47">
        <f t="shared" si="12"/>
        <v>-1</v>
      </c>
    </row>
    <row r="111" spans="1:14" ht="15" customHeight="1" x14ac:dyDescent="0.25">
      <c r="A111" s="8">
        <v>100</v>
      </c>
      <c r="B111" s="11" t="s">
        <v>94</v>
      </c>
      <c r="C111" s="47">
        <f t="shared" si="13"/>
        <v>294.5</v>
      </c>
      <c r="D111" s="47">
        <f t="shared" si="13"/>
        <v>312.2</v>
      </c>
      <c r="E111" s="47">
        <f t="shared" si="9"/>
        <v>17.7</v>
      </c>
      <c r="F111" s="52">
        <v>290.8</v>
      </c>
      <c r="G111" s="52">
        <v>309.8</v>
      </c>
      <c r="H111" s="47">
        <f t="shared" si="10"/>
        <v>19</v>
      </c>
      <c r="I111" s="52">
        <v>0</v>
      </c>
      <c r="J111" s="52"/>
      <c r="K111" s="47">
        <f t="shared" si="11"/>
        <v>0</v>
      </c>
      <c r="L111" s="52">
        <v>3.7</v>
      </c>
      <c r="M111" s="52">
        <v>2.4</v>
      </c>
      <c r="N111" s="47">
        <f t="shared" si="12"/>
        <v>-1.3</v>
      </c>
    </row>
    <row r="112" spans="1:14" ht="15" customHeight="1" x14ac:dyDescent="0.25">
      <c r="A112" s="8">
        <v>101</v>
      </c>
      <c r="B112" s="11" t="s">
        <v>95</v>
      </c>
      <c r="C112" s="47">
        <f t="shared" si="13"/>
        <v>228.2</v>
      </c>
      <c r="D112" s="47">
        <f t="shared" si="13"/>
        <v>223</v>
      </c>
      <c r="E112" s="47">
        <f t="shared" si="9"/>
        <v>-5.2</v>
      </c>
      <c r="F112" s="52">
        <v>225</v>
      </c>
      <c r="G112" s="52">
        <v>221</v>
      </c>
      <c r="H112" s="47">
        <f t="shared" si="10"/>
        <v>-4</v>
      </c>
      <c r="I112" s="52">
        <v>2.6</v>
      </c>
      <c r="J112" s="52">
        <v>1.9</v>
      </c>
      <c r="K112" s="47">
        <f t="shared" si="11"/>
        <v>-0.7</v>
      </c>
      <c r="L112" s="52">
        <v>0.6</v>
      </c>
      <c r="M112" s="52">
        <v>0.1</v>
      </c>
      <c r="N112" s="47">
        <f t="shared" si="12"/>
        <v>-0.5</v>
      </c>
    </row>
    <row r="113" spans="1:14" ht="33" customHeight="1" x14ac:dyDescent="0.25">
      <c r="A113" s="8">
        <v>102</v>
      </c>
      <c r="B113" s="11" t="s">
        <v>96</v>
      </c>
      <c r="C113" s="47">
        <f t="shared" si="13"/>
        <v>287</v>
      </c>
      <c r="D113" s="47">
        <f t="shared" si="13"/>
        <v>306.3</v>
      </c>
      <c r="E113" s="47">
        <f t="shared" si="9"/>
        <v>19.3</v>
      </c>
      <c r="F113" s="52">
        <v>285</v>
      </c>
      <c r="G113" s="52">
        <v>304.2</v>
      </c>
      <c r="H113" s="47">
        <f t="shared" si="10"/>
        <v>19.2</v>
      </c>
      <c r="I113" s="52">
        <v>2</v>
      </c>
      <c r="J113" s="52">
        <v>2.1</v>
      </c>
      <c r="K113" s="47">
        <f t="shared" si="11"/>
        <v>0.1</v>
      </c>
      <c r="L113" s="52">
        <v>0</v>
      </c>
      <c r="M113" s="52"/>
      <c r="N113" s="47">
        <f t="shared" si="12"/>
        <v>0</v>
      </c>
    </row>
    <row r="114" spans="1:14" ht="15" customHeight="1" x14ac:dyDescent="0.25">
      <c r="A114" s="8">
        <v>103</v>
      </c>
      <c r="B114" s="11" t="s">
        <v>97</v>
      </c>
      <c r="C114" s="47">
        <f t="shared" si="13"/>
        <v>71</v>
      </c>
      <c r="D114" s="47">
        <f t="shared" si="13"/>
        <v>82.3</v>
      </c>
      <c r="E114" s="47">
        <f t="shared" si="9"/>
        <v>11.3</v>
      </c>
      <c r="F114" s="52">
        <v>70</v>
      </c>
      <c r="G114" s="52">
        <v>82.3</v>
      </c>
      <c r="H114" s="47">
        <f t="shared" si="10"/>
        <v>12.3</v>
      </c>
      <c r="I114" s="52">
        <v>0</v>
      </c>
      <c r="J114" s="52"/>
      <c r="K114" s="47">
        <f t="shared" si="11"/>
        <v>0</v>
      </c>
      <c r="L114" s="52">
        <v>1</v>
      </c>
      <c r="M114" s="52"/>
      <c r="N114" s="47">
        <f t="shared" si="12"/>
        <v>-1</v>
      </c>
    </row>
    <row r="115" spans="1:14" ht="15" customHeight="1" x14ac:dyDescent="0.25">
      <c r="A115" s="8">
        <v>104</v>
      </c>
      <c r="B115" s="11" t="s">
        <v>98</v>
      </c>
      <c r="C115" s="47">
        <f t="shared" si="13"/>
        <v>176.5</v>
      </c>
      <c r="D115" s="47">
        <f t="shared" si="13"/>
        <v>179</v>
      </c>
      <c r="E115" s="47">
        <f t="shared" si="9"/>
        <v>2.5</v>
      </c>
      <c r="F115" s="52">
        <v>160</v>
      </c>
      <c r="G115" s="52">
        <v>162.5</v>
      </c>
      <c r="H115" s="47">
        <f t="shared" si="10"/>
        <v>2.5</v>
      </c>
      <c r="I115" s="52">
        <v>0</v>
      </c>
      <c r="J115" s="52"/>
      <c r="K115" s="47">
        <f t="shared" si="11"/>
        <v>0</v>
      </c>
      <c r="L115" s="52">
        <v>16.5</v>
      </c>
      <c r="M115" s="52">
        <v>16.5</v>
      </c>
      <c r="N115" s="47">
        <f t="shared" si="12"/>
        <v>0</v>
      </c>
    </row>
    <row r="116" spans="1:14" ht="15" customHeight="1" x14ac:dyDescent="0.25">
      <c r="A116" s="8">
        <v>105</v>
      </c>
      <c r="B116" s="11" t="s">
        <v>99</v>
      </c>
      <c r="C116" s="47">
        <f t="shared" si="13"/>
        <v>147.5</v>
      </c>
      <c r="D116" s="47">
        <f t="shared" si="13"/>
        <v>182.3</v>
      </c>
      <c r="E116" s="47">
        <f t="shared" si="9"/>
        <v>34.799999999999997</v>
      </c>
      <c r="F116" s="52">
        <v>145</v>
      </c>
      <c r="G116" s="52">
        <v>181</v>
      </c>
      <c r="H116" s="47">
        <f t="shared" si="10"/>
        <v>36</v>
      </c>
      <c r="I116" s="52">
        <v>0</v>
      </c>
      <c r="J116" s="52"/>
      <c r="K116" s="47">
        <f t="shared" si="11"/>
        <v>0</v>
      </c>
      <c r="L116" s="52">
        <v>2.5</v>
      </c>
      <c r="M116" s="52">
        <v>1.3</v>
      </c>
      <c r="N116" s="47">
        <f t="shared" si="12"/>
        <v>-1.2</v>
      </c>
    </row>
    <row r="117" spans="1:14" x14ac:dyDescent="0.25">
      <c r="A117" s="8">
        <v>106</v>
      </c>
      <c r="B117" s="11" t="s">
        <v>100</v>
      </c>
      <c r="C117" s="47">
        <f t="shared" si="13"/>
        <v>124</v>
      </c>
      <c r="D117" s="47">
        <f t="shared" si="13"/>
        <v>155.69999999999999</v>
      </c>
      <c r="E117" s="47">
        <f t="shared" si="9"/>
        <v>31.7</v>
      </c>
      <c r="F117" s="52">
        <v>120</v>
      </c>
      <c r="G117" s="52">
        <v>151.69999999999999</v>
      </c>
      <c r="H117" s="47">
        <f t="shared" si="10"/>
        <v>31.7</v>
      </c>
      <c r="I117" s="52">
        <v>0</v>
      </c>
      <c r="J117" s="52"/>
      <c r="K117" s="47">
        <f t="shared" si="11"/>
        <v>0</v>
      </c>
      <c r="L117" s="52">
        <v>4</v>
      </c>
      <c r="M117" s="52">
        <v>4</v>
      </c>
      <c r="N117" s="47">
        <f t="shared" si="12"/>
        <v>0</v>
      </c>
    </row>
    <row r="118" spans="1:14" ht="15" customHeight="1" x14ac:dyDescent="0.25">
      <c r="A118" s="8">
        <v>107</v>
      </c>
      <c r="B118" s="11" t="s">
        <v>101</v>
      </c>
      <c r="C118" s="47">
        <f t="shared" si="13"/>
        <v>111.4</v>
      </c>
      <c r="D118" s="47">
        <f t="shared" si="13"/>
        <v>123.3</v>
      </c>
      <c r="E118" s="47">
        <f t="shared" si="9"/>
        <v>11.9</v>
      </c>
      <c r="F118" s="52">
        <v>110.8</v>
      </c>
      <c r="G118" s="52">
        <v>123</v>
      </c>
      <c r="H118" s="47">
        <f t="shared" si="10"/>
        <v>12.2</v>
      </c>
      <c r="I118" s="52">
        <v>0</v>
      </c>
      <c r="J118" s="52"/>
      <c r="K118" s="47">
        <f t="shared" si="11"/>
        <v>0</v>
      </c>
      <c r="L118" s="52">
        <v>0.6</v>
      </c>
      <c r="M118" s="52">
        <v>0.3</v>
      </c>
      <c r="N118" s="47">
        <f t="shared" si="12"/>
        <v>-0.3</v>
      </c>
    </row>
    <row r="119" spans="1:14" s="10" customFormat="1" ht="31.5" customHeight="1" x14ac:dyDescent="0.25">
      <c r="A119" s="8">
        <v>108</v>
      </c>
      <c r="B119" s="11" t="s">
        <v>102</v>
      </c>
      <c r="C119" s="47">
        <f t="shared" si="13"/>
        <v>230</v>
      </c>
      <c r="D119" s="47">
        <f t="shared" si="13"/>
        <v>277.89999999999998</v>
      </c>
      <c r="E119" s="47">
        <f t="shared" si="9"/>
        <v>47.9</v>
      </c>
      <c r="F119" s="52">
        <v>0</v>
      </c>
      <c r="G119" s="52"/>
      <c r="H119" s="47">
        <f t="shared" si="10"/>
        <v>0</v>
      </c>
      <c r="I119" s="52">
        <v>230</v>
      </c>
      <c r="J119" s="52">
        <v>277.89999999999998</v>
      </c>
      <c r="K119" s="47">
        <f t="shared" si="11"/>
        <v>47.9</v>
      </c>
      <c r="L119" s="52">
        <v>0</v>
      </c>
      <c r="M119" s="52"/>
      <c r="N119" s="47">
        <f t="shared" si="12"/>
        <v>0</v>
      </c>
    </row>
    <row r="120" spans="1:14" ht="15" customHeight="1" x14ac:dyDescent="0.25">
      <c r="A120" s="8">
        <v>109</v>
      </c>
      <c r="B120" s="11" t="s">
        <v>103</v>
      </c>
      <c r="C120" s="47">
        <f t="shared" si="13"/>
        <v>9</v>
      </c>
      <c r="D120" s="47">
        <f t="shared" si="13"/>
        <v>2.9</v>
      </c>
      <c r="E120" s="47">
        <f t="shared" si="9"/>
        <v>-6.1</v>
      </c>
      <c r="F120" s="52">
        <v>0</v>
      </c>
      <c r="G120" s="52"/>
      <c r="H120" s="47">
        <f t="shared" si="10"/>
        <v>0</v>
      </c>
      <c r="I120" s="52">
        <v>4</v>
      </c>
      <c r="J120" s="52">
        <v>2.8</v>
      </c>
      <c r="K120" s="47">
        <f t="shared" si="11"/>
        <v>-1.2</v>
      </c>
      <c r="L120" s="52">
        <v>5</v>
      </c>
      <c r="M120" s="52">
        <v>0.1</v>
      </c>
      <c r="N120" s="47">
        <f t="shared" si="12"/>
        <v>-4.9000000000000004</v>
      </c>
    </row>
    <row r="121" spans="1:14" x14ac:dyDescent="0.25">
      <c r="A121" s="8">
        <v>110</v>
      </c>
      <c r="B121" s="11" t="s">
        <v>113</v>
      </c>
      <c r="C121" s="47">
        <f>F121+I121+L121</f>
        <v>117.9</v>
      </c>
      <c r="D121" s="47">
        <f>G121+J121+M121</f>
        <v>79.3</v>
      </c>
      <c r="E121" s="47">
        <f>D121-C121</f>
        <v>-38.6</v>
      </c>
      <c r="F121" s="52">
        <v>0</v>
      </c>
      <c r="G121" s="52"/>
      <c r="H121" s="47">
        <f t="shared" si="10"/>
        <v>0</v>
      </c>
      <c r="I121" s="52">
        <v>109.2</v>
      </c>
      <c r="J121" s="52">
        <v>76.2</v>
      </c>
      <c r="K121" s="47">
        <f t="shared" si="11"/>
        <v>-33</v>
      </c>
      <c r="L121" s="52">
        <v>8.6999999999999993</v>
      </c>
      <c r="M121" s="52">
        <v>3.1</v>
      </c>
      <c r="N121" s="47">
        <f t="shared" si="12"/>
        <v>-5.6</v>
      </c>
    </row>
    <row r="122" spans="1:14" ht="18.75" customHeight="1" x14ac:dyDescent="0.25">
      <c r="A122" s="8">
        <v>111</v>
      </c>
      <c r="B122" s="11" t="s">
        <v>104</v>
      </c>
      <c r="C122" s="47">
        <f t="shared" si="13"/>
        <v>10</v>
      </c>
      <c r="D122" s="47">
        <f t="shared" si="13"/>
        <v>11.7</v>
      </c>
      <c r="E122" s="47">
        <f t="shared" si="9"/>
        <v>1.7</v>
      </c>
      <c r="F122" s="69">
        <v>0.5</v>
      </c>
      <c r="G122" s="52">
        <v>0.2</v>
      </c>
      <c r="H122" s="47">
        <f t="shared" si="10"/>
        <v>-0.3</v>
      </c>
      <c r="I122" s="70">
        <v>9.5</v>
      </c>
      <c r="J122" s="52">
        <v>11.5</v>
      </c>
      <c r="K122" s="47">
        <f t="shared" si="11"/>
        <v>2</v>
      </c>
      <c r="L122" s="52">
        <v>0</v>
      </c>
      <c r="M122" s="52"/>
      <c r="N122" s="47">
        <f t="shared" si="12"/>
        <v>0</v>
      </c>
    </row>
    <row r="123" spans="1:14" ht="15" customHeight="1" x14ac:dyDescent="0.25">
      <c r="A123" s="8">
        <v>112</v>
      </c>
      <c r="B123" s="14" t="s">
        <v>105</v>
      </c>
      <c r="C123" s="46">
        <f>SUM(C124:C131)</f>
        <v>1582.2</v>
      </c>
      <c r="D123" s="46">
        <f t="shared" ref="D123:N123" si="14">SUM(D124:D131)</f>
        <v>1711.1</v>
      </c>
      <c r="E123" s="46">
        <f t="shared" si="14"/>
        <v>128.9</v>
      </c>
      <c r="F123" s="46">
        <f t="shared" si="14"/>
        <v>1278.4000000000001</v>
      </c>
      <c r="G123" s="46">
        <f t="shared" si="14"/>
        <v>1393.7</v>
      </c>
      <c r="H123" s="46">
        <f t="shared" si="14"/>
        <v>115.3</v>
      </c>
      <c r="I123" s="46">
        <f t="shared" si="14"/>
        <v>303.8</v>
      </c>
      <c r="J123" s="46">
        <f t="shared" si="14"/>
        <v>317.39999999999998</v>
      </c>
      <c r="K123" s="46">
        <f t="shared" si="14"/>
        <v>13.6</v>
      </c>
      <c r="L123" s="46">
        <f t="shared" si="14"/>
        <v>0</v>
      </c>
      <c r="M123" s="46">
        <f t="shared" si="14"/>
        <v>0</v>
      </c>
      <c r="N123" s="46">
        <f t="shared" si="14"/>
        <v>0</v>
      </c>
    </row>
    <row r="124" spans="1:14" ht="15" customHeight="1" x14ac:dyDescent="0.25">
      <c r="A124" s="8">
        <v>113</v>
      </c>
      <c r="B124" s="88" t="s">
        <v>106</v>
      </c>
      <c r="C124" s="47">
        <f t="shared" ref="C124:D130" si="15">F124+I124+L124</f>
        <v>194.3</v>
      </c>
      <c r="D124" s="47">
        <f t="shared" si="15"/>
        <v>205.2</v>
      </c>
      <c r="E124" s="47">
        <f t="shared" si="9"/>
        <v>10.9</v>
      </c>
      <c r="F124" s="52">
        <v>0</v>
      </c>
      <c r="G124" s="52"/>
      <c r="H124" s="47">
        <f t="shared" si="10"/>
        <v>0</v>
      </c>
      <c r="I124" s="52">
        <v>194.3</v>
      </c>
      <c r="J124" s="52">
        <v>205.2</v>
      </c>
      <c r="K124" s="47">
        <f t="shared" si="11"/>
        <v>10.9</v>
      </c>
      <c r="L124" s="52"/>
      <c r="M124" s="52"/>
      <c r="N124" s="47">
        <f t="shared" si="12"/>
        <v>0</v>
      </c>
    </row>
    <row r="125" spans="1:14" ht="15" customHeight="1" x14ac:dyDescent="0.25">
      <c r="A125" s="8">
        <v>114</v>
      </c>
      <c r="B125" s="88" t="s">
        <v>107</v>
      </c>
      <c r="C125" s="47">
        <f t="shared" si="15"/>
        <v>893.9</v>
      </c>
      <c r="D125" s="47">
        <f t="shared" si="15"/>
        <v>933.3</v>
      </c>
      <c r="E125" s="47">
        <f t="shared" si="9"/>
        <v>39.4</v>
      </c>
      <c r="F125" s="52">
        <v>888.2</v>
      </c>
      <c r="G125" s="52">
        <v>926.4</v>
      </c>
      <c r="H125" s="47">
        <f t="shared" si="10"/>
        <v>38.200000000000003</v>
      </c>
      <c r="I125" s="52">
        <v>5.7</v>
      </c>
      <c r="J125" s="52">
        <v>6.9</v>
      </c>
      <c r="K125" s="47">
        <f t="shared" si="11"/>
        <v>1.2</v>
      </c>
      <c r="L125" s="52"/>
      <c r="M125" s="52"/>
      <c r="N125" s="47">
        <f t="shared" si="12"/>
        <v>0</v>
      </c>
    </row>
    <row r="126" spans="1:14" ht="15" customHeight="1" x14ac:dyDescent="0.25">
      <c r="A126" s="8">
        <v>115</v>
      </c>
      <c r="B126" s="88" t="s">
        <v>108</v>
      </c>
      <c r="C126" s="47">
        <f t="shared" si="15"/>
        <v>204.8</v>
      </c>
      <c r="D126" s="47">
        <f t="shared" si="15"/>
        <v>226</v>
      </c>
      <c r="E126" s="47">
        <f t="shared" si="9"/>
        <v>21.2</v>
      </c>
      <c r="F126" s="52">
        <v>107</v>
      </c>
      <c r="G126" s="52">
        <v>117.7</v>
      </c>
      <c r="H126" s="47">
        <f t="shared" si="10"/>
        <v>10.7</v>
      </c>
      <c r="I126" s="52">
        <v>97.8</v>
      </c>
      <c r="J126" s="52">
        <v>108.3</v>
      </c>
      <c r="K126" s="47">
        <f t="shared" si="11"/>
        <v>10.5</v>
      </c>
      <c r="L126" s="52"/>
      <c r="M126" s="52"/>
      <c r="N126" s="47">
        <f t="shared" si="12"/>
        <v>0</v>
      </c>
    </row>
    <row r="127" spans="1:14" ht="15" customHeight="1" x14ac:dyDescent="0.25">
      <c r="A127" s="8">
        <v>116</v>
      </c>
      <c r="B127" s="88" t="s">
        <v>109</v>
      </c>
      <c r="C127" s="47">
        <f t="shared" si="15"/>
        <v>9</v>
      </c>
      <c r="D127" s="47">
        <f t="shared" si="15"/>
        <v>15.2</v>
      </c>
      <c r="E127" s="47">
        <f t="shared" si="9"/>
        <v>6.2</v>
      </c>
      <c r="F127" s="52">
        <v>9</v>
      </c>
      <c r="G127" s="52">
        <v>15.2</v>
      </c>
      <c r="H127" s="47">
        <f t="shared" si="10"/>
        <v>6.2</v>
      </c>
      <c r="I127" s="52">
        <v>0</v>
      </c>
      <c r="J127" s="52"/>
      <c r="K127" s="47">
        <f t="shared" si="11"/>
        <v>0</v>
      </c>
      <c r="L127" s="52"/>
      <c r="M127" s="52"/>
      <c r="N127" s="47">
        <f t="shared" si="12"/>
        <v>0</v>
      </c>
    </row>
    <row r="128" spans="1:14" ht="15" customHeight="1" x14ac:dyDescent="0.25">
      <c r="A128" s="8">
        <v>117</v>
      </c>
      <c r="B128" s="11" t="s">
        <v>110</v>
      </c>
      <c r="C128" s="47">
        <f t="shared" si="15"/>
        <v>26.7</v>
      </c>
      <c r="D128" s="47">
        <f t="shared" si="15"/>
        <v>33.299999999999997</v>
      </c>
      <c r="E128" s="47">
        <f t="shared" si="9"/>
        <v>6.6</v>
      </c>
      <c r="F128" s="52">
        <v>20.7</v>
      </c>
      <c r="G128" s="52">
        <v>28.3</v>
      </c>
      <c r="H128" s="47">
        <f t="shared" si="10"/>
        <v>7.6</v>
      </c>
      <c r="I128" s="52">
        <v>6</v>
      </c>
      <c r="J128" s="52">
        <v>5</v>
      </c>
      <c r="K128" s="47">
        <f t="shared" si="11"/>
        <v>-1</v>
      </c>
      <c r="L128" s="52"/>
      <c r="M128" s="52"/>
      <c r="N128" s="47">
        <f t="shared" si="12"/>
        <v>0</v>
      </c>
    </row>
    <row r="129" spans="1:14" x14ac:dyDescent="0.25">
      <c r="A129" s="8">
        <v>118</v>
      </c>
      <c r="B129" s="11" t="s">
        <v>111</v>
      </c>
      <c r="C129" s="47">
        <f t="shared" si="15"/>
        <v>251.5</v>
      </c>
      <c r="D129" s="47">
        <f t="shared" si="15"/>
        <v>301.89999999999998</v>
      </c>
      <c r="E129" s="47">
        <f t="shared" si="9"/>
        <v>50.4</v>
      </c>
      <c r="F129" s="52">
        <v>251.5</v>
      </c>
      <c r="G129" s="52">
        <v>301.89999999999998</v>
      </c>
      <c r="H129" s="47">
        <f t="shared" si="10"/>
        <v>50.4</v>
      </c>
      <c r="I129" s="52"/>
      <c r="J129" s="52"/>
      <c r="K129" s="47">
        <f t="shared" si="11"/>
        <v>0</v>
      </c>
      <c r="L129" s="52"/>
      <c r="M129" s="52"/>
      <c r="N129" s="47">
        <f t="shared" si="12"/>
        <v>0</v>
      </c>
    </row>
    <row r="130" spans="1:14" ht="31.5" x14ac:dyDescent="0.25">
      <c r="A130" s="8">
        <v>119</v>
      </c>
      <c r="B130" s="11" t="s">
        <v>112</v>
      </c>
      <c r="C130" s="47">
        <f t="shared" si="15"/>
        <v>2</v>
      </c>
      <c r="D130" s="47">
        <f t="shared" si="15"/>
        <v>4.2</v>
      </c>
      <c r="E130" s="47">
        <f t="shared" si="9"/>
        <v>2.2000000000000002</v>
      </c>
      <c r="F130" s="52">
        <v>2</v>
      </c>
      <c r="G130" s="52">
        <v>4.2</v>
      </c>
      <c r="H130" s="47">
        <f t="shared" si="10"/>
        <v>2.2000000000000002</v>
      </c>
      <c r="I130" s="52"/>
      <c r="J130" s="52"/>
      <c r="K130" s="47">
        <f t="shared" si="11"/>
        <v>0</v>
      </c>
      <c r="L130" s="52"/>
      <c r="M130" s="52"/>
      <c r="N130" s="47">
        <f t="shared" si="12"/>
        <v>0</v>
      </c>
    </row>
    <row r="131" spans="1:14" x14ac:dyDescent="0.25">
      <c r="A131" s="8">
        <v>120</v>
      </c>
      <c r="B131" s="11" t="s">
        <v>289</v>
      </c>
      <c r="C131" s="47">
        <f t="shared" ref="C131" si="16">F131+I131+L131</f>
        <v>0</v>
      </c>
      <c r="D131" s="47">
        <f t="shared" ref="D131" si="17">G131+J131+M131</f>
        <v>-8</v>
      </c>
      <c r="E131" s="47">
        <f t="shared" ref="E131" si="18">D131-C131</f>
        <v>-8</v>
      </c>
      <c r="F131" s="52"/>
      <c r="G131" s="52"/>
      <c r="H131" s="47"/>
      <c r="I131" s="52"/>
      <c r="J131" s="52">
        <v>-8</v>
      </c>
      <c r="K131" s="47">
        <f>+J131-I131</f>
        <v>-8</v>
      </c>
      <c r="L131" s="52"/>
      <c r="M131" s="52"/>
      <c r="N131" s="47"/>
    </row>
    <row r="132" spans="1:14" x14ac:dyDescent="0.25">
      <c r="A132" s="8">
        <v>121</v>
      </c>
      <c r="B132" s="9" t="s">
        <v>3</v>
      </c>
      <c r="C132" s="50">
        <f t="shared" ref="C132:N132" si="19">+C123+C16+C13+C12</f>
        <v>20990.6</v>
      </c>
      <c r="D132" s="50">
        <f t="shared" si="19"/>
        <v>22521.7</v>
      </c>
      <c r="E132" s="50">
        <f t="shared" si="19"/>
        <v>1531.1</v>
      </c>
      <c r="F132" s="50">
        <f t="shared" si="19"/>
        <v>15547.6</v>
      </c>
      <c r="G132" s="50">
        <f t="shared" si="19"/>
        <v>16727.099999999999</v>
      </c>
      <c r="H132" s="50">
        <f t="shared" si="19"/>
        <v>1179.5</v>
      </c>
      <c r="I132" s="50">
        <f t="shared" si="19"/>
        <v>4921.2</v>
      </c>
      <c r="J132" s="50">
        <f t="shared" si="19"/>
        <v>5353.2</v>
      </c>
      <c r="K132" s="50">
        <f t="shared" si="19"/>
        <v>432</v>
      </c>
      <c r="L132" s="50">
        <f t="shared" si="19"/>
        <v>521.79999999999995</v>
      </c>
      <c r="M132" s="50">
        <f t="shared" si="19"/>
        <v>441.4</v>
      </c>
      <c r="N132" s="50">
        <f t="shared" si="19"/>
        <v>-80.400000000000006</v>
      </c>
    </row>
    <row r="133" spans="1:14" x14ac:dyDescent="0.25">
      <c r="B133" s="71"/>
      <c r="C133" s="32"/>
      <c r="D133" s="32"/>
      <c r="E133" s="35"/>
      <c r="F133" s="32"/>
      <c r="G133" s="76"/>
      <c r="K133" s="13"/>
    </row>
    <row r="134" spans="1:14" x14ac:dyDescent="0.25">
      <c r="B134" s="72"/>
    </row>
    <row r="135" spans="1:14" x14ac:dyDescent="0.25">
      <c r="B135" s="15"/>
    </row>
  </sheetData>
  <mergeCells count="7">
    <mergeCell ref="A8:A10"/>
    <mergeCell ref="B8:B10"/>
    <mergeCell ref="F8:N8"/>
    <mergeCell ref="F9:H9"/>
    <mergeCell ref="I9:K9"/>
    <mergeCell ref="L9:N9"/>
    <mergeCell ref="C8:E9"/>
  </mergeCells>
  <pageMargins left="0.78740157480314965" right="0.39370078740157483" top="0.78740157480314965" bottom="0.39370078740157483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1pr. pajamos</vt:lpstr>
      <vt:lpstr>1 pr. asignavimai</vt:lpstr>
      <vt:lpstr>2 pr.</vt:lpstr>
      <vt:lpstr>3 pr.</vt:lpstr>
      <vt:lpstr>4 pr.</vt:lpstr>
      <vt:lpstr>'1 pr. asignavimai'!Print_Titles</vt:lpstr>
      <vt:lpstr>'1pr. pajamos'!Print_Titles</vt:lpstr>
      <vt:lpstr>'2 pr.'!Print_Titles</vt:lpstr>
      <vt:lpstr>'4 pr.'!Print_Titles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2015-07-16T06:16:32Z</cp:lastPrinted>
  <dcterms:created xsi:type="dcterms:W3CDTF">2013-11-22T06:09:34Z</dcterms:created>
  <dcterms:modified xsi:type="dcterms:W3CDTF">2015-08-03T14:06:46Z</dcterms:modified>
</cp:coreProperties>
</file>