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645" windowWidth="15480" windowHeight="10740" firstSheet="1" activeTab="1"/>
  </bookViews>
  <sheets>
    <sheet name="2 programa" sheetId="8" state="hidden" r:id="rId1"/>
    <sheet name="2015 MVP" sheetId="9" r:id="rId2"/>
    <sheet name="Lyginamasis variantas" sheetId="10" r:id="rId3"/>
    <sheet name="Asignavimų valdytojų kodai" sheetId="3" state="hidden" r:id="rId4"/>
  </sheets>
  <definedNames>
    <definedName name="_xlnm.Print_Area" localSheetId="0">'2 programa'!$A$1:$N$70</definedName>
    <definedName name="_xlnm.Print_Area" localSheetId="1">'2015 MVP'!$A$1:$M$79</definedName>
    <definedName name="_xlnm.Print_Area" localSheetId="2">'Lyginamasis variantas'!$A$1:$O$74</definedName>
    <definedName name="_xlnm.Print_Titles" localSheetId="0">'2 programa'!$5:$7</definedName>
    <definedName name="_xlnm.Print_Titles" localSheetId="1">'2015 MVP'!$13:$15</definedName>
    <definedName name="_xlnm.Print_Titles" localSheetId="2">'Lyginamasis variantas'!$8:$10</definedName>
  </definedNames>
  <calcPr calcId="145621" fullPrecision="0"/>
</workbook>
</file>

<file path=xl/calcChain.xml><?xml version="1.0" encoding="utf-8"?>
<calcChain xmlns="http://schemas.openxmlformats.org/spreadsheetml/2006/main">
  <c r="K57" i="9" l="1"/>
  <c r="K56" i="9"/>
  <c r="K55" i="9"/>
  <c r="M65" i="10"/>
  <c r="M57" i="10"/>
  <c r="M58" i="10"/>
  <c r="M59" i="10"/>
  <c r="M53" i="10"/>
  <c r="M51" i="10"/>
  <c r="M52" i="10"/>
  <c r="M50" i="10"/>
  <c r="L52" i="10"/>
  <c r="L51" i="10"/>
  <c r="L50" i="10"/>
  <c r="K69" i="10" l="1"/>
  <c r="L72" i="10" l="1"/>
  <c r="L68" i="10"/>
  <c r="L67" i="10"/>
  <c r="L66" i="10"/>
  <c r="L65" i="10"/>
  <c r="L71" i="10"/>
  <c r="L70" i="10"/>
  <c r="L54" i="10"/>
  <c r="L56" i="10" s="1"/>
  <c r="L53" i="10"/>
  <c r="L44" i="10"/>
  <c r="L43" i="10"/>
  <c r="L42" i="10"/>
  <c r="L45" i="10" s="1"/>
  <c r="L40" i="10"/>
  <c r="L39" i="10"/>
  <c r="L37" i="10"/>
  <c r="L36" i="10"/>
  <c r="L33" i="10"/>
  <c r="L29" i="10"/>
  <c r="L30" i="10" s="1"/>
  <c r="L21" i="10"/>
  <c r="L20" i="10"/>
  <c r="L28" i="10" s="1"/>
  <c r="L31" i="10" s="1"/>
  <c r="L46" i="10" s="1"/>
  <c r="L19" i="10"/>
  <c r="L15" i="10"/>
  <c r="K72" i="10"/>
  <c r="K71" i="10"/>
  <c r="K70" i="10"/>
  <c r="K68" i="10"/>
  <c r="K67" i="10"/>
  <c r="K54" i="10"/>
  <c r="K56" i="10" s="1"/>
  <c r="K57" i="10" s="1"/>
  <c r="K58" i="10" s="1"/>
  <c r="K53" i="10"/>
  <c r="K43" i="10"/>
  <c r="K44" i="10" s="1"/>
  <c r="K40" i="10"/>
  <c r="K42" i="10" s="1"/>
  <c r="K37" i="10"/>
  <c r="K39" i="10" s="1"/>
  <c r="K33" i="10"/>
  <c r="K36" i="10" s="1"/>
  <c r="K29" i="10"/>
  <c r="K30" i="10" s="1"/>
  <c r="K21" i="10"/>
  <c r="K66" i="10" s="1"/>
  <c r="K20" i="10"/>
  <c r="K15" i="10"/>
  <c r="L57" i="10" l="1"/>
  <c r="L58" i="10" s="1"/>
  <c r="L64" i="10"/>
  <c r="K65" i="10"/>
  <c r="K64" i="10" s="1"/>
  <c r="K73" i="10" s="1"/>
  <c r="K45" i="10"/>
  <c r="K28" i="10"/>
  <c r="K31" i="10" s="1"/>
  <c r="K46" i="10" s="1"/>
  <c r="K59" i="10" s="1"/>
  <c r="K19" i="10"/>
  <c r="L59" i="10" l="1"/>
  <c r="M71" i="10"/>
  <c r="M72" i="10" l="1"/>
  <c r="M70" i="10"/>
  <c r="M67" i="10"/>
  <c r="M68" i="10"/>
  <c r="M66" i="10"/>
  <c r="I70" i="8"/>
  <c r="J70" i="8"/>
  <c r="I61" i="8"/>
  <c r="J61" i="8"/>
  <c r="M64" i="10" l="1"/>
  <c r="M69" i="10"/>
  <c r="L69" i="10"/>
  <c r="L73" i="10" s="1"/>
  <c r="K73" i="9"/>
  <c r="H65" i="8"/>
  <c r="M73" i="10" l="1"/>
  <c r="K26" i="9"/>
  <c r="K59" i="9"/>
  <c r="K48" i="9"/>
  <c r="K45" i="9"/>
  <c r="K42" i="9"/>
  <c r="K38" i="9"/>
  <c r="K34" i="9"/>
  <c r="K25" i="9"/>
  <c r="K20" i="9"/>
  <c r="K41" i="9"/>
  <c r="K77" i="9" l="1"/>
  <c r="K76" i="9"/>
  <c r="K75" i="9"/>
  <c r="K72" i="9"/>
  <c r="K71" i="9"/>
  <c r="K61" i="9"/>
  <c r="K58" i="9"/>
  <c r="K62" i="9" l="1"/>
  <c r="K74" i="9"/>
  <c r="K49" i="9" l="1"/>
  <c r="K47" i="9"/>
  <c r="K44" i="9"/>
  <c r="K35" i="9"/>
  <c r="K70" i="9"/>
  <c r="K69" i="9" s="1"/>
  <c r="K78" i="9" s="1"/>
  <c r="K24" i="9" l="1"/>
  <c r="K50" i="9"/>
  <c r="K63" i="9"/>
  <c r="K33" i="9"/>
  <c r="K36" i="9" s="1"/>
  <c r="J47" i="8"/>
  <c r="I47" i="8"/>
  <c r="J52" i="8"/>
  <c r="I52" i="8"/>
  <c r="I51" i="8"/>
  <c r="J51" i="8"/>
  <c r="J50" i="8"/>
  <c r="I50" i="8"/>
  <c r="H49" i="8"/>
  <c r="J45" i="8"/>
  <c r="I45" i="8"/>
  <c r="J38" i="8"/>
  <c r="I38" i="8"/>
  <c r="H38" i="8"/>
  <c r="J35" i="8"/>
  <c r="I35" i="8"/>
  <c r="H35" i="8"/>
  <c r="J32" i="8"/>
  <c r="I32" i="8"/>
  <c r="H32" i="8"/>
  <c r="J28" i="8"/>
  <c r="I28" i="8"/>
  <c r="H28" i="8"/>
  <c r="H23" i="8"/>
  <c r="H18" i="8"/>
  <c r="J17" i="8"/>
  <c r="I17" i="8"/>
  <c r="H17" i="8"/>
  <c r="J12" i="8"/>
  <c r="I12" i="8"/>
  <c r="H12" i="8"/>
  <c r="K51" i="9" l="1"/>
  <c r="K64" i="9" s="1"/>
  <c r="H62" i="8" l="1"/>
  <c r="H64" i="8" l="1"/>
  <c r="H68" i="8"/>
  <c r="I68" i="8"/>
  <c r="J68" i="8"/>
  <c r="J25" i="8" l="1"/>
  <c r="I25" i="8"/>
  <c r="H25" i="8"/>
  <c r="H69" i="8" l="1"/>
  <c r="H67" i="8"/>
  <c r="H63" i="8"/>
  <c r="H61" i="8" s="1"/>
  <c r="H53" i="8"/>
  <c r="H48" i="8"/>
  <c r="H39" i="8"/>
  <c r="H37" i="8"/>
  <c r="H34" i="8"/>
  <c r="H31" i="8"/>
  <c r="H22" i="8"/>
  <c r="H16" i="8"/>
  <c r="J69" i="8"/>
  <c r="I69" i="8"/>
  <c r="J67" i="8"/>
  <c r="I67" i="8"/>
  <c r="J63" i="8"/>
  <c r="I63" i="8"/>
  <c r="J62" i="8"/>
  <c r="I62" i="8"/>
  <c r="J53" i="8"/>
  <c r="I53" i="8"/>
  <c r="J48" i="8"/>
  <c r="I48" i="8"/>
  <c r="J39" i="8"/>
  <c r="I39" i="8"/>
  <c r="J37" i="8"/>
  <c r="I37" i="8"/>
  <c r="J34" i="8"/>
  <c r="I34" i="8"/>
  <c r="J31" i="8"/>
  <c r="I31" i="8"/>
  <c r="J22" i="8"/>
  <c r="I22" i="8"/>
  <c r="J16" i="8"/>
  <c r="I16" i="8"/>
  <c r="H26" i="8" l="1"/>
  <c r="I26" i="8"/>
  <c r="J26" i="8"/>
  <c r="H54" i="8"/>
  <c r="H55" i="8" s="1"/>
  <c r="I66" i="8"/>
  <c r="H66" i="8"/>
  <c r="H70" i="8" s="1"/>
  <c r="I54" i="8"/>
  <c r="I55" i="8" s="1"/>
  <c r="J54" i="8"/>
  <c r="J55" i="8" s="1"/>
  <c r="H40" i="8"/>
  <c r="I40" i="8"/>
  <c r="J40" i="8"/>
  <c r="J66" i="8"/>
  <c r="H41" i="8" l="1"/>
  <c r="H56" i="8" s="1"/>
  <c r="J41" i="8"/>
  <c r="J56" i="8" s="1"/>
  <c r="I41" i="8"/>
  <c r="I56" i="8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3.2.3.2. </t>
        </r>
        <r>
          <rPr>
            <sz val="9"/>
            <color indexed="81"/>
            <rFont val="Tahoma"/>
            <family val="2"/>
            <charset val="186"/>
          </rPr>
          <t xml:space="preserve">Įgyvendinti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20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3.2.3.2. </t>
        </r>
        <r>
          <rPr>
            <sz val="9"/>
            <color indexed="81"/>
            <rFont val="Tahoma"/>
            <family val="2"/>
            <charset val="186"/>
          </rPr>
          <t>Įg</t>
        </r>
        <r>
          <rPr>
            <sz val="9"/>
            <color indexed="81"/>
            <rFont val="Tahoma"/>
            <family val="2"/>
            <charset val="186"/>
          </rPr>
          <t xml:space="preserve">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3.2.3.2. </t>
        </r>
        <r>
          <rPr>
            <sz val="9"/>
            <color indexed="81"/>
            <rFont val="Tahoma"/>
            <family val="2"/>
            <charset val="186"/>
          </rPr>
          <t>Įg</t>
        </r>
        <r>
          <rPr>
            <sz val="9"/>
            <color indexed="81"/>
            <rFont val="Tahoma"/>
            <family val="2"/>
            <charset val="186"/>
          </rPr>
          <t xml:space="preserve">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</commentList>
</comments>
</file>

<file path=xl/sharedStrings.xml><?xml version="1.0" encoding="utf-8"?>
<sst xmlns="http://schemas.openxmlformats.org/spreadsheetml/2006/main" count="540" uniqueCount="161">
  <si>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</si>
  <si>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</si>
  <si>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</si>
  <si>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</si>
  <si>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</si>
  <si>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</si>
  <si>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</si>
  <si>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</si>
  <si>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</si>
  <si>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</si>
  <si>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</si>
  <si>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</si>
  <si>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</si>
  <si>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</si>
  <si>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</si>
  <si>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</si>
  <si>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</si>
  <si>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</si>
  <si>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</si>
  <si>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</si>
  <si>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</si>
  <si>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</si>
  <si>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</si>
  <si>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</si>
  <si>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</si>
  <si>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</si>
  <si>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</si>
  <si>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</si>
  <si>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</si>
  <si>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</si>
  <si>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</si>
  <si>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</si>
  <si>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</si>
  <si>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</si>
  <si>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</si>
  <si>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</si>
  <si>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</si>
  <si>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</si>
  <si>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2015-ieji metai</t>
  </si>
  <si>
    <t>SB</t>
  </si>
  <si>
    <t>Papriemonės kodas</t>
  </si>
  <si>
    <t>03</t>
  </si>
  <si>
    <t>04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</si>
  <si>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</si>
  <si>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</si>
  <si>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</si>
  <si>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</si>
  <si>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</si>
  <si>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</si>
  <si>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</si>
  <si>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</si>
  <si>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</si>
  <si>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</si>
  <si>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I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</si>
  <si>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</si>
  <si>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</si>
  <si>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</si>
  <si>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</si>
  <si>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</si>
  <si>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</si>
  <si>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>Aptarnauta turistų (suteikta inform.), tūkst. vnt.</t>
  </si>
  <si>
    <t>2016-ųjų metų lėšų projektas</t>
  </si>
  <si>
    <t>2016-ieji metai</t>
  </si>
  <si>
    <t>P3.2.1.1.</t>
  </si>
  <si>
    <t>P3.2.2.1, P3.2.2.3</t>
  </si>
  <si>
    <t>P3.2.3.2, P3.2.3.3</t>
  </si>
  <si>
    <t>P3.2.2.1</t>
  </si>
  <si>
    <t xml:space="preserve">Atvykusių kruizinių laivų skaičus, vnt. </t>
  </si>
  <si>
    <t xml:space="preserve">Įvykusių jūrinių renginių skaičius, vnt. </t>
  </si>
  <si>
    <t xml:space="preserve">Didžiųjų burlaivių regatos „The Tall Ships Races“ programos įgyvendinimas </t>
  </si>
  <si>
    <t>Dalyvauta tarptautiniuose renginiuose, kartų</t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</si>
  <si>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</si>
  <si>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</si>
  <si>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</si>
  <si>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t>2015-ųjų metų asignavimų planas</t>
  </si>
  <si>
    <t>2017-ųjų metų lėšų projektas</t>
  </si>
  <si>
    <t>2016-ųjų m. lėšų poreikis</t>
  </si>
  <si>
    <t>2017-ųjų m. lėšų poreikis</t>
  </si>
  <si>
    <t>Atlikta pristatymų dėl miesto turizmo galimybių  užsienio žurnalistams, vnt.</t>
  </si>
  <si>
    <t>IED Tarptautinių ryšių, verslo plėtros ir turizmo sk.</t>
  </si>
  <si>
    <t>IED Projektų sk.</t>
  </si>
  <si>
    <t>2017-ieji metai</t>
  </si>
  <si>
    <t>Dalyvauta specializuotose kruizinės laivybos parodose</t>
  </si>
  <si>
    <t>Atplaukusių burlaivių ir jachtų į uostą skaičius, vnt.</t>
  </si>
  <si>
    <t>Išleistų specializuotų leidinių kruizinių laivų turistams, tūkst. egz.</t>
  </si>
  <si>
    <t>Dienpinigiai</t>
  </si>
  <si>
    <t>Įvykdytos  Didžiųjų burlaivių regatos (DBR) sutartys, vnt</t>
  </si>
  <si>
    <t>Suorganizuotos DBR paslaugos</t>
  </si>
  <si>
    <t>Įvykdytas generalinės konferencijos dalyvio mokestis</t>
  </si>
  <si>
    <t>LRVB</t>
  </si>
  <si>
    <t>Kelionės, nakvynės išlaidos (bilietas, viešbutis), vnt.</t>
  </si>
  <si>
    <t>Pagaminta suvenyrų, vnt.</t>
  </si>
  <si>
    <t>Projektų, gerinančių turizmo sąlygas Klaipėdos mieste, įgyvendinimas</t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</si>
  <si>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</si>
  <si>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</si>
  <si>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Atlikti rekonstravimo darbai:
</t>
  </si>
  <si>
    <t>Atlikti įrengimo darbai, proc.</t>
  </si>
  <si>
    <t>Atliktas projektinės idėjos konkursas</t>
  </si>
  <si>
    <t>Parengta pristatymo apie Klaipėda turistinio–jūrinio filmuko USB laikmena, vnt.</t>
  </si>
  <si>
    <t xml:space="preserve"> 2015–2017 M. KLAIPĖDOS MIESTO SAVIVALDYBĖS                                                                     </t>
  </si>
  <si>
    <t>2015 m. asignavimų planas</t>
  </si>
  <si>
    <t>`</t>
  </si>
  <si>
    <t>Įvykdytas renginys, vnt.</t>
  </si>
  <si>
    <t>SB(VB)</t>
  </si>
  <si>
    <r>
      <t xml:space="preserve">Valstybės biudžeto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</si>
  <si>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</si>
  <si>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Dalyvauta specializuotose kruizinės laivybos parodose, kartai</t>
  </si>
  <si>
    <t>Išleista specializuotų leidinių kruizinių laivų turistams, tūkst. egz.</t>
  </si>
  <si>
    <t>Dalyvauta tarptautiniuose renginiuose, kartai</t>
  </si>
  <si>
    <t>Atplaukusių į uostą burlaivių ir jachtų  skaičius, vnt.</t>
  </si>
  <si>
    <t>Įvykdytos  Didžiųjų burlaivių regatos sutartys, vnt.</t>
  </si>
  <si>
    <t>Sumokėtas generalinės konferencijos dalyvio mokestis, vnt.</t>
  </si>
  <si>
    <t>Parengtas pristatymas apie Klaipėdą (USB laikmena), vnt.</t>
  </si>
  <si>
    <t>Įgyvendintas rinkodaros priemonių (straipsniai, internetinio puslapio atnaujinimas, leidiniai ir brošiūros) paketas, vnt.</t>
  </si>
  <si>
    <t>Įgyvendinta renginio programa, vnt.</t>
  </si>
  <si>
    <t xml:space="preserve">     </t>
  </si>
  <si>
    <t>Organizuota miesto turizmo galimybių pristatymų užsienio žurnalistams, vnt.</t>
  </si>
  <si>
    <r>
      <t>I</t>
    </r>
    <r>
      <rPr>
        <sz val="10"/>
        <rFont val="Times New Roman"/>
        <family val="1"/>
        <charset val="186"/>
      </rPr>
      <t>šleista informacinių leidinių apie Klaipėdos miestą, skirtų parodoms, tūkst. egz.</t>
    </r>
  </si>
  <si>
    <t xml:space="preserve">II etapas: atkurta šiaurinė kurtina;                     atlikti bastionų tvarkybos darbai;                              įrengti inžineriniai tinklai. Užbaigtumas, proc. </t>
  </si>
  <si>
    <t>Organizuotas projekto idėjos konkursas</t>
  </si>
  <si>
    <t xml:space="preserve">Atvykusių kruizinių laivų skaičius, vnt. </t>
  </si>
  <si>
    <t>P3.2.1.7</t>
  </si>
  <si>
    <t>P3.2.3.1</t>
  </si>
  <si>
    <t>Eur</t>
  </si>
  <si>
    <t>Planas</t>
  </si>
  <si>
    <t>Sukurtų programėlių skaičius, vnt.</t>
  </si>
  <si>
    <t>I etapas: atkurta rytinė kurtina;
restauruotas Antrojo pasaulinio karo laikų sandėlis; įrengti inžineriniai tinklai.
Užbaigtumas, proc.</t>
  </si>
  <si>
    <t xml:space="preserve">Regatos „Baltic Sail“ įgyvendinimas </t>
  </si>
  <si>
    <t>Nuolat atnaujinama turizmo informacijos sistema www.klaipedainfo.lt, kart./mėn.</t>
  </si>
  <si>
    <t>Jono kalnelio ir prieigų sutvarkymas, sukuriant išskirtinį kultūros ir turizmo traukos centrą bei skatinant smulkųjį ir vidutinį verslą</t>
  </si>
  <si>
    <t>Įvykdytos rinkodaros priemonės (straipsniai, internetinio tinklalapio atnaujinimas, leidiniai ir brošiūros)</t>
  </si>
  <si>
    <t xml:space="preserve">2015 M. KLAIPĖDOS MIESTO SAVIVALDYBĖS ADMINISTRACIJOS                                                                   </t>
  </si>
  <si>
    <t>Apskaitos kodas</t>
  </si>
  <si>
    <t>2015-ųjų metų asignavimų planas*</t>
  </si>
  <si>
    <t>Indėlio kriterijaus</t>
  </si>
  <si>
    <t>I etapas: atkurta rytinė kurtina; restauruotas Antrojo pasaulinio karo laikų sandėlis; įrengti inžineriniai tinklai. Užbaigtumas, proc.</t>
  </si>
  <si>
    <t>II etapas prasidės 2016 m.</t>
  </si>
  <si>
    <t xml:space="preserve"> </t>
  </si>
  <si>
    <t xml:space="preserve">Iš viso programai:  </t>
  </si>
  <si>
    <t xml:space="preserve">Iš viso programai: : </t>
  </si>
  <si>
    <t>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</si>
  <si>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</si>
  <si>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</si>
  <si>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Turizmo dienai paminėti surengta nemokamų ekskursijų po miestą, vnt.</t>
  </si>
  <si>
    <t>02.010102</t>
  </si>
  <si>
    <t xml:space="preserve">02.010101 </t>
  </si>
  <si>
    <t>02.010104</t>
  </si>
  <si>
    <t>02.010201</t>
  </si>
  <si>
    <t>02.01030100</t>
  </si>
  <si>
    <t>02.010302</t>
  </si>
  <si>
    <t>02.010303</t>
  </si>
  <si>
    <t>02.02010401</t>
  </si>
  <si>
    <t xml:space="preserve"> 02.020106</t>
  </si>
  <si>
    <t>PATVIRTINTA
Klaipėdos miesto savivaldybės administracijos direktoriaus 2015 m. vasario 27 d. įsakymu Nr. AD1-533</t>
  </si>
  <si>
    <t>Siūlomas keisti 2015-ųjų metų asignavimų planas**</t>
  </si>
  <si>
    <t>Skirtumas</t>
  </si>
  <si>
    <t>Parengtas investicijų projektas, vnt.</t>
  </si>
  <si>
    <t>Lyginamasis variantas</t>
  </si>
  <si>
    <t>* pagal Klaipėdos miesto savivaldybės tarybos sprendimą 2015-06-11 Nr. T2-129</t>
  </si>
  <si>
    <t>* pagal Klaipėdos miesto savivaldybės tarybos sprendimą 2015-07-10 Nr. T2-145</t>
  </si>
  <si>
    <t xml:space="preserve">(Klaipėdos miesto savivaldybės administracijos direktoriaus 2015 m. liepos 16 d. įsakymo Nr. AD1-2134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</si>
</sst>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9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3" fillId="0" borderId="23" xfId="0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center" wrapText="1"/>
    </xf>
    <xf numFmtId="0" fontId="8" fillId="0" borderId="0" xfId="0" applyFont="1"/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3" borderId="26" xfId="0" applyNumberFormat="1" applyFont="1" applyFill="1" applyBorder="1" applyAlignment="1">
      <alignment horizontal="center" vertical="top"/>
    </xf>
    <xf numFmtId="3" fontId="3" fillId="3" borderId="27" xfId="0" applyNumberFormat="1" applyFont="1" applyFill="1" applyBorder="1" applyAlignment="1">
      <alignment horizontal="center" vertical="top"/>
    </xf>
    <xf numFmtId="49" fontId="5" fillId="4" borderId="37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5" fillId="7" borderId="40" xfId="0" applyFont="1" applyFill="1" applyBorder="1" applyAlignment="1">
      <alignment horizontal="center" vertical="top"/>
    </xf>
    <xf numFmtId="0" fontId="5" fillId="7" borderId="41" xfId="0" applyFont="1" applyFill="1" applyBorder="1" applyAlignment="1">
      <alignment horizontal="center" vertical="top"/>
    </xf>
    <xf numFmtId="0" fontId="14" fillId="8" borderId="65" xfId="0" applyFont="1" applyFill="1" applyBorder="1" applyAlignment="1">
      <alignment horizontal="left" vertical="top" wrapText="1"/>
    </xf>
    <xf numFmtId="3" fontId="3" fillId="8" borderId="26" xfId="0" applyNumberFormat="1" applyFont="1" applyFill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25" xfId="0" applyNumberFormat="1" applyFont="1" applyFill="1" applyBorder="1" applyAlignment="1">
      <alignment horizontal="center" vertical="top"/>
    </xf>
    <xf numFmtId="0" fontId="3" fillId="8" borderId="64" xfId="0" applyFont="1" applyFill="1" applyBorder="1" applyAlignment="1">
      <alignment horizontal="left" vertical="top" wrapText="1"/>
    </xf>
    <xf numFmtId="49" fontId="5" fillId="9" borderId="13" xfId="0" applyNumberFormat="1" applyFont="1" applyFill="1" applyBorder="1" applyAlignment="1">
      <alignment horizontal="center" vertical="top" wrapText="1"/>
    </xf>
    <xf numFmtId="49" fontId="5" fillId="9" borderId="13" xfId="0" applyNumberFormat="1" applyFont="1" applyFill="1" applyBorder="1" applyAlignment="1">
      <alignment horizontal="center" vertical="top"/>
    </xf>
    <xf numFmtId="49" fontId="5" fillId="9" borderId="37" xfId="0" applyNumberFormat="1" applyFont="1" applyFill="1" applyBorder="1" applyAlignment="1">
      <alignment horizontal="center" vertical="top"/>
    </xf>
    <xf numFmtId="49" fontId="5" fillId="9" borderId="31" xfId="0" applyNumberFormat="1" applyFont="1" applyFill="1" applyBorder="1" applyAlignment="1">
      <alignment horizontal="center" vertical="top"/>
    </xf>
    <xf numFmtId="49" fontId="5" fillId="9" borderId="37" xfId="0" applyNumberFormat="1" applyFont="1" applyFill="1" applyBorder="1" applyAlignment="1">
      <alignment horizontal="center" vertical="top" wrapText="1"/>
    </xf>
    <xf numFmtId="0" fontId="3" fillId="8" borderId="65" xfId="0" applyFont="1" applyFill="1" applyBorder="1" applyAlignment="1">
      <alignment horizontal="left" vertical="top" wrapText="1"/>
    </xf>
    <xf numFmtId="165" fontId="3" fillId="8" borderId="65" xfId="0" applyNumberFormat="1" applyFont="1" applyFill="1" applyBorder="1" applyAlignment="1">
      <alignment horizontal="left" vertical="top" wrapText="1"/>
    </xf>
    <xf numFmtId="1" fontId="11" fillId="8" borderId="26" xfId="0" applyNumberFormat="1" applyFont="1" applyFill="1" applyBorder="1" applyAlignment="1">
      <alignment horizontal="center" vertical="center"/>
    </xf>
    <xf numFmtId="1" fontId="11" fillId="8" borderId="27" xfId="0" applyNumberFormat="1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center" vertical="top"/>
    </xf>
    <xf numFmtId="0" fontId="14" fillId="3" borderId="69" xfId="0" applyFont="1" applyFill="1" applyBorder="1" applyAlignment="1">
      <alignment horizontal="left" vertical="top" wrapText="1"/>
    </xf>
    <xf numFmtId="0" fontId="14" fillId="3" borderId="70" xfId="0" applyFont="1" applyFill="1" applyBorder="1" applyAlignment="1">
      <alignment horizontal="center" vertical="top"/>
    </xf>
    <xf numFmtId="0" fontId="12" fillId="3" borderId="71" xfId="0" applyFont="1" applyFill="1" applyBorder="1" applyAlignment="1">
      <alignment horizontal="center" vertical="top"/>
    </xf>
    <xf numFmtId="0" fontId="14" fillId="0" borderId="69" xfId="0" applyFont="1" applyBorder="1" applyAlignment="1">
      <alignment vertical="top" wrapText="1"/>
    </xf>
    <xf numFmtId="0" fontId="14" fillId="0" borderId="70" xfId="1" applyFont="1" applyFill="1" applyBorder="1" applyAlignment="1">
      <alignment horizontal="center" vertical="top"/>
    </xf>
    <xf numFmtId="0" fontId="14" fillId="0" borderId="70" xfId="1" applyFont="1" applyBorder="1" applyAlignment="1">
      <alignment horizontal="center" vertical="top"/>
    </xf>
    <xf numFmtId="0" fontId="3" fillId="0" borderId="71" xfId="1" applyFont="1" applyBorder="1" applyAlignment="1">
      <alignment horizontal="center" vertical="top"/>
    </xf>
    <xf numFmtId="0" fontId="3" fillId="0" borderId="72" xfId="0" applyFont="1" applyBorder="1" applyAlignment="1">
      <alignment horizontal="center" vertical="top"/>
    </xf>
    <xf numFmtId="0" fontId="12" fillId="0" borderId="63" xfId="0" applyFont="1" applyFill="1" applyBorder="1" applyAlignment="1">
      <alignment horizontal="center" vertical="top" wrapText="1"/>
    </xf>
    <xf numFmtId="0" fontId="12" fillId="0" borderId="64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69" xfId="0" applyFont="1" applyBorder="1" applyAlignment="1">
      <alignment horizontal="justify" vertical="center" wrapText="1"/>
    </xf>
    <xf numFmtId="3" fontId="3" fillId="8" borderId="74" xfId="0" applyNumberFormat="1" applyFont="1" applyFill="1" applyBorder="1" applyAlignment="1">
      <alignment horizontal="center" vertical="top" wrapText="1"/>
    </xf>
    <xf numFmtId="0" fontId="12" fillId="8" borderId="74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/>
    </xf>
    <xf numFmtId="0" fontId="12" fillId="8" borderId="26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8" borderId="75" xfId="0" applyFont="1" applyFill="1" applyBorder="1" applyAlignment="1">
      <alignment horizontal="center" vertical="top" wrapText="1"/>
    </xf>
    <xf numFmtId="3" fontId="3" fillId="8" borderId="75" xfId="0" applyNumberFormat="1" applyFont="1" applyFill="1" applyBorder="1" applyAlignment="1">
      <alignment horizontal="center" vertical="top" wrapText="1"/>
    </xf>
    <xf numFmtId="0" fontId="12" fillId="0" borderId="56" xfId="0" applyFont="1" applyFill="1" applyBorder="1" applyAlignment="1">
      <alignment horizontal="center" vertical="top" wrapText="1"/>
    </xf>
    <xf numFmtId="0" fontId="12" fillId="0" borderId="57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/>
    </xf>
    <xf numFmtId="0" fontId="3" fillId="8" borderId="74" xfId="0" applyFont="1" applyFill="1" applyBorder="1" applyAlignment="1">
      <alignment horizontal="left" vertical="top" wrapText="1"/>
    </xf>
    <xf numFmtId="1" fontId="2" fillId="8" borderId="70" xfId="0" applyNumberFormat="1" applyFont="1" applyFill="1" applyBorder="1" applyAlignment="1">
      <alignment horizontal="center" vertical="top"/>
    </xf>
    <xf numFmtId="0" fontId="12" fillId="8" borderId="70" xfId="0" applyNumberFormat="1" applyFont="1" applyFill="1" applyBorder="1" applyAlignment="1">
      <alignment horizontal="center" vertical="top"/>
    </xf>
    <xf numFmtId="0" fontId="12" fillId="8" borderId="71" xfId="0" applyNumberFormat="1" applyFont="1" applyFill="1" applyBorder="1" applyAlignment="1">
      <alignment horizontal="center" vertical="top"/>
    </xf>
    <xf numFmtId="0" fontId="3" fillId="0" borderId="79" xfId="0" applyFont="1" applyFill="1" applyBorder="1" applyAlignment="1">
      <alignment horizontal="center" vertical="top"/>
    </xf>
    <xf numFmtId="0" fontId="3" fillId="8" borderId="69" xfId="0" applyFont="1" applyFill="1" applyBorder="1" applyAlignment="1">
      <alignment horizontal="left" vertical="top" wrapText="1"/>
    </xf>
    <xf numFmtId="1" fontId="11" fillId="8" borderId="70" xfId="0" applyNumberFormat="1" applyFont="1" applyFill="1" applyBorder="1" applyAlignment="1">
      <alignment horizontal="center" vertical="center"/>
    </xf>
    <xf numFmtId="1" fontId="11" fillId="8" borderId="71" xfId="0" applyNumberFormat="1" applyFont="1" applyFill="1" applyBorder="1" applyAlignment="1">
      <alignment horizontal="center" vertical="center"/>
    </xf>
    <xf numFmtId="49" fontId="5" fillId="9" borderId="55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49" fontId="5" fillId="9" borderId="54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14" fillId="0" borderId="8" xfId="0" applyFont="1" applyFill="1" applyBorder="1" applyAlignment="1">
      <alignment horizontal="left" vertical="top" wrapText="1"/>
    </xf>
    <xf numFmtId="0" fontId="14" fillId="0" borderId="5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4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3" xfId="0" applyFont="1" applyBorder="1" applyAlignment="1">
      <alignment horizontal="center" vertical="center" textRotation="90" shrinkToFit="1"/>
    </xf>
    <xf numFmtId="0" fontId="3" fillId="0" borderId="22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8" fillId="0" borderId="8" xfId="0" applyFont="1" applyBorder="1" applyAlignment="1">
      <alignment vertical="top" wrapText="1"/>
    </xf>
    <xf numFmtId="0" fontId="3" fillId="3" borderId="29" xfId="0" applyFont="1" applyFill="1" applyBorder="1" applyAlignment="1">
      <alignment vertical="top" wrapText="1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3" fontId="3" fillId="0" borderId="25" xfId="0" applyNumberFormat="1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0" borderId="69" xfId="0" applyFont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top"/>
    </xf>
    <xf numFmtId="0" fontId="13" fillId="0" borderId="50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vertical="top" wrapText="1"/>
    </xf>
    <xf numFmtId="0" fontId="14" fillId="3" borderId="69" xfId="0" applyFont="1" applyFill="1" applyBorder="1" applyAlignment="1">
      <alignment vertical="top" wrapText="1"/>
    </xf>
    <xf numFmtId="0" fontId="3" fillId="0" borderId="76" xfId="0" applyFont="1" applyFill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14" fillId="8" borderId="69" xfId="0" applyFont="1" applyFill="1" applyBorder="1" applyAlignment="1">
      <alignment horizontal="left" vertical="top" wrapText="1"/>
    </xf>
    <xf numFmtId="0" fontId="14" fillId="8" borderId="8" xfId="0" applyFont="1" applyFill="1" applyBorder="1" applyAlignment="1">
      <alignment horizontal="left" vertical="top" wrapText="1"/>
    </xf>
    <xf numFmtId="3" fontId="5" fillId="4" borderId="7" xfId="0" applyNumberFormat="1" applyFont="1" applyFill="1" applyBorder="1" applyAlignment="1">
      <alignment horizontal="right" vertical="top"/>
    </xf>
    <xf numFmtId="3" fontId="3" fillId="0" borderId="23" xfId="0" applyNumberFormat="1" applyFont="1" applyBorder="1" applyAlignment="1">
      <alignment horizontal="right" vertical="top"/>
    </xf>
    <xf numFmtId="3" fontId="5" fillId="4" borderId="23" xfId="0" applyNumberFormat="1" applyFont="1" applyFill="1" applyBorder="1" applyAlignment="1">
      <alignment horizontal="right" vertical="top"/>
    </xf>
    <xf numFmtId="3" fontId="5" fillId="5" borderId="41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5" fillId="2" borderId="20" xfId="0" applyNumberFormat="1" applyFont="1" applyFill="1" applyBorder="1" applyAlignment="1">
      <alignment horizontal="right" vertical="top"/>
    </xf>
    <xf numFmtId="3" fontId="5" fillId="9" borderId="20" xfId="0" applyNumberFormat="1" applyFont="1" applyFill="1" applyBorder="1" applyAlignment="1">
      <alignment horizontal="right" vertical="top"/>
    </xf>
    <xf numFmtId="3" fontId="5" fillId="9" borderId="24" xfId="0" applyNumberFormat="1" applyFont="1" applyFill="1" applyBorder="1" applyAlignment="1">
      <alignment horizontal="right" vertical="top"/>
    </xf>
    <xf numFmtId="3" fontId="5" fillId="4" borderId="37" xfId="0" applyNumberFormat="1" applyFont="1" applyFill="1" applyBorder="1" applyAlignment="1">
      <alignment horizontal="right" vertical="top"/>
    </xf>
    <xf numFmtId="3" fontId="5" fillId="4" borderId="24" xfId="0" applyNumberFormat="1" applyFont="1" applyFill="1" applyBorder="1" applyAlignment="1">
      <alignment horizontal="right" vertical="top"/>
    </xf>
    <xf numFmtId="3" fontId="5" fillId="4" borderId="20" xfId="0" applyNumberFormat="1" applyFont="1" applyFill="1" applyBorder="1" applyAlignment="1">
      <alignment horizontal="right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0" borderId="29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3" fontId="3" fillId="0" borderId="25" xfId="0" applyNumberFormat="1" applyFont="1" applyFill="1" applyBorder="1" applyAlignment="1">
      <alignment horizontal="center" vertical="top"/>
    </xf>
    <xf numFmtId="0" fontId="3" fillId="8" borderId="29" xfId="0" applyFont="1" applyFill="1" applyBorder="1" applyAlignment="1">
      <alignment horizontal="left" vertical="top" wrapText="1"/>
    </xf>
    <xf numFmtId="3" fontId="3" fillId="8" borderId="0" xfId="0" applyNumberFormat="1" applyFont="1" applyFill="1" applyAlignment="1">
      <alignment vertical="top"/>
    </xf>
    <xf numFmtId="0" fontId="3" fillId="0" borderId="88" xfId="0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3" fillId="0" borderId="15" xfId="0" applyFont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top"/>
    </xf>
    <xf numFmtId="0" fontId="14" fillId="3" borderId="71" xfId="0" applyFont="1" applyFill="1" applyBorder="1" applyAlignment="1">
      <alignment horizontal="center" vertical="top"/>
    </xf>
    <xf numFmtId="0" fontId="14" fillId="0" borderId="71" xfId="1" applyFont="1" applyFill="1" applyBorder="1" applyAlignment="1">
      <alignment horizontal="center" vertical="top"/>
    </xf>
    <xf numFmtId="0" fontId="12" fillId="8" borderId="27" xfId="0" applyFont="1" applyFill="1" applyBorder="1" applyAlignment="1">
      <alignment horizontal="center" vertical="top" wrapText="1"/>
    </xf>
    <xf numFmtId="3" fontId="3" fillId="0" borderId="90" xfId="0" applyNumberFormat="1" applyFont="1" applyFill="1" applyBorder="1" applyAlignment="1">
      <alignment horizontal="center" vertical="top" wrapText="1"/>
    </xf>
    <xf numFmtId="1" fontId="2" fillId="8" borderId="71" xfId="0" applyNumberFormat="1" applyFont="1" applyFill="1" applyBorder="1" applyAlignment="1">
      <alignment horizontal="center" vertical="top"/>
    </xf>
    <xf numFmtId="0" fontId="14" fillId="8" borderId="29" xfId="0" applyFont="1" applyFill="1" applyBorder="1" applyAlignment="1">
      <alignment vertical="top" wrapText="1"/>
    </xf>
    <xf numFmtId="0" fontId="3" fillId="8" borderId="9" xfId="0" applyFont="1" applyFill="1" applyBorder="1" applyAlignment="1">
      <alignment horizontal="left" vertical="top" wrapText="1"/>
    </xf>
    <xf numFmtId="165" fontId="3" fillId="8" borderId="29" xfId="0" applyNumberFormat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top"/>
    </xf>
    <xf numFmtId="3" fontId="3" fillId="0" borderId="78" xfId="0" applyNumberFormat="1" applyFont="1" applyFill="1" applyBorder="1" applyAlignment="1">
      <alignment horizontal="center" vertical="top"/>
    </xf>
    <xf numFmtId="0" fontId="3" fillId="0" borderId="79" xfId="0" applyFont="1" applyFill="1" applyBorder="1" applyAlignment="1">
      <alignment horizontal="center" vertical="top" wrapText="1"/>
    </xf>
    <xf numFmtId="3" fontId="3" fillId="0" borderId="87" xfId="0" applyNumberFormat="1" applyFont="1" applyFill="1" applyBorder="1" applyAlignment="1">
      <alignment horizontal="center" vertical="top"/>
    </xf>
    <xf numFmtId="3" fontId="5" fillId="7" borderId="18" xfId="0" applyNumberFormat="1" applyFont="1" applyFill="1" applyBorder="1" applyAlignment="1">
      <alignment horizontal="center" vertical="top"/>
    </xf>
    <xf numFmtId="3" fontId="3" fillId="0" borderId="45" xfId="0" applyNumberFormat="1" applyFont="1" applyBorder="1" applyAlignment="1">
      <alignment horizontal="center" vertical="top"/>
    </xf>
    <xf numFmtId="3" fontId="3" fillId="0" borderId="92" xfId="0" applyNumberFormat="1" applyFont="1" applyBorder="1" applyAlignment="1">
      <alignment horizontal="center" vertical="top" wrapText="1"/>
    </xf>
    <xf numFmtId="3" fontId="3" fillId="0" borderId="91" xfId="0" applyNumberFormat="1" applyFont="1" applyFill="1" applyBorder="1" applyAlignment="1">
      <alignment horizontal="center" vertical="top"/>
    </xf>
    <xf numFmtId="3" fontId="5" fillId="7" borderId="81" xfId="0" applyNumberFormat="1" applyFont="1" applyFill="1" applyBorder="1" applyAlignment="1">
      <alignment horizontal="center" vertical="top"/>
    </xf>
    <xf numFmtId="3" fontId="5" fillId="7" borderId="51" xfId="0" applyNumberFormat="1" applyFont="1" applyFill="1" applyBorder="1" applyAlignment="1">
      <alignment horizontal="center" vertical="top"/>
    </xf>
    <xf numFmtId="3" fontId="5" fillId="2" borderId="20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/>
    </xf>
    <xf numFmtId="3" fontId="5" fillId="7" borderId="66" xfId="0" applyNumberFormat="1" applyFont="1" applyFill="1" applyBorder="1" applyAlignment="1">
      <alignment horizontal="center" vertical="top"/>
    </xf>
    <xf numFmtId="3" fontId="3" fillId="0" borderId="27" xfId="0" applyNumberFormat="1" applyFont="1" applyBorder="1" applyAlignment="1">
      <alignment horizontal="center" vertical="top"/>
    </xf>
    <xf numFmtId="3" fontId="3" fillId="0" borderId="91" xfId="0" applyNumberFormat="1" applyFont="1" applyBorder="1" applyAlignment="1">
      <alignment horizontal="center" vertical="top"/>
    </xf>
    <xf numFmtId="3" fontId="3" fillId="0" borderId="39" xfId="0" applyNumberFormat="1" applyFont="1" applyBorder="1" applyAlignment="1">
      <alignment horizontal="center" vertical="top"/>
    </xf>
    <xf numFmtId="3" fontId="3" fillId="0" borderId="11" xfId="0" applyNumberFormat="1" applyFont="1" applyBorder="1" applyAlignment="1">
      <alignment horizontal="center" vertical="top"/>
    </xf>
    <xf numFmtId="3" fontId="5" fillId="2" borderId="32" xfId="0" applyNumberFormat="1" applyFont="1" applyFill="1" applyBorder="1" applyAlignment="1">
      <alignment horizontal="center" vertical="top"/>
    </xf>
    <xf numFmtId="3" fontId="5" fillId="9" borderId="32" xfId="0" applyNumberFormat="1" applyFont="1" applyFill="1" applyBorder="1" applyAlignment="1">
      <alignment horizontal="center" vertical="top"/>
    </xf>
    <xf numFmtId="3" fontId="5" fillId="7" borderId="3" xfId="0" applyNumberFormat="1" applyFont="1" applyFill="1" applyBorder="1" applyAlignment="1">
      <alignment horizontal="center" vertical="top"/>
    </xf>
    <xf numFmtId="3" fontId="3" fillId="3" borderId="80" xfId="0" applyNumberFormat="1" applyFont="1" applyFill="1" applyBorder="1" applyAlignment="1">
      <alignment horizontal="center" vertical="top"/>
    </xf>
    <xf numFmtId="3" fontId="5" fillId="7" borderId="9" xfId="0" applyNumberFormat="1" applyFont="1" applyFill="1" applyBorder="1" applyAlignment="1">
      <alignment horizontal="center" vertical="top"/>
    </xf>
    <xf numFmtId="3" fontId="5" fillId="9" borderId="20" xfId="0" applyNumberFormat="1" applyFont="1" applyFill="1" applyBorder="1" applyAlignment="1">
      <alignment horizontal="center" vertical="top"/>
    </xf>
    <xf numFmtId="3" fontId="5" fillId="4" borderId="37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3" fontId="5" fillId="4" borderId="22" xfId="0" applyNumberFormat="1" applyFont="1" applyFill="1" applyBorder="1" applyAlignment="1">
      <alignment horizontal="center" vertical="top" wrapText="1"/>
    </xf>
    <xf numFmtId="3" fontId="5" fillId="5" borderId="41" xfId="0" applyNumberFormat="1" applyFont="1" applyFill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/>
    </xf>
    <xf numFmtId="0" fontId="14" fillId="0" borderId="3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textRotation="90" shrinkToFit="1"/>
    </xf>
    <xf numFmtId="0" fontId="3" fillId="8" borderId="5" xfId="0" applyFont="1" applyFill="1" applyBorder="1" applyAlignment="1">
      <alignment horizontal="center" vertical="top" wrapText="1"/>
    </xf>
    <xf numFmtId="3" fontId="3" fillId="8" borderId="16" xfId="0" applyNumberFormat="1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/>
    </xf>
    <xf numFmtId="3" fontId="3" fillId="8" borderId="14" xfId="0" applyNumberFormat="1" applyFont="1" applyFill="1" applyBorder="1" applyAlignment="1">
      <alignment horizontal="center" vertical="top"/>
    </xf>
    <xf numFmtId="3" fontId="3" fillId="8" borderId="16" xfId="0" applyNumberFormat="1" applyFont="1" applyFill="1" applyBorder="1" applyAlignment="1">
      <alignment horizontal="center" vertical="top"/>
    </xf>
    <xf numFmtId="0" fontId="3" fillId="8" borderId="44" xfId="0" applyFont="1" applyFill="1" applyBorder="1" applyAlignment="1">
      <alignment horizontal="center" vertical="top"/>
    </xf>
    <xf numFmtId="3" fontId="3" fillId="0" borderId="86" xfId="0" applyNumberFormat="1" applyFont="1" applyFill="1" applyBorder="1" applyAlignment="1">
      <alignment horizontal="center" vertical="top"/>
    </xf>
    <xf numFmtId="3" fontId="3" fillId="0" borderId="77" xfId="0" applyNumberFormat="1" applyFont="1" applyFill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right" vertical="top"/>
    </xf>
    <xf numFmtId="3" fontId="3" fillId="7" borderId="22" xfId="0" applyNumberFormat="1" applyFont="1" applyFill="1" applyBorder="1" applyAlignment="1">
      <alignment horizontal="center" vertical="top" wrapText="1"/>
    </xf>
    <xf numFmtId="3" fontId="3" fillId="7" borderId="82" xfId="0" applyNumberFormat="1" applyFont="1" applyFill="1" applyBorder="1" applyAlignment="1">
      <alignment vertical="top"/>
    </xf>
    <xf numFmtId="3" fontId="3" fillId="3" borderId="72" xfId="0" applyNumberFormat="1" applyFont="1" applyFill="1" applyBorder="1" applyAlignment="1">
      <alignment vertical="top" wrapText="1"/>
    </xf>
    <xf numFmtId="3" fontId="3" fillId="7" borderId="63" xfId="0" applyNumberFormat="1" applyFont="1" applyFill="1" applyBorder="1" applyAlignment="1">
      <alignment vertical="top"/>
    </xf>
    <xf numFmtId="3" fontId="3" fillId="0" borderId="5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/>
    </xf>
    <xf numFmtId="3" fontId="5" fillId="7" borderId="47" xfId="0" applyNumberFormat="1" applyFont="1" applyFill="1" applyBorder="1" applyAlignment="1">
      <alignment vertical="top"/>
    </xf>
    <xf numFmtId="3" fontId="5" fillId="7" borderId="6" xfId="0" applyNumberFormat="1" applyFont="1" applyFill="1" applyBorder="1" applyAlignment="1">
      <alignment vertical="top"/>
    </xf>
    <xf numFmtId="3" fontId="3" fillId="7" borderId="62" xfId="0" applyNumberFormat="1" applyFont="1" applyFill="1" applyBorder="1" applyAlignment="1">
      <alignment vertical="top"/>
    </xf>
    <xf numFmtId="3" fontId="3" fillId="3" borderId="44" xfId="0" applyNumberFormat="1" applyFont="1" applyFill="1" applyBorder="1" applyAlignment="1">
      <alignment vertical="top" wrapText="1"/>
    </xf>
    <xf numFmtId="3" fontId="3" fillId="7" borderId="89" xfId="0" applyNumberFormat="1" applyFont="1" applyFill="1" applyBorder="1" applyAlignment="1">
      <alignment vertical="top"/>
    </xf>
    <xf numFmtId="3" fontId="3" fillId="3" borderId="88" xfId="0" applyNumberFormat="1" applyFont="1" applyFill="1" applyBorder="1" applyAlignment="1">
      <alignment vertical="top" wrapText="1"/>
    </xf>
    <xf numFmtId="3" fontId="3" fillId="7" borderId="0" xfId="0" applyNumberFormat="1" applyFont="1" applyFill="1" applyBorder="1" applyAlignment="1">
      <alignment vertical="top"/>
    </xf>
    <xf numFmtId="3" fontId="3" fillId="3" borderId="5" xfId="0" applyNumberFormat="1" applyFont="1" applyFill="1" applyBorder="1" applyAlignment="1">
      <alignment vertical="top" wrapText="1"/>
    </xf>
    <xf numFmtId="3" fontId="5" fillId="7" borderId="84" xfId="0" applyNumberFormat="1" applyFont="1" applyFill="1" applyBorder="1" applyAlignment="1">
      <alignment vertical="top"/>
    </xf>
    <xf numFmtId="3" fontId="5" fillId="7" borderId="40" xfId="0" applyNumberFormat="1" applyFont="1" applyFill="1" applyBorder="1" applyAlignment="1">
      <alignment vertical="top"/>
    </xf>
    <xf numFmtId="3" fontId="3" fillId="7" borderId="83" xfId="0" applyNumberFormat="1" applyFont="1" applyFill="1" applyBorder="1" applyAlignment="1">
      <alignment vertical="top"/>
    </xf>
    <xf numFmtId="3" fontId="3" fillId="3" borderId="79" xfId="0" applyNumberFormat="1" applyFont="1" applyFill="1" applyBorder="1" applyAlignment="1">
      <alignment vertical="top" wrapText="1"/>
    </xf>
    <xf numFmtId="3" fontId="5" fillId="7" borderId="64" xfId="0" applyNumberFormat="1" applyFont="1" applyFill="1" applyBorder="1" applyAlignment="1">
      <alignment vertical="top"/>
    </xf>
    <xf numFmtId="3" fontId="5" fillId="7" borderId="41" xfId="0" applyNumberFormat="1" applyFont="1" applyFill="1" applyBorder="1" applyAlignment="1">
      <alignment vertical="top"/>
    </xf>
    <xf numFmtId="3" fontId="5" fillId="2" borderId="32" xfId="0" applyNumberFormat="1" applyFont="1" applyFill="1" applyBorder="1" applyAlignment="1">
      <alignment vertical="top"/>
    </xf>
    <xf numFmtId="3" fontId="5" fillId="2" borderId="24" xfId="0" applyNumberFormat="1" applyFont="1" applyFill="1" applyBorder="1" applyAlignment="1">
      <alignment vertical="top"/>
    </xf>
    <xf numFmtId="3" fontId="3" fillId="7" borderId="62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 wrapText="1"/>
    </xf>
    <xf numFmtId="3" fontId="3" fillId="7" borderId="63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/>
    </xf>
    <xf numFmtId="3" fontId="5" fillId="7" borderId="38" xfId="0" applyNumberFormat="1" applyFont="1" applyFill="1" applyBorder="1" applyAlignment="1">
      <alignment horizontal="right" vertical="top"/>
    </xf>
    <xf numFmtId="3" fontId="5" fillId="7" borderId="40" xfId="0" applyNumberFormat="1" applyFont="1" applyFill="1" applyBorder="1" applyAlignment="1">
      <alignment horizontal="right" vertical="top"/>
    </xf>
    <xf numFmtId="3" fontId="3" fillId="7" borderId="60" xfId="0" applyNumberFormat="1" applyFont="1" applyFill="1" applyBorder="1" applyAlignment="1">
      <alignment horizontal="right" vertical="top"/>
    </xf>
    <xf numFmtId="3" fontId="3" fillId="3" borderId="23" xfId="0" applyNumberFormat="1" applyFont="1" applyFill="1" applyBorder="1" applyAlignment="1">
      <alignment horizontal="right" vertical="top" wrapText="1"/>
    </xf>
    <xf numFmtId="3" fontId="5" fillId="7" borderId="64" xfId="0" applyNumberFormat="1" applyFont="1" applyFill="1" applyBorder="1" applyAlignment="1">
      <alignment horizontal="right" vertical="top"/>
    </xf>
    <xf numFmtId="3" fontId="5" fillId="7" borderId="41" xfId="0" applyNumberFormat="1" applyFont="1" applyFill="1" applyBorder="1" applyAlignment="1">
      <alignment horizontal="right" vertical="top"/>
    </xf>
    <xf numFmtId="3" fontId="3" fillId="7" borderId="65" xfId="0" applyNumberFormat="1" applyFont="1" applyFill="1" applyBorder="1" applyAlignment="1">
      <alignment horizontal="right" vertical="top"/>
    </xf>
    <xf numFmtId="3" fontId="3" fillId="7" borderId="17" xfId="0" applyNumberFormat="1" applyFont="1" applyFill="1" applyBorder="1" applyAlignment="1">
      <alignment horizontal="right" vertical="top"/>
    </xf>
    <xf numFmtId="3" fontId="3" fillId="7" borderId="50" xfId="0" applyNumberFormat="1" applyFont="1" applyFill="1" applyBorder="1" applyAlignment="1">
      <alignment horizontal="right" vertical="top"/>
    </xf>
    <xf numFmtId="3" fontId="3" fillId="3" borderId="7" xfId="0" applyNumberFormat="1" applyFont="1" applyFill="1" applyBorder="1" applyAlignment="1">
      <alignment horizontal="right" vertical="top" wrapText="1"/>
    </xf>
    <xf numFmtId="3" fontId="5" fillId="9" borderId="21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3" fontId="3" fillId="7" borderId="7" xfId="0" applyNumberFormat="1" applyFont="1" applyFill="1" applyBorder="1" applyAlignment="1">
      <alignment horizontal="right" vertical="top"/>
    </xf>
    <xf numFmtId="3" fontId="3" fillId="3" borderId="48" xfId="0" applyNumberFormat="1" applyFont="1" applyFill="1" applyBorder="1" applyAlignment="1">
      <alignment horizontal="right" vertical="top" wrapText="1"/>
    </xf>
    <xf numFmtId="3" fontId="3" fillId="7" borderId="43" xfId="0" applyNumberFormat="1" applyFont="1" applyFill="1" applyBorder="1" applyAlignment="1">
      <alignment horizontal="right" vertical="top"/>
    </xf>
    <xf numFmtId="3" fontId="3" fillId="8" borderId="22" xfId="0" applyNumberFormat="1" applyFont="1" applyFill="1" applyBorder="1" applyAlignment="1">
      <alignment horizontal="right" vertical="top" wrapText="1"/>
    </xf>
    <xf numFmtId="3" fontId="3" fillId="8" borderId="43" xfId="0" applyNumberFormat="1" applyFont="1" applyFill="1" applyBorder="1" applyAlignment="1">
      <alignment horizontal="right" vertical="top" wrapText="1"/>
    </xf>
    <xf numFmtId="3" fontId="3" fillId="8" borderId="35" xfId="0" applyNumberFormat="1" applyFont="1" applyFill="1" applyBorder="1" applyAlignment="1">
      <alignment horizontal="right" vertical="top" wrapText="1"/>
    </xf>
    <xf numFmtId="3" fontId="3" fillId="8" borderId="23" xfId="0" applyNumberFormat="1" applyFont="1" applyFill="1" applyBorder="1" applyAlignment="1">
      <alignment horizontal="right" vertical="top" wrapText="1"/>
    </xf>
    <xf numFmtId="3" fontId="3" fillId="8" borderId="17" xfId="0" applyNumberFormat="1" applyFont="1" applyFill="1" applyBorder="1" applyAlignment="1">
      <alignment horizontal="right" vertical="top" wrapText="1"/>
    </xf>
    <xf numFmtId="3" fontId="5" fillId="7" borderId="73" xfId="0" applyNumberFormat="1" applyFont="1" applyFill="1" applyBorder="1" applyAlignment="1">
      <alignment horizontal="right" vertical="top"/>
    </xf>
    <xf numFmtId="3" fontId="3" fillId="7" borderId="42" xfId="0" applyNumberFormat="1" applyFont="1" applyFill="1" applyBorder="1" applyAlignment="1">
      <alignment horizontal="right" vertical="top"/>
    </xf>
    <xf numFmtId="3" fontId="3" fillId="7" borderId="35" xfId="0" applyNumberFormat="1" applyFont="1" applyFill="1" applyBorder="1" applyAlignment="1">
      <alignment horizontal="right" vertical="top"/>
    </xf>
    <xf numFmtId="3" fontId="3" fillId="0" borderId="22" xfId="0" applyNumberFormat="1" applyFont="1" applyFill="1" applyBorder="1" applyAlignment="1">
      <alignment horizontal="right" vertical="top" wrapText="1"/>
    </xf>
    <xf numFmtId="3" fontId="5" fillId="7" borderId="9" xfId="0" applyNumberFormat="1" applyFont="1" applyFill="1" applyBorder="1" applyAlignment="1">
      <alignment horizontal="right" vertical="top"/>
    </xf>
    <xf numFmtId="3" fontId="3" fillId="8" borderId="44" xfId="0" applyNumberFormat="1" applyFont="1" applyFill="1" applyBorder="1" applyAlignment="1">
      <alignment horizontal="center" vertical="top"/>
    </xf>
    <xf numFmtId="3" fontId="3" fillId="8" borderId="6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0" borderId="2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3" fillId="0" borderId="62" xfId="0" applyNumberFormat="1" applyFont="1" applyBorder="1" applyAlignment="1">
      <alignment horizontal="center" vertical="top"/>
    </xf>
    <xf numFmtId="3" fontId="5" fillId="7" borderId="28" xfId="0" applyNumberFormat="1" applyFont="1" applyFill="1" applyBorder="1" applyAlignment="1">
      <alignment horizontal="center" vertical="top"/>
    </xf>
    <xf numFmtId="3" fontId="3" fillId="8" borderId="0" xfId="0" applyNumberFormat="1" applyFont="1" applyFill="1" applyBorder="1" applyAlignment="1">
      <alignment horizontal="center" vertical="top"/>
    </xf>
    <xf numFmtId="3" fontId="3" fillId="8" borderId="62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5" fillId="4" borderId="31" xfId="0" applyNumberFormat="1" applyFont="1" applyFill="1" applyBorder="1" applyAlignment="1">
      <alignment horizontal="center" vertical="top"/>
    </xf>
    <xf numFmtId="3" fontId="3" fillId="8" borderId="5" xfId="0" applyNumberFormat="1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center" vertical="top"/>
    </xf>
    <xf numFmtId="3" fontId="3" fillId="0" borderId="44" xfId="0" applyNumberFormat="1" applyFont="1" applyBorder="1" applyAlignment="1">
      <alignment horizontal="center" vertical="top"/>
    </xf>
    <xf numFmtId="3" fontId="3" fillId="0" borderId="88" xfId="0" applyNumberFormat="1" applyFont="1" applyBorder="1" applyAlignment="1">
      <alignment horizontal="center" vertical="top" wrapText="1"/>
    </xf>
    <xf numFmtId="3" fontId="3" fillId="8" borderId="5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center" vertical="top"/>
    </xf>
    <xf numFmtId="3" fontId="5" fillId="7" borderId="40" xfId="0" applyNumberFormat="1" applyFont="1" applyFill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/>
    </xf>
    <xf numFmtId="3" fontId="5" fillId="7" borderId="41" xfId="0" applyNumberFormat="1" applyFont="1" applyFill="1" applyBorder="1" applyAlignment="1">
      <alignment horizontal="center" vertical="top"/>
    </xf>
    <xf numFmtId="3" fontId="5" fillId="7" borderId="5" xfId="0" applyNumberFormat="1" applyFont="1" applyFill="1" applyBorder="1" applyAlignment="1">
      <alignment horizontal="center" vertical="top"/>
    </xf>
    <xf numFmtId="3" fontId="5" fillId="2" borderId="24" xfId="0" applyNumberFormat="1" applyFont="1" applyFill="1" applyBorder="1" applyAlignment="1">
      <alignment horizontal="center" vertical="top"/>
    </xf>
    <xf numFmtId="3" fontId="3" fillId="8" borderId="39" xfId="0" applyNumberFormat="1" applyFont="1" applyFill="1" applyBorder="1" applyAlignment="1">
      <alignment horizontal="center" vertical="top"/>
    </xf>
    <xf numFmtId="3" fontId="3" fillId="8" borderId="45" xfId="0" applyNumberFormat="1" applyFont="1" applyFill="1" applyBorder="1" applyAlignment="1">
      <alignment horizontal="center" vertical="top"/>
    </xf>
    <xf numFmtId="3" fontId="5" fillId="9" borderId="24" xfId="0" applyNumberFormat="1" applyFont="1" applyFill="1" applyBorder="1" applyAlignment="1">
      <alignment horizontal="center" vertical="top"/>
    </xf>
    <xf numFmtId="3" fontId="3" fillId="0" borderId="61" xfId="0" applyNumberFormat="1" applyFont="1" applyFill="1" applyBorder="1" applyAlignment="1">
      <alignment horizontal="center" vertical="top"/>
    </xf>
    <xf numFmtId="3" fontId="3" fillId="0" borderId="23" xfId="0" applyNumberFormat="1" applyFont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/>
    </xf>
    <xf numFmtId="3" fontId="5" fillId="7" borderId="55" xfId="0" applyNumberFormat="1" applyFont="1" applyFill="1" applyBorder="1" applyAlignment="1">
      <alignment horizontal="center" vertical="top"/>
    </xf>
    <xf numFmtId="3" fontId="5" fillId="4" borderId="24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/>
    </xf>
    <xf numFmtId="3" fontId="3" fillId="8" borderId="79" xfId="0" applyNumberFormat="1" applyFont="1" applyFill="1" applyBorder="1" applyAlignment="1">
      <alignment horizontal="right" vertical="top"/>
    </xf>
    <xf numFmtId="3" fontId="3" fillId="3" borderId="79" xfId="0" applyNumberFormat="1" applyFont="1" applyFill="1" applyBorder="1" applyAlignment="1">
      <alignment horizontal="center" vertical="top"/>
    </xf>
    <xf numFmtId="3" fontId="3" fillId="3" borderId="23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left" vertical="top" wrapText="1"/>
    </xf>
    <xf numFmtId="0" fontId="18" fillId="0" borderId="16" xfId="0" applyNumberFormat="1" applyFont="1" applyFill="1" applyBorder="1" applyAlignment="1">
      <alignment horizontal="center" vertical="top"/>
    </xf>
    <xf numFmtId="3" fontId="3" fillId="3" borderId="93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19" fillId="0" borderId="0" xfId="0" applyFont="1" applyAlignment="1">
      <alignment horizontal="right" vertical="top"/>
    </xf>
    <xf numFmtId="0" fontId="20" fillId="8" borderId="69" xfId="0" applyFont="1" applyFill="1" applyBorder="1" applyAlignment="1">
      <alignment vertical="top" wrapText="1"/>
    </xf>
    <xf numFmtId="0" fontId="20" fillId="8" borderId="71" xfId="0" applyFont="1" applyFill="1" applyBorder="1" applyAlignment="1">
      <alignment horizontal="center" vertical="top"/>
    </xf>
    <xf numFmtId="0" fontId="20" fillId="8" borderId="71" xfId="1" applyFont="1" applyFill="1" applyBorder="1" applyAlignment="1">
      <alignment horizontal="center" vertical="top"/>
    </xf>
    <xf numFmtId="0" fontId="20" fillId="8" borderId="76" xfId="0" applyFont="1" applyFill="1" applyBorder="1" applyAlignment="1">
      <alignment vertical="center" wrapText="1"/>
    </xf>
    <xf numFmtId="3" fontId="20" fillId="8" borderId="90" xfId="0" applyNumberFormat="1" applyFont="1" applyFill="1" applyBorder="1" applyAlignment="1">
      <alignment horizontal="center" vertical="top" wrapText="1"/>
    </xf>
    <xf numFmtId="0" fontId="20" fillId="8" borderId="69" xfId="0" applyFont="1" applyFill="1" applyBorder="1" applyAlignment="1">
      <alignment vertical="center" wrapText="1"/>
    </xf>
    <xf numFmtId="0" fontId="21" fillId="8" borderId="75" xfId="0" applyFont="1" applyFill="1" applyBorder="1" applyAlignment="1">
      <alignment horizontal="center" vertical="top" wrapText="1"/>
    </xf>
    <xf numFmtId="3" fontId="20" fillId="8" borderId="75" xfId="0" applyNumberFormat="1" applyFont="1" applyFill="1" applyBorder="1" applyAlignment="1">
      <alignment horizontal="center" vertical="top" wrapText="1"/>
    </xf>
    <xf numFmtId="0" fontId="20" fillId="0" borderId="69" xfId="0" applyFont="1" applyFill="1" applyBorder="1" applyAlignment="1">
      <alignment vertical="top" wrapText="1"/>
    </xf>
    <xf numFmtId="3" fontId="18" fillId="8" borderId="68" xfId="0" applyNumberFormat="1" applyFont="1" applyFill="1" applyBorder="1" applyAlignment="1">
      <alignment horizontal="center" vertical="top"/>
    </xf>
    <xf numFmtId="3" fontId="3" fillId="8" borderId="68" xfId="0" applyNumberFormat="1" applyFont="1" applyFill="1" applyBorder="1" applyAlignment="1">
      <alignment horizontal="right" vertical="top"/>
    </xf>
    <xf numFmtId="3" fontId="18" fillId="8" borderId="79" xfId="0" applyNumberFormat="1" applyFont="1" applyFill="1" applyBorder="1" applyAlignment="1">
      <alignment horizontal="center" vertical="top"/>
    </xf>
    <xf numFmtId="3" fontId="22" fillId="7" borderId="25" xfId="0" applyNumberFormat="1" applyFont="1" applyFill="1" applyBorder="1" applyAlignment="1">
      <alignment horizontal="center" vertical="top"/>
    </xf>
    <xf numFmtId="0" fontId="3" fillId="7" borderId="49" xfId="0" applyFont="1" applyFill="1" applyBorder="1" applyAlignment="1">
      <alignment horizontal="left" vertical="top" wrapText="1"/>
    </xf>
    <xf numFmtId="0" fontId="0" fillId="7" borderId="34" xfId="0" applyFill="1" applyBorder="1" applyAlignment="1">
      <alignment horizontal="left" vertical="top" wrapText="1"/>
    </xf>
    <xf numFmtId="0" fontId="0" fillId="7" borderId="35" xfId="0" applyFill="1" applyBorder="1" applyAlignment="1">
      <alignment horizontal="left" vertical="top" wrapText="1"/>
    </xf>
    <xf numFmtId="0" fontId="3" fillId="0" borderId="76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49" fontId="3" fillId="0" borderId="39" xfId="0" applyNumberFormat="1" applyFont="1" applyBorder="1" applyAlignment="1">
      <alignment horizontal="center" vertical="top"/>
    </xf>
    <xf numFmtId="49" fontId="3" fillId="0" borderId="51" xfId="0" applyNumberFormat="1" applyFont="1" applyBorder="1" applyAlignment="1">
      <alignment horizontal="center" vertical="top"/>
    </xf>
    <xf numFmtId="49" fontId="5" fillId="9" borderId="29" xfId="0" applyNumberFormat="1" applyFont="1" applyFill="1" applyBorder="1" applyAlignment="1">
      <alignment horizontal="center" vertical="top"/>
    </xf>
    <xf numFmtId="49" fontId="5" fillId="9" borderId="8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3" borderId="26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3" fillId="0" borderId="64" xfId="0" applyFont="1" applyFill="1" applyBorder="1" applyAlignment="1">
      <alignment horizontal="center" vertical="center" textRotation="90" wrapText="1"/>
    </xf>
    <xf numFmtId="49" fontId="3" fillId="0" borderId="45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vertical="center" textRotation="90" wrapText="1"/>
    </xf>
    <xf numFmtId="0" fontId="3" fillId="0" borderId="64" xfId="0" applyFont="1" applyFill="1" applyBorder="1" applyAlignment="1">
      <alignment vertical="center" textRotation="90" wrapText="1"/>
    </xf>
    <xf numFmtId="49" fontId="3" fillId="0" borderId="27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25" xfId="0" applyNumberFormat="1" applyFont="1" applyBorder="1" applyAlignment="1">
      <alignment horizontal="center" vertical="top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0" xfId="0" applyFont="1" applyFill="1" applyBorder="1" applyAlignment="1">
      <alignment horizontal="center" vertical="top" textRotation="90"/>
    </xf>
    <xf numFmtId="0" fontId="11" fillId="0" borderId="28" xfId="0" applyFont="1" applyFill="1" applyBorder="1" applyAlignment="1">
      <alignment horizontal="center" vertical="top" textRotation="90"/>
    </xf>
    <xf numFmtId="49" fontId="5" fillId="2" borderId="32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right" vertical="top"/>
    </xf>
    <xf numFmtId="49" fontId="5" fillId="2" borderId="58" xfId="0" applyNumberFormat="1" applyFont="1" applyFill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left" vertical="top"/>
    </xf>
    <xf numFmtId="49" fontId="5" fillId="2" borderId="33" xfId="0" applyNumberFormat="1" applyFont="1" applyFill="1" applyBorder="1" applyAlignment="1">
      <alignment horizontal="left" vertical="top"/>
    </xf>
    <xf numFmtId="0" fontId="3" fillId="8" borderId="16" xfId="0" applyNumberFormat="1" applyFont="1" applyFill="1" applyBorder="1" applyAlignment="1">
      <alignment horizontal="center" vertical="center" textRotation="1"/>
    </xf>
    <xf numFmtId="0" fontId="3" fillId="8" borderId="25" xfId="0" applyNumberFormat="1" applyFont="1" applyFill="1" applyBorder="1" applyAlignment="1">
      <alignment horizontal="center" vertical="center" textRotation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center" textRotation="90" shrinkToFit="1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14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textRotation="90" shrinkToFit="1"/>
    </xf>
    <xf numFmtId="0" fontId="3" fillId="0" borderId="0" xfId="0" applyFont="1" applyBorder="1" applyAlignment="1">
      <alignment horizontal="center" vertical="center" textRotation="90" shrinkToFit="1"/>
    </xf>
    <xf numFmtId="0" fontId="3" fillId="0" borderId="28" xfId="0" applyFont="1" applyBorder="1" applyAlignment="1">
      <alignment horizontal="center" vertical="center" textRotation="90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3" fillId="0" borderId="27" xfId="0" applyNumberFormat="1" applyFont="1" applyBorder="1" applyAlignment="1">
      <alignment horizontal="center" vertical="center" textRotation="90" shrinkToFit="1"/>
    </xf>
    <xf numFmtId="0" fontId="3" fillId="0" borderId="16" xfId="0" applyNumberFormat="1" applyFont="1" applyBorder="1" applyAlignment="1">
      <alignment horizontal="center" vertical="center" textRotation="90" shrinkToFit="1"/>
    </xf>
    <xf numFmtId="0" fontId="3" fillId="0" borderId="25" xfId="0" applyNumberFormat="1" applyFont="1" applyBorder="1" applyAlignment="1">
      <alignment horizontal="center" vertical="center" textRotation="90" shrinkToFit="1"/>
    </xf>
    <xf numFmtId="0" fontId="3" fillId="0" borderId="44" xfId="0" applyFont="1" applyBorder="1" applyAlignment="1">
      <alignment horizontal="center" vertical="center" textRotation="90" shrinkToFit="1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41" xfId="0" applyFont="1" applyBorder="1" applyAlignment="1">
      <alignment horizontal="center" vertical="center" textRotation="90" shrinkToFit="1"/>
    </xf>
    <xf numFmtId="165" fontId="11" fillId="8" borderId="63" xfId="0" applyNumberFormat="1" applyFont="1" applyFill="1" applyBorder="1" applyAlignment="1">
      <alignment horizontal="left" vertical="top" wrapText="1"/>
    </xf>
    <xf numFmtId="165" fontId="11" fillId="8" borderId="64" xfId="0" applyNumberFormat="1" applyFont="1" applyFill="1" applyBorder="1" applyAlignment="1">
      <alignment horizontal="left" vertical="top" wrapText="1"/>
    </xf>
    <xf numFmtId="0" fontId="3" fillId="8" borderId="14" xfId="0" applyNumberFormat="1" applyFont="1" applyFill="1" applyBorder="1" applyAlignment="1">
      <alignment horizontal="center" vertical="center" textRotation="1"/>
    </xf>
    <xf numFmtId="0" fontId="3" fillId="8" borderId="10" xfId="0" applyNumberFormat="1" applyFont="1" applyFill="1" applyBorder="1" applyAlignment="1">
      <alignment horizontal="center" vertical="center" textRotation="1"/>
    </xf>
    <xf numFmtId="0" fontId="3" fillId="3" borderId="26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11" fillId="0" borderId="65" xfId="0" applyFont="1" applyFill="1" applyBorder="1" applyAlignment="1">
      <alignment horizontal="center" vertical="center" textRotation="90" wrapText="1"/>
    </xf>
    <xf numFmtId="0" fontId="11" fillId="0" borderId="63" xfId="0" applyFont="1" applyFill="1" applyBorder="1" applyAlignment="1">
      <alignment horizontal="center" vertical="center" textRotation="90" wrapText="1"/>
    </xf>
    <xf numFmtId="0" fontId="11" fillId="0" borderId="64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vertical="top" wrapText="1"/>
    </xf>
    <xf numFmtId="0" fontId="0" fillId="0" borderId="85" xfId="0" applyBorder="1" applyAlignment="1">
      <alignment vertical="top" wrapText="1"/>
    </xf>
    <xf numFmtId="0" fontId="2" fillId="0" borderId="62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0" fontId="3" fillId="9" borderId="31" xfId="0" applyFont="1" applyFill="1" applyBorder="1" applyAlignment="1">
      <alignment horizontal="center" vertical="top"/>
    </xf>
    <xf numFmtId="0" fontId="3" fillId="9" borderId="32" xfId="0" applyFont="1" applyFill="1" applyBorder="1" applyAlignment="1">
      <alignment horizontal="center" vertical="top"/>
    </xf>
    <xf numFmtId="0" fontId="3" fillId="9" borderId="33" xfId="0" applyFont="1" applyFill="1" applyBorder="1" applyAlignment="1">
      <alignment horizontal="center" vertical="top"/>
    </xf>
    <xf numFmtId="49" fontId="5" fillId="4" borderId="58" xfId="0" applyNumberFormat="1" applyFont="1" applyFill="1" applyBorder="1" applyAlignment="1">
      <alignment horizontal="right" vertical="top"/>
    </xf>
    <xf numFmtId="49" fontId="5" fillId="4" borderId="32" xfId="0" applyNumberFormat="1" applyFont="1" applyFill="1" applyBorder="1" applyAlignment="1">
      <alignment horizontal="right" vertical="top"/>
    </xf>
    <xf numFmtId="49" fontId="5" fillId="4" borderId="33" xfId="0" applyNumberFormat="1" applyFont="1" applyFill="1" applyBorder="1" applyAlignment="1">
      <alignment horizontal="right" vertical="top"/>
    </xf>
    <xf numFmtId="0" fontId="3" fillId="4" borderId="31" xfId="0" applyFont="1" applyFill="1" applyBorder="1" applyAlignment="1">
      <alignment horizontal="center" vertical="top"/>
    </xf>
    <xf numFmtId="0" fontId="3" fillId="4" borderId="32" xfId="0" applyFont="1" applyFill="1" applyBorder="1" applyAlignment="1">
      <alignment horizontal="center" vertical="top"/>
    </xf>
    <xf numFmtId="0" fontId="3" fillId="4" borderId="33" xfId="0" applyFont="1" applyFill="1" applyBorder="1" applyAlignment="1">
      <alignment horizontal="center" vertical="top"/>
    </xf>
    <xf numFmtId="0" fontId="5" fillId="3" borderId="26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49" fontId="5" fillId="2" borderId="58" xfId="0" applyNumberFormat="1" applyFont="1" applyFill="1" applyBorder="1" applyAlignment="1">
      <alignment horizontal="right" vertical="top"/>
    </xf>
    <xf numFmtId="0" fontId="5" fillId="9" borderId="36" xfId="0" applyFont="1" applyFill="1" applyBorder="1" applyAlignment="1">
      <alignment horizontal="left" vertical="top" wrapText="1"/>
    </xf>
    <xf numFmtId="0" fontId="5" fillId="9" borderId="34" xfId="0" applyFont="1" applyFill="1" applyBorder="1" applyAlignment="1">
      <alignment horizontal="left" vertical="top" wrapText="1"/>
    </xf>
    <xf numFmtId="0" fontId="5" fillId="9" borderId="35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0" fontId="3" fillId="0" borderId="5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49" fontId="10" fillId="6" borderId="46" xfId="0" applyNumberFormat="1" applyFont="1" applyFill="1" applyBorder="1" applyAlignment="1">
      <alignment horizontal="left" vertical="top" wrapText="1"/>
    </xf>
    <xf numFmtId="49" fontId="10" fillId="6" borderId="50" xfId="0" applyNumberFormat="1" applyFont="1" applyFill="1" applyBorder="1" applyAlignment="1">
      <alignment horizontal="left" vertical="top" wrapText="1"/>
    </xf>
    <xf numFmtId="49" fontId="10" fillId="6" borderId="48" xfId="0" applyNumberFormat="1" applyFont="1" applyFill="1" applyBorder="1" applyAlignment="1">
      <alignment horizontal="left" vertical="top" wrapText="1"/>
    </xf>
    <xf numFmtId="0" fontId="3" fillId="0" borderId="44" xfId="0" applyFont="1" applyBorder="1" applyAlignment="1">
      <alignment horizontal="center" textRotation="90" shrinkToFit="1"/>
    </xf>
    <xf numFmtId="0" fontId="3" fillId="0" borderId="5" xfId="0" applyFont="1" applyBorder="1" applyAlignment="1">
      <alignment horizontal="center" textRotation="90" shrinkToFit="1"/>
    </xf>
    <xf numFmtId="0" fontId="3" fillId="0" borderId="41" xfId="0" applyFont="1" applyBorder="1" applyAlignment="1">
      <alignment horizontal="center" textRotation="90" shrinkToFit="1"/>
    </xf>
    <xf numFmtId="0" fontId="5" fillId="9" borderId="58" xfId="0" applyFont="1" applyFill="1" applyBorder="1" applyAlignment="1">
      <alignment horizontal="left" vertical="top"/>
    </xf>
    <xf numFmtId="0" fontId="5" fillId="9" borderId="32" xfId="0" applyFont="1" applyFill="1" applyBorder="1" applyAlignment="1">
      <alignment horizontal="left" vertical="top"/>
    </xf>
    <xf numFmtId="0" fontId="5" fillId="9" borderId="33" xfId="0" applyFont="1" applyFill="1" applyBorder="1" applyAlignment="1">
      <alignment horizontal="left" vertical="top"/>
    </xf>
    <xf numFmtId="0" fontId="5" fillId="2" borderId="58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8" borderId="39" xfId="0" applyFont="1" applyFill="1" applyBorder="1" applyAlignment="1">
      <alignment horizontal="left" vertical="top" wrapText="1"/>
    </xf>
    <xf numFmtId="0" fontId="3" fillId="8" borderId="5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vertical="top" wrapText="1"/>
    </xf>
    <xf numFmtId="0" fontId="3" fillId="3" borderId="39" xfId="0" applyFont="1" applyFill="1" applyBorder="1" applyAlignment="1">
      <alignment vertical="top" wrapText="1"/>
    </xf>
    <xf numFmtId="0" fontId="3" fillId="3" borderId="51" xfId="0" applyFont="1" applyFill="1" applyBorder="1" applyAlignment="1">
      <alignment vertical="top" wrapText="1"/>
    </xf>
    <xf numFmtId="0" fontId="3" fillId="0" borderId="26" xfId="0" applyFont="1" applyFill="1" applyBorder="1" applyAlignment="1">
      <alignment horizontal="center" vertical="top" textRotation="90" wrapText="1"/>
    </xf>
    <xf numFmtId="0" fontId="3" fillId="0" borderId="14" xfId="0" applyFont="1" applyFill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center" vertical="top" textRotation="90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49" fontId="5" fillId="9" borderId="58" xfId="0" applyNumberFormat="1" applyFont="1" applyFill="1" applyBorder="1" applyAlignment="1">
      <alignment horizontal="right" vertical="top"/>
    </xf>
    <xf numFmtId="49" fontId="5" fillId="9" borderId="32" xfId="0" applyNumberFormat="1" applyFont="1" applyFill="1" applyBorder="1" applyAlignment="1">
      <alignment horizontal="right" vertical="top"/>
    </xf>
    <xf numFmtId="49" fontId="5" fillId="9" borderId="33" xfId="0" applyNumberFormat="1" applyFont="1" applyFill="1" applyBorder="1" applyAlignment="1">
      <alignment horizontal="right" vertical="top"/>
    </xf>
    <xf numFmtId="0" fontId="3" fillId="3" borderId="49" xfId="0" applyFont="1" applyFill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5" fillId="5" borderId="55" xfId="0" applyFont="1" applyFill="1" applyBorder="1" applyAlignment="1">
      <alignment horizontal="right" vertical="top" wrapText="1"/>
    </xf>
    <xf numFmtId="0" fontId="5" fillId="5" borderId="28" xfId="0" applyFont="1" applyFill="1" applyBorder="1" applyAlignment="1">
      <alignment horizontal="right" vertical="top" wrapText="1"/>
    </xf>
    <xf numFmtId="0" fontId="5" fillId="5" borderId="57" xfId="0" applyFont="1" applyFill="1" applyBorder="1" applyAlignment="1">
      <alignment horizontal="right" vertical="top" wrapText="1"/>
    </xf>
    <xf numFmtId="0" fontId="3" fillId="0" borderId="4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left" vertical="top" wrapText="1"/>
    </xf>
    <xf numFmtId="0" fontId="3" fillId="3" borderId="60" xfId="0" applyFont="1" applyFill="1" applyBorder="1" applyAlignment="1">
      <alignment horizontal="left" vertical="top" wrapText="1"/>
    </xf>
    <xf numFmtId="0" fontId="3" fillId="3" borderId="61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right" vertical="top" wrapText="1"/>
    </xf>
    <xf numFmtId="0" fontId="5" fillId="4" borderId="34" xfId="0" applyFont="1" applyFill="1" applyBorder="1" applyAlignment="1">
      <alignment horizontal="right" vertical="top" wrapText="1"/>
    </xf>
    <xf numFmtId="0" fontId="5" fillId="4" borderId="35" xfId="0" applyFont="1" applyFill="1" applyBorder="1" applyAlignment="1">
      <alignment horizontal="right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right" vertical="top" wrapText="1"/>
    </xf>
    <xf numFmtId="0" fontId="5" fillId="4" borderId="50" xfId="0" applyFont="1" applyFill="1" applyBorder="1" applyAlignment="1">
      <alignment horizontal="right" vertical="top" wrapText="1"/>
    </xf>
    <xf numFmtId="0" fontId="5" fillId="4" borderId="48" xfId="0" applyFont="1" applyFill="1" applyBorder="1" applyAlignment="1">
      <alignment horizontal="right" vertical="top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10" fillId="4" borderId="49" xfId="0" applyFont="1" applyFill="1" applyBorder="1" applyAlignment="1">
      <alignment horizontal="left" vertical="top" wrapText="1"/>
    </xf>
    <xf numFmtId="0" fontId="10" fillId="4" borderId="34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7" borderId="34" xfId="0" applyFont="1" applyFill="1" applyBorder="1" applyAlignment="1">
      <alignment horizontal="left" vertical="top" wrapText="1"/>
    </xf>
    <xf numFmtId="0" fontId="3" fillId="7" borderId="35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49" fontId="3" fillId="0" borderId="4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11" fillId="8" borderId="26" xfId="0" applyNumberFormat="1" applyFont="1" applyFill="1" applyBorder="1" applyAlignment="1">
      <alignment horizontal="center" vertical="center" textRotation="90" wrapText="1"/>
    </xf>
    <xf numFmtId="49" fontId="11" fillId="8" borderId="14" xfId="0" applyNumberFormat="1" applyFont="1" applyFill="1" applyBorder="1" applyAlignment="1">
      <alignment horizontal="center" vertical="center" textRotation="90" wrapText="1"/>
    </xf>
    <xf numFmtId="49" fontId="11" fillId="8" borderId="10" xfId="0" applyNumberFormat="1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center" textRotation="90" wrapText="1"/>
    </xf>
    <xf numFmtId="49" fontId="3" fillId="0" borderId="14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49" fontId="11" fillId="0" borderId="26" xfId="0" applyNumberFormat="1" applyFont="1" applyBorder="1" applyAlignment="1">
      <alignment horizontal="center" vertical="center" textRotation="90" wrapText="1"/>
    </xf>
    <xf numFmtId="49" fontId="11" fillId="0" borderId="14" xfId="0" applyNumberFormat="1" applyFont="1" applyBorder="1" applyAlignment="1">
      <alignment horizontal="center" vertical="center" textRotation="90" wrapText="1"/>
    </xf>
    <xf numFmtId="49" fontId="11" fillId="0" borderId="10" xfId="0" applyNumberFormat="1" applyFont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49" fontId="11" fillId="8" borderId="10" xfId="0" applyNumberFormat="1" applyFont="1" applyFill="1" applyBorder="1" applyAlignment="1">
      <alignment horizontal="center" vertical="center" textRotation="90"/>
    </xf>
    <xf numFmtId="0" fontId="3" fillId="8" borderId="78" xfId="0" applyNumberFormat="1" applyFont="1" applyFill="1" applyBorder="1" applyAlignment="1">
      <alignment horizontal="center" vertical="center" textRotation="1"/>
    </xf>
    <xf numFmtId="165" fontId="11" fillId="8" borderId="76" xfId="0" applyNumberFormat="1" applyFont="1" applyFill="1" applyBorder="1" applyAlignment="1">
      <alignment horizontal="left" vertical="top" wrapText="1"/>
    </xf>
    <xf numFmtId="165" fontId="11" fillId="8" borderId="9" xfId="0" applyNumberFormat="1" applyFont="1" applyFill="1" applyBorder="1" applyAlignment="1">
      <alignment horizontal="left" vertical="top" wrapText="1"/>
    </xf>
    <xf numFmtId="49" fontId="11" fillId="0" borderId="45" xfId="0" applyNumberFormat="1" applyFont="1" applyBorder="1" applyAlignment="1">
      <alignment horizontal="center" vertical="center" textRotation="90" wrapText="1"/>
    </xf>
    <xf numFmtId="49" fontId="11" fillId="0" borderId="39" xfId="0" applyNumberFormat="1" applyFont="1" applyBorder="1" applyAlignment="1">
      <alignment horizontal="center" vertical="center" textRotation="90" wrapText="1"/>
    </xf>
    <xf numFmtId="49" fontId="11" fillId="0" borderId="51" xfId="0" applyNumberFormat="1" applyFont="1" applyBorder="1" applyAlignment="1">
      <alignment horizontal="center" vertical="center" textRotation="90" wrapText="1"/>
    </xf>
    <xf numFmtId="49" fontId="11" fillId="0" borderId="26" xfId="0" applyNumberFormat="1" applyFont="1" applyBorder="1" applyAlignment="1">
      <alignment horizontal="center" vertical="center" textRotation="90"/>
    </xf>
    <xf numFmtId="49" fontId="11" fillId="0" borderId="14" xfId="0" applyNumberFormat="1" applyFont="1" applyBorder="1" applyAlignment="1">
      <alignment horizontal="center" vertical="center" textRotation="90"/>
    </xf>
    <xf numFmtId="49" fontId="11" fillId="0" borderId="10" xfId="0" applyNumberFormat="1" applyFont="1" applyBorder="1" applyAlignment="1">
      <alignment horizontal="center" vertical="center" textRotation="90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textRotation="90" shrinkToFit="1"/>
    </xf>
    <xf numFmtId="0" fontId="0" fillId="0" borderId="10" xfId="0" applyBorder="1" applyAlignment="1">
      <alignment horizontal="center" vertical="center" textRotation="90" shrinkToFit="1"/>
    </xf>
    <xf numFmtId="0" fontId="3" fillId="0" borderId="44" xfId="0" applyNumberFormat="1" applyFont="1" applyFill="1" applyBorder="1" applyAlignment="1">
      <alignment horizontal="center" vertical="center" textRotation="90" shrinkToFit="1"/>
    </xf>
    <xf numFmtId="0" fontId="3" fillId="0" borderId="5" xfId="0" applyNumberFormat="1" applyFont="1" applyFill="1" applyBorder="1" applyAlignment="1">
      <alignment horizontal="center" vertical="center" textRotation="90" shrinkToFit="1"/>
    </xf>
    <xf numFmtId="0" fontId="3" fillId="0" borderId="41" xfId="0" applyNumberFormat="1" applyFont="1" applyFill="1" applyBorder="1" applyAlignment="1">
      <alignment horizontal="center" vertical="center" textRotation="90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textRotation="90" shrinkToFit="1"/>
    </xf>
    <xf numFmtId="0" fontId="3" fillId="0" borderId="54" xfId="0" applyFont="1" applyBorder="1" applyAlignment="1">
      <alignment horizontal="center" vertical="center" textRotation="90" shrinkToFit="1"/>
    </xf>
    <xf numFmtId="0" fontId="3" fillId="0" borderId="55" xfId="0" applyFont="1" applyBorder="1" applyAlignment="1">
      <alignment horizontal="center" vertical="center" textRotation="90" shrinkToFit="1"/>
    </xf>
    <xf numFmtId="0" fontId="5" fillId="0" borderId="28" xfId="0" applyFont="1" applyBorder="1" applyAlignment="1">
      <alignment horizontal="right" vertical="top"/>
    </xf>
    <xf numFmtId="0" fontId="17" fillId="0" borderId="28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8F8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5"/>
  <sheetViews>
    <sheetView view="pageBreakPreview" topLeftCell="A39" zoomScaleNormal="100" zoomScaleSheetLayoutView="100" workbookViewId="0">
      <selection activeCell="T37" sqref="T37"/>
    </sheetView>
  </sheetViews>
  <sheetFormatPr defaultRowHeight="12.75"/>
  <cols>
    <col min="1" max="3" width="2.7109375" style="9" customWidth="1"/>
    <col min="4" max="4" width="26.7109375" style="9" customWidth="1"/>
    <col min="5" max="5" width="2.7109375" style="9" customWidth="1"/>
    <col min="6" max="6" width="2.7109375" style="10" customWidth="1"/>
    <col min="7" max="7" width="7.7109375" style="11" customWidth="1"/>
    <col min="8" max="8" width="9.140625" style="9" customWidth="1"/>
    <col min="9" max="9" width="8.5703125" style="9" customWidth="1"/>
    <col min="10" max="10" width="8.85546875" style="9" customWidth="1"/>
    <col min="11" max="11" width="37.85546875" style="9" customWidth="1"/>
    <col min="12" max="12" width="4.7109375" style="9" customWidth="1"/>
    <col min="13" max="13" width="4.28515625" style="9" customWidth="1"/>
    <col min="14" max="14" width="4.7109375" style="9" customWidth="1"/>
    <col min="15" max="16384" width="9.140625" style="8"/>
  </cols>
  <sheetData>
    <row r="1" spans="1:16" ht="15.75">
      <c r="A1" s="362" t="s">
        <v>99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6" ht="15.75">
      <c r="A2" s="363" t="s">
        <v>43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1:16" ht="15.75">
      <c r="A3" s="364" t="s">
        <v>31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4"/>
      <c r="P3" s="4"/>
    </row>
    <row r="4" spans="1:16" ht="13.5" thickBot="1">
      <c r="L4" s="365" t="s">
        <v>123</v>
      </c>
      <c r="M4" s="365"/>
      <c r="N4" s="365"/>
    </row>
    <row r="5" spans="1:16" ht="24" customHeight="1">
      <c r="A5" s="366" t="s">
        <v>32</v>
      </c>
      <c r="B5" s="369" t="s">
        <v>0</v>
      </c>
      <c r="C5" s="369" t="s">
        <v>1</v>
      </c>
      <c r="D5" s="372" t="s">
        <v>12</v>
      </c>
      <c r="E5" s="375" t="s">
        <v>2</v>
      </c>
      <c r="F5" s="381" t="s">
        <v>3</v>
      </c>
      <c r="G5" s="384" t="s">
        <v>4</v>
      </c>
      <c r="H5" s="471" t="s">
        <v>74</v>
      </c>
      <c r="I5" s="437" t="s">
        <v>61</v>
      </c>
      <c r="J5" s="437" t="s">
        <v>75</v>
      </c>
      <c r="K5" s="378" t="s">
        <v>11</v>
      </c>
      <c r="L5" s="379"/>
      <c r="M5" s="379"/>
      <c r="N5" s="380"/>
    </row>
    <row r="6" spans="1:16" ht="16.5" customHeight="1">
      <c r="A6" s="367"/>
      <c r="B6" s="370"/>
      <c r="C6" s="370"/>
      <c r="D6" s="373"/>
      <c r="E6" s="376"/>
      <c r="F6" s="382"/>
      <c r="G6" s="385"/>
      <c r="H6" s="472"/>
      <c r="I6" s="438"/>
      <c r="J6" s="438"/>
      <c r="K6" s="429" t="s">
        <v>12</v>
      </c>
      <c r="L6" s="431" t="s">
        <v>124</v>
      </c>
      <c r="M6" s="432"/>
      <c r="N6" s="433"/>
    </row>
    <row r="7" spans="1:16" ht="78" customHeight="1" thickBot="1">
      <c r="A7" s="368"/>
      <c r="B7" s="371"/>
      <c r="C7" s="371"/>
      <c r="D7" s="374"/>
      <c r="E7" s="377"/>
      <c r="F7" s="383"/>
      <c r="G7" s="386"/>
      <c r="H7" s="473"/>
      <c r="I7" s="439"/>
      <c r="J7" s="439"/>
      <c r="K7" s="430"/>
      <c r="L7" s="100" t="s">
        <v>38</v>
      </c>
      <c r="M7" s="100" t="s">
        <v>62</v>
      </c>
      <c r="N7" s="101" t="s">
        <v>81</v>
      </c>
    </row>
    <row r="8" spans="1:16" s="25" customFormat="1">
      <c r="A8" s="434" t="s">
        <v>59</v>
      </c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6"/>
    </row>
    <row r="9" spans="1:16" s="25" customFormat="1">
      <c r="A9" s="496" t="s">
        <v>44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8"/>
    </row>
    <row r="10" spans="1:16" ht="24.75" customHeight="1">
      <c r="A10" s="44" t="s">
        <v>5</v>
      </c>
      <c r="B10" s="423" t="s">
        <v>45</v>
      </c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5"/>
    </row>
    <row r="11" spans="1:16">
      <c r="A11" s="45" t="s">
        <v>5</v>
      </c>
      <c r="B11" s="33" t="s">
        <v>5</v>
      </c>
      <c r="C11" s="426" t="s">
        <v>46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8"/>
    </row>
    <row r="12" spans="1:16" ht="20.25" customHeight="1">
      <c r="A12" s="331" t="s">
        <v>5</v>
      </c>
      <c r="B12" s="334" t="s">
        <v>5</v>
      </c>
      <c r="C12" s="337" t="s">
        <v>5</v>
      </c>
      <c r="D12" s="346" t="s">
        <v>54</v>
      </c>
      <c r="E12" s="347" t="s">
        <v>64</v>
      </c>
      <c r="F12" s="328" t="s">
        <v>52</v>
      </c>
      <c r="G12" s="65" t="s">
        <v>39</v>
      </c>
      <c r="H12" s="205">
        <f>(125.7-26)/3.4528*1000</f>
        <v>28875</v>
      </c>
      <c r="I12" s="206">
        <f>100/3.4528*1000</f>
        <v>28962</v>
      </c>
      <c r="J12" s="206">
        <f>100/3.4528*1000</f>
        <v>28962</v>
      </c>
      <c r="K12" s="54" t="s">
        <v>120</v>
      </c>
      <c r="L12" s="55">
        <v>65</v>
      </c>
      <c r="M12" s="55">
        <v>60</v>
      </c>
      <c r="N12" s="56">
        <v>60</v>
      </c>
    </row>
    <row r="13" spans="1:16" ht="25.5">
      <c r="A13" s="331"/>
      <c r="B13" s="334"/>
      <c r="C13" s="337"/>
      <c r="D13" s="340"/>
      <c r="E13" s="347"/>
      <c r="F13" s="328"/>
      <c r="G13" s="18"/>
      <c r="H13" s="207"/>
      <c r="I13" s="208"/>
      <c r="J13" s="208"/>
      <c r="K13" s="58" t="s">
        <v>106</v>
      </c>
      <c r="L13" s="59">
        <v>1</v>
      </c>
      <c r="M13" s="59">
        <v>2</v>
      </c>
      <c r="N13" s="60">
        <v>1</v>
      </c>
    </row>
    <row r="14" spans="1:16" ht="25.5">
      <c r="A14" s="331"/>
      <c r="B14" s="334"/>
      <c r="C14" s="337"/>
      <c r="D14" s="340"/>
      <c r="E14" s="347"/>
      <c r="F14" s="328"/>
      <c r="G14" s="18"/>
      <c r="H14" s="207"/>
      <c r="I14" s="208"/>
      <c r="J14" s="208"/>
      <c r="K14" s="61" t="s">
        <v>107</v>
      </c>
      <c r="L14" s="62">
        <v>90</v>
      </c>
      <c r="M14" s="63">
        <v>50</v>
      </c>
      <c r="N14" s="64">
        <v>60</v>
      </c>
    </row>
    <row r="15" spans="1:16" ht="25.5">
      <c r="A15" s="331"/>
      <c r="B15" s="334"/>
      <c r="C15" s="337"/>
      <c r="D15" s="340"/>
      <c r="E15" s="347"/>
      <c r="F15" s="328"/>
      <c r="G15" s="16"/>
      <c r="H15" s="207"/>
      <c r="I15" s="209"/>
      <c r="J15" s="209"/>
      <c r="K15" s="124" t="s">
        <v>109</v>
      </c>
      <c r="L15" s="62">
        <v>1100</v>
      </c>
      <c r="M15" s="63">
        <v>1150</v>
      </c>
      <c r="N15" s="64">
        <v>1150</v>
      </c>
      <c r="O15" s="14"/>
    </row>
    <row r="16" spans="1:16" ht="16.5" customHeight="1" thickBot="1">
      <c r="A16" s="332"/>
      <c r="B16" s="335"/>
      <c r="C16" s="338"/>
      <c r="D16" s="341"/>
      <c r="E16" s="348"/>
      <c r="F16" s="329"/>
      <c r="G16" s="72" t="s">
        <v>6</v>
      </c>
      <c r="H16" s="210">
        <f t="shared" ref="H16:J16" si="0">SUM(H12:H14)</f>
        <v>28875</v>
      </c>
      <c r="I16" s="211">
        <f t="shared" si="0"/>
        <v>28962</v>
      </c>
      <c r="J16" s="211">
        <f t="shared" si="0"/>
        <v>28962</v>
      </c>
      <c r="K16" s="125" t="s">
        <v>68</v>
      </c>
      <c r="L16" s="55">
        <v>1</v>
      </c>
      <c r="M16" s="55">
        <v>1</v>
      </c>
      <c r="N16" s="56">
        <v>1</v>
      </c>
      <c r="O16" s="14"/>
    </row>
    <row r="17" spans="1:15" ht="25.5" customHeight="1">
      <c r="A17" s="330" t="s">
        <v>5</v>
      </c>
      <c r="B17" s="333" t="s">
        <v>5</v>
      </c>
      <c r="C17" s="336" t="s">
        <v>7</v>
      </c>
      <c r="D17" s="339" t="s">
        <v>69</v>
      </c>
      <c r="E17" s="342" t="s">
        <v>66</v>
      </c>
      <c r="F17" s="345" t="s">
        <v>52</v>
      </c>
      <c r="G17" s="68" t="s">
        <v>39</v>
      </c>
      <c r="H17" s="212">
        <f>(868-200)/3.4528*1000</f>
        <v>193466</v>
      </c>
      <c r="I17" s="213">
        <f>195.7/3.4528*1000</f>
        <v>56679</v>
      </c>
      <c r="J17" s="213">
        <f>1455.7/3.4528*1000</f>
        <v>421600</v>
      </c>
      <c r="K17" s="38" t="s">
        <v>110</v>
      </c>
      <c r="L17" s="73">
        <v>2</v>
      </c>
      <c r="M17" s="73">
        <v>2</v>
      </c>
      <c r="N17" s="74">
        <v>2</v>
      </c>
    </row>
    <row r="18" spans="1:15" ht="25.5">
      <c r="A18" s="331"/>
      <c r="B18" s="334"/>
      <c r="C18" s="337"/>
      <c r="D18" s="340"/>
      <c r="E18" s="343"/>
      <c r="F18" s="328"/>
      <c r="G18" s="149" t="s">
        <v>103</v>
      </c>
      <c r="H18" s="214">
        <f>500/3.4528*1000</f>
        <v>144810</v>
      </c>
      <c r="I18" s="215"/>
      <c r="J18" s="215"/>
      <c r="K18" s="69" t="s">
        <v>111</v>
      </c>
      <c r="L18" s="71">
        <v>2</v>
      </c>
      <c r="M18" s="71">
        <v>2</v>
      </c>
      <c r="N18" s="75">
        <v>2</v>
      </c>
    </row>
    <row r="19" spans="1:15">
      <c r="A19" s="331"/>
      <c r="B19" s="334"/>
      <c r="C19" s="337"/>
      <c r="D19" s="340"/>
      <c r="E19" s="343"/>
      <c r="F19" s="328"/>
      <c r="G19" s="16"/>
      <c r="H19" s="216"/>
      <c r="I19" s="217"/>
      <c r="J19" s="217"/>
      <c r="K19" s="69" t="s">
        <v>91</v>
      </c>
      <c r="L19" s="70">
        <v>100</v>
      </c>
      <c r="M19" s="70">
        <v>100</v>
      </c>
      <c r="N19" s="76">
        <v>100</v>
      </c>
    </row>
    <row r="20" spans="1:15" ht="29.25" customHeight="1">
      <c r="A20" s="331"/>
      <c r="B20" s="334"/>
      <c r="C20" s="337"/>
      <c r="D20" s="340"/>
      <c r="E20" s="343"/>
      <c r="F20" s="328"/>
      <c r="G20" s="16"/>
      <c r="H20" s="216"/>
      <c r="I20" s="217"/>
      <c r="J20" s="217"/>
      <c r="K20" s="117" t="s">
        <v>112</v>
      </c>
      <c r="L20" s="70">
        <v>100</v>
      </c>
      <c r="M20" s="70"/>
      <c r="N20" s="76">
        <v>100</v>
      </c>
    </row>
    <row r="21" spans="1:15" ht="16.5" customHeight="1">
      <c r="A21" s="331"/>
      <c r="B21" s="334"/>
      <c r="C21" s="337"/>
      <c r="D21" s="340"/>
      <c r="E21" s="343"/>
      <c r="F21" s="328"/>
      <c r="G21" s="16"/>
      <c r="H21" s="216"/>
      <c r="I21" s="209"/>
      <c r="J21" s="209"/>
      <c r="K21" s="326" t="s">
        <v>113</v>
      </c>
      <c r="L21" s="66">
        <v>1</v>
      </c>
      <c r="M21" s="66">
        <v>1</v>
      </c>
      <c r="N21" s="77">
        <v>1</v>
      </c>
    </row>
    <row r="22" spans="1:15" ht="25.5" customHeight="1" thickBot="1">
      <c r="A22" s="332"/>
      <c r="B22" s="335"/>
      <c r="C22" s="338"/>
      <c r="D22" s="341"/>
      <c r="E22" s="344"/>
      <c r="F22" s="329"/>
      <c r="G22" s="36" t="s">
        <v>6</v>
      </c>
      <c r="H22" s="218">
        <f>SUM(H17:H21)</f>
        <v>338276</v>
      </c>
      <c r="I22" s="219">
        <f>SUM(I17:I21)</f>
        <v>56679</v>
      </c>
      <c r="J22" s="219">
        <f>SUM(J17:J21)</f>
        <v>421600</v>
      </c>
      <c r="K22" s="327"/>
      <c r="L22" s="67"/>
      <c r="M22" s="67"/>
      <c r="N22" s="78"/>
    </row>
    <row r="23" spans="1:15" ht="17.25" customHeight="1">
      <c r="A23" s="330" t="s">
        <v>5</v>
      </c>
      <c r="B23" s="333" t="s">
        <v>5</v>
      </c>
      <c r="C23" s="336" t="s">
        <v>41</v>
      </c>
      <c r="D23" s="391" t="s">
        <v>127</v>
      </c>
      <c r="E23" s="394" t="s">
        <v>66</v>
      </c>
      <c r="F23" s="349" t="s">
        <v>52</v>
      </c>
      <c r="G23" s="34" t="s">
        <v>39</v>
      </c>
      <c r="H23" s="212">
        <f>200/3.4528*1000</f>
        <v>57924</v>
      </c>
      <c r="I23" s="213"/>
      <c r="J23" s="213"/>
      <c r="K23" s="49" t="s">
        <v>114</v>
      </c>
      <c r="L23" s="51">
        <v>1</v>
      </c>
      <c r="M23" s="51"/>
      <c r="N23" s="52"/>
      <c r="O23" s="14"/>
    </row>
    <row r="24" spans="1:15" ht="16.5" customHeight="1">
      <c r="A24" s="331"/>
      <c r="B24" s="334"/>
      <c r="C24" s="337"/>
      <c r="D24" s="392"/>
      <c r="E24" s="395"/>
      <c r="F24" s="350"/>
      <c r="G24" s="84"/>
      <c r="H24" s="220"/>
      <c r="I24" s="221"/>
      <c r="J24" s="221"/>
      <c r="K24" s="85"/>
      <c r="L24" s="86"/>
      <c r="M24" s="86"/>
      <c r="N24" s="87"/>
      <c r="O24" s="14"/>
    </row>
    <row r="25" spans="1:15" ht="16.5" customHeight="1" thickBot="1">
      <c r="A25" s="332"/>
      <c r="B25" s="335"/>
      <c r="C25" s="338"/>
      <c r="D25" s="393"/>
      <c r="E25" s="396"/>
      <c r="F25" s="351"/>
      <c r="G25" s="37" t="s">
        <v>6</v>
      </c>
      <c r="H25" s="222">
        <f t="shared" ref="H25:J25" si="1">SUM(H23:H24)</f>
        <v>57924</v>
      </c>
      <c r="I25" s="223">
        <f t="shared" si="1"/>
        <v>0</v>
      </c>
      <c r="J25" s="223">
        <f t="shared" si="1"/>
        <v>0</v>
      </c>
      <c r="K25" s="43"/>
      <c r="L25" s="41"/>
      <c r="M25" s="41"/>
      <c r="N25" s="42"/>
      <c r="O25" s="14"/>
    </row>
    <row r="26" spans="1:15" ht="13.5" thickBot="1">
      <c r="A26" s="46" t="s">
        <v>5</v>
      </c>
      <c r="B26" s="12" t="s">
        <v>5</v>
      </c>
      <c r="C26" s="355" t="s">
        <v>8</v>
      </c>
      <c r="D26" s="355"/>
      <c r="E26" s="355"/>
      <c r="F26" s="355"/>
      <c r="G26" s="356"/>
      <c r="H26" s="224">
        <f>H22+H16+H25</f>
        <v>425075</v>
      </c>
      <c r="I26" s="225">
        <f t="shared" ref="I26:J26" si="2">I22+I16+I25</f>
        <v>85641</v>
      </c>
      <c r="J26" s="224">
        <f t="shared" si="2"/>
        <v>450562</v>
      </c>
      <c r="K26" s="114"/>
      <c r="L26" s="115"/>
      <c r="M26" s="115"/>
      <c r="N26" s="116"/>
    </row>
    <row r="27" spans="1:15" ht="13.5" thickBot="1">
      <c r="A27" s="46" t="s">
        <v>5</v>
      </c>
      <c r="B27" s="12" t="s">
        <v>7</v>
      </c>
      <c r="C27" s="357" t="s">
        <v>115</v>
      </c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9"/>
    </row>
    <row r="28" spans="1:15" ht="19.5" customHeight="1">
      <c r="A28" s="330" t="s">
        <v>5</v>
      </c>
      <c r="B28" s="333" t="s">
        <v>7</v>
      </c>
      <c r="C28" s="336" t="s">
        <v>5</v>
      </c>
      <c r="D28" s="339" t="s">
        <v>55</v>
      </c>
      <c r="E28" s="342" t="s">
        <v>65</v>
      </c>
      <c r="F28" s="349" t="s">
        <v>52</v>
      </c>
      <c r="G28" s="34" t="s">
        <v>39</v>
      </c>
      <c r="H28" s="226">
        <f>46.6/3.4528*1000</f>
        <v>13496</v>
      </c>
      <c r="I28" s="227">
        <f>55/3.4528*1000</f>
        <v>15929</v>
      </c>
      <c r="J28" s="227">
        <f>60/3.4528*1000</f>
        <v>17377</v>
      </c>
      <c r="K28" s="50" t="s">
        <v>108</v>
      </c>
      <c r="L28" s="39">
        <v>5</v>
      </c>
      <c r="M28" s="39">
        <v>6</v>
      </c>
      <c r="N28" s="40">
        <v>6</v>
      </c>
      <c r="O28" s="14"/>
    </row>
    <row r="29" spans="1:15" ht="25.5">
      <c r="A29" s="331"/>
      <c r="B29" s="334"/>
      <c r="C29" s="337"/>
      <c r="D29" s="340"/>
      <c r="E29" s="343"/>
      <c r="F29" s="350"/>
      <c r="G29" s="197"/>
      <c r="H29" s="228"/>
      <c r="I29" s="229"/>
      <c r="J29" s="229"/>
      <c r="K29" s="80" t="s">
        <v>116</v>
      </c>
      <c r="L29" s="81">
        <v>1</v>
      </c>
      <c r="M29" s="82">
        <v>3</v>
      </c>
      <c r="N29" s="83">
        <v>3</v>
      </c>
      <c r="O29" s="14"/>
    </row>
    <row r="30" spans="1:15">
      <c r="A30" s="331"/>
      <c r="B30" s="334"/>
      <c r="C30" s="337"/>
      <c r="D30" s="340"/>
      <c r="E30" s="343"/>
      <c r="F30" s="350"/>
      <c r="G30" s="18"/>
      <c r="H30" s="228"/>
      <c r="I30" s="230"/>
      <c r="J30" s="230"/>
      <c r="K30" s="387" t="s">
        <v>117</v>
      </c>
      <c r="L30" s="389">
        <v>4</v>
      </c>
      <c r="M30" s="389">
        <v>4</v>
      </c>
      <c r="N30" s="360">
        <v>10</v>
      </c>
      <c r="O30" s="14"/>
    </row>
    <row r="31" spans="1:15" ht="15" customHeight="1" thickBot="1">
      <c r="A31" s="332"/>
      <c r="B31" s="335"/>
      <c r="C31" s="338"/>
      <c r="D31" s="341"/>
      <c r="E31" s="344"/>
      <c r="F31" s="351"/>
      <c r="G31" s="36" t="s">
        <v>6</v>
      </c>
      <c r="H31" s="231">
        <f t="shared" ref="H31:J31" si="3">SUM(H28:H30)</f>
        <v>13496</v>
      </c>
      <c r="I31" s="232">
        <f t="shared" si="3"/>
        <v>15929</v>
      </c>
      <c r="J31" s="232">
        <f t="shared" si="3"/>
        <v>17377</v>
      </c>
      <c r="K31" s="388"/>
      <c r="L31" s="390"/>
      <c r="M31" s="390"/>
      <c r="N31" s="361"/>
      <c r="O31" s="14"/>
    </row>
    <row r="32" spans="1:15" ht="17.25" customHeight="1">
      <c r="A32" s="330" t="s">
        <v>5</v>
      </c>
      <c r="B32" s="333" t="s">
        <v>7</v>
      </c>
      <c r="C32" s="336" t="s">
        <v>7</v>
      </c>
      <c r="D32" s="391" t="s">
        <v>56</v>
      </c>
      <c r="E32" s="394" t="s">
        <v>122</v>
      </c>
      <c r="F32" s="349" t="s">
        <v>52</v>
      </c>
      <c r="G32" s="200" t="s">
        <v>39</v>
      </c>
      <c r="H32" s="226">
        <f>240/3.4528*1000</f>
        <v>69509</v>
      </c>
      <c r="I32" s="227">
        <f>240/3.4528*1000</f>
        <v>69509</v>
      </c>
      <c r="J32" s="227">
        <f>240/3.4528*1000</f>
        <v>69509</v>
      </c>
      <c r="K32" s="49" t="s">
        <v>60</v>
      </c>
      <c r="L32" s="51">
        <v>100</v>
      </c>
      <c r="M32" s="51">
        <v>110</v>
      </c>
      <c r="N32" s="52">
        <v>120</v>
      </c>
      <c r="O32" s="14"/>
    </row>
    <row r="33" spans="1:17" ht="29.25" customHeight="1">
      <c r="A33" s="331"/>
      <c r="B33" s="334"/>
      <c r="C33" s="337"/>
      <c r="D33" s="392"/>
      <c r="E33" s="395"/>
      <c r="F33" s="350"/>
      <c r="G33" s="118"/>
      <c r="H33" s="233"/>
      <c r="I33" s="234"/>
      <c r="J33" s="234"/>
      <c r="K33" s="85" t="s">
        <v>73</v>
      </c>
      <c r="L33" s="86">
        <v>40</v>
      </c>
      <c r="M33" s="86">
        <v>40</v>
      </c>
      <c r="N33" s="87">
        <v>50</v>
      </c>
      <c r="O33" s="14"/>
    </row>
    <row r="34" spans="1:17" ht="26.25" customHeight="1" thickBot="1">
      <c r="A34" s="332"/>
      <c r="B34" s="335"/>
      <c r="C34" s="338"/>
      <c r="D34" s="393"/>
      <c r="E34" s="396"/>
      <c r="F34" s="351"/>
      <c r="G34" s="37" t="s">
        <v>6</v>
      </c>
      <c r="H34" s="235">
        <f t="shared" ref="H34:J34" si="4">SUM(H32:H33)</f>
        <v>69509</v>
      </c>
      <c r="I34" s="236">
        <f t="shared" si="4"/>
        <v>69509</v>
      </c>
      <c r="J34" s="236">
        <f t="shared" si="4"/>
        <v>69509</v>
      </c>
      <c r="K34" s="43" t="s">
        <v>143</v>
      </c>
      <c r="L34" s="41">
        <v>10</v>
      </c>
      <c r="M34" s="41">
        <v>10</v>
      </c>
      <c r="N34" s="42">
        <v>10</v>
      </c>
      <c r="O34" s="14"/>
    </row>
    <row r="35" spans="1:17" ht="12.75" customHeight="1">
      <c r="A35" s="330" t="s">
        <v>5</v>
      </c>
      <c r="B35" s="333" t="s">
        <v>7</v>
      </c>
      <c r="C35" s="336" t="s">
        <v>41</v>
      </c>
      <c r="D35" s="453" t="s">
        <v>57</v>
      </c>
      <c r="E35" s="456"/>
      <c r="F35" s="349" t="s">
        <v>52</v>
      </c>
      <c r="G35" s="200" t="s">
        <v>39</v>
      </c>
      <c r="H35" s="237">
        <f>42/3.4528*1000</f>
        <v>12164</v>
      </c>
      <c r="I35" s="227">
        <f>46.9/3.4528*1000</f>
        <v>13583</v>
      </c>
      <c r="J35" s="227">
        <f>46.9/3.4528*1000</f>
        <v>13583</v>
      </c>
      <c r="K35" s="446" t="s">
        <v>58</v>
      </c>
      <c r="L35" s="26">
        <v>12</v>
      </c>
      <c r="M35" s="26">
        <v>12</v>
      </c>
      <c r="N35" s="27">
        <v>12</v>
      </c>
      <c r="O35" s="14"/>
    </row>
    <row r="36" spans="1:17">
      <c r="A36" s="331"/>
      <c r="B36" s="334"/>
      <c r="C36" s="337"/>
      <c r="D36" s="454"/>
      <c r="E36" s="457"/>
      <c r="F36" s="350"/>
      <c r="G36" s="118"/>
      <c r="H36" s="238"/>
      <c r="I36" s="234"/>
      <c r="J36" s="234"/>
      <c r="K36" s="447"/>
      <c r="L36" s="99"/>
      <c r="M36" s="99"/>
      <c r="N36" s="98"/>
      <c r="O36" s="14"/>
    </row>
    <row r="37" spans="1:17" ht="13.5" thickBot="1">
      <c r="A37" s="332"/>
      <c r="B37" s="335"/>
      <c r="C37" s="338"/>
      <c r="D37" s="455"/>
      <c r="E37" s="458"/>
      <c r="F37" s="351"/>
      <c r="G37" s="36" t="s">
        <v>6</v>
      </c>
      <c r="H37" s="231">
        <f t="shared" ref="H37:J37" si="5">SUM(H35:H36)</f>
        <v>12164</v>
      </c>
      <c r="I37" s="232">
        <f t="shared" si="5"/>
        <v>13583</v>
      </c>
      <c r="J37" s="232">
        <f t="shared" si="5"/>
        <v>13583</v>
      </c>
      <c r="K37" s="448"/>
      <c r="L37" s="131"/>
      <c r="M37" s="131"/>
      <c r="N37" s="130"/>
      <c r="O37" s="14"/>
    </row>
    <row r="38" spans="1:17" ht="28.5" customHeight="1">
      <c r="A38" s="92" t="s">
        <v>5</v>
      </c>
      <c r="B38" s="107" t="s">
        <v>7</v>
      </c>
      <c r="C38" s="93" t="s">
        <v>42</v>
      </c>
      <c r="D38" s="449" t="s">
        <v>92</v>
      </c>
      <c r="E38" s="451"/>
      <c r="F38" s="350" t="s">
        <v>52</v>
      </c>
      <c r="G38" s="23" t="s">
        <v>39</v>
      </c>
      <c r="H38" s="239">
        <f>14.2/3.4528*1000</f>
        <v>4113</v>
      </c>
      <c r="I38" s="240">
        <f>14.2/3.4528*1000</f>
        <v>4113</v>
      </c>
      <c r="J38" s="240">
        <f>14.2/3.4528*1000</f>
        <v>4113</v>
      </c>
      <c r="K38" s="94" t="s">
        <v>128</v>
      </c>
      <c r="L38" s="90">
        <v>12</v>
      </c>
      <c r="M38" s="90">
        <v>12</v>
      </c>
      <c r="N38" s="91">
        <v>12</v>
      </c>
      <c r="O38" s="14"/>
      <c r="Q38" s="242"/>
    </row>
    <row r="39" spans="1:17" ht="15" customHeight="1" thickBot="1">
      <c r="A39" s="88"/>
      <c r="B39" s="108"/>
      <c r="C39" s="89"/>
      <c r="D39" s="450"/>
      <c r="E39" s="452"/>
      <c r="F39" s="351"/>
      <c r="G39" s="36" t="s">
        <v>6</v>
      </c>
      <c r="H39" s="231">
        <f t="shared" ref="H39:J39" si="6">SUM(H38:H38)</f>
        <v>4113</v>
      </c>
      <c r="I39" s="232">
        <f t="shared" si="6"/>
        <v>4113</v>
      </c>
      <c r="J39" s="232">
        <f t="shared" si="6"/>
        <v>4113</v>
      </c>
      <c r="K39" s="95" t="s">
        <v>125</v>
      </c>
      <c r="L39" s="96">
        <v>4</v>
      </c>
      <c r="M39" s="96">
        <v>4</v>
      </c>
      <c r="N39" s="97">
        <v>4</v>
      </c>
      <c r="O39" s="14"/>
      <c r="Q39" s="242"/>
    </row>
    <row r="40" spans="1:17" ht="13.5" thickBot="1">
      <c r="A40" s="47" t="s">
        <v>5</v>
      </c>
      <c r="B40" s="12" t="s">
        <v>7</v>
      </c>
      <c r="C40" s="355" t="s">
        <v>8</v>
      </c>
      <c r="D40" s="355"/>
      <c r="E40" s="355"/>
      <c r="F40" s="355"/>
      <c r="G40" s="356"/>
      <c r="H40" s="132">
        <f>SUM(H37,H34,H31,H39)</f>
        <v>99282</v>
      </c>
      <c r="I40" s="132">
        <f t="shared" ref="I40:J40" si="7">SUM(I37,I34,I31,I39)</f>
        <v>103134</v>
      </c>
      <c r="J40" s="132">
        <f t="shared" si="7"/>
        <v>104582</v>
      </c>
      <c r="K40" s="459"/>
      <c r="L40" s="460"/>
      <c r="M40" s="460"/>
      <c r="N40" s="461"/>
      <c r="Q40" s="242"/>
    </row>
    <row r="41" spans="1:17" ht="13.5" thickBot="1">
      <c r="A41" s="47" t="s">
        <v>5</v>
      </c>
      <c r="B41" s="462" t="s">
        <v>9</v>
      </c>
      <c r="C41" s="463"/>
      <c r="D41" s="463"/>
      <c r="E41" s="463"/>
      <c r="F41" s="463"/>
      <c r="G41" s="464"/>
      <c r="H41" s="133">
        <f t="shared" ref="H41:J41" si="8">SUM(H26,H40)</f>
        <v>524357</v>
      </c>
      <c r="I41" s="241">
        <f t="shared" si="8"/>
        <v>188775</v>
      </c>
      <c r="J41" s="133">
        <f t="shared" si="8"/>
        <v>555144</v>
      </c>
      <c r="K41" s="410"/>
      <c r="L41" s="411"/>
      <c r="M41" s="411"/>
      <c r="N41" s="412"/>
      <c r="Q41" s="242"/>
    </row>
    <row r="42" spans="1:17" ht="15" customHeight="1" thickBot="1">
      <c r="A42" s="48" t="s">
        <v>7</v>
      </c>
      <c r="B42" s="440" t="s">
        <v>48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2"/>
      <c r="Q42" s="242"/>
    </row>
    <row r="43" spans="1:17" ht="13.5" thickBot="1">
      <c r="A43" s="46" t="s">
        <v>7</v>
      </c>
      <c r="B43" s="12" t="s">
        <v>5</v>
      </c>
      <c r="C43" s="443" t="s">
        <v>49</v>
      </c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5"/>
      <c r="Q43" s="242"/>
    </row>
    <row r="44" spans="1:17" ht="18" customHeight="1">
      <c r="A44" s="330" t="s">
        <v>7</v>
      </c>
      <c r="B44" s="333" t="s">
        <v>5</v>
      </c>
      <c r="C44" s="336" t="s">
        <v>5</v>
      </c>
      <c r="D44" s="419" t="s">
        <v>71</v>
      </c>
      <c r="E44" s="53" t="s">
        <v>53</v>
      </c>
      <c r="F44" s="349" t="s">
        <v>52</v>
      </c>
      <c r="G44" s="17" t="s">
        <v>50</v>
      </c>
      <c r="H44" s="243">
        <v>196883</v>
      </c>
      <c r="I44" s="240"/>
      <c r="J44" s="244"/>
      <c r="K44" s="105" t="s">
        <v>95</v>
      </c>
      <c r="L44" s="30"/>
      <c r="M44" s="30"/>
      <c r="N44" s="31"/>
      <c r="O44" s="14"/>
    </row>
    <row r="45" spans="1:17" ht="25.5" customHeight="1">
      <c r="A45" s="331"/>
      <c r="B45" s="334"/>
      <c r="C45" s="337"/>
      <c r="D45" s="420"/>
      <c r="E45" s="493" t="s">
        <v>63</v>
      </c>
      <c r="F45" s="350"/>
      <c r="G45" s="21" t="s">
        <v>39</v>
      </c>
      <c r="H45" s="245">
        <v>867875</v>
      </c>
      <c r="I45" s="246">
        <f>3754/3.4528*1000</f>
        <v>1087234</v>
      </c>
      <c r="J45" s="247">
        <f>3754/3.4528*1000</f>
        <v>1087234</v>
      </c>
      <c r="K45" s="397" t="s">
        <v>126</v>
      </c>
      <c r="L45" s="202">
        <v>100</v>
      </c>
      <c r="M45" s="202"/>
      <c r="N45" s="164"/>
      <c r="O45" s="14"/>
    </row>
    <row r="46" spans="1:17" ht="27" customHeight="1">
      <c r="A46" s="331"/>
      <c r="B46" s="334"/>
      <c r="C46" s="337"/>
      <c r="D46" s="420"/>
      <c r="E46" s="494"/>
      <c r="F46" s="350"/>
      <c r="G46" s="21" t="s">
        <v>140</v>
      </c>
      <c r="H46" s="245">
        <v>170441</v>
      </c>
      <c r="I46" s="246"/>
      <c r="J46" s="248"/>
      <c r="K46" s="398"/>
      <c r="L46" s="201"/>
      <c r="M46" s="201"/>
      <c r="N46" s="166"/>
      <c r="O46" s="14"/>
    </row>
    <row r="47" spans="1:17" ht="22.5" customHeight="1">
      <c r="A47" s="331"/>
      <c r="B47" s="334"/>
      <c r="C47" s="337"/>
      <c r="D47" s="420"/>
      <c r="E47" s="494"/>
      <c r="F47" s="350"/>
      <c r="G47" s="118" t="s">
        <v>51</v>
      </c>
      <c r="H47" s="228">
        <v>2461770</v>
      </c>
      <c r="I47" s="249">
        <f>4250/3.4528*1000</f>
        <v>1230885</v>
      </c>
      <c r="J47" s="250">
        <f>4250/3.4528*1000</f>
        <v>1230885</v>
      </c>
      <c r="K47" s="326" t="s">
        <v>118</v>
      </c>
      <c r="L47" s="99"/>
      <c r="M47" s="99">
        <v>40</v>
      </c>
      <c r="N47" s="98">
        <v>100</v>
      </c>
      <c r="O47" s="14"/>
    </row>
    <row r="48" spans="1:17" ht="18" customHeight="1" thickBot="1">
      <c r="A48" s="332"/>
      <c r="B48" s="335"/>
      <c r="C48" s="338"/>
      <c r="D48" s="421"/>
      <c r="E48" s="495"/>
      <c r="F48" s="351"/>
      <c r="G48" s="36" t="s">
        <v>6</v>
      </c>
      <c r="H48" s="231">
        <f t="shared" ref="H48:J48" si="9">SUM(H44:H47)</f>
        <v>3696969</v>
      </c>
      <c r="I48" s="232">
        <f>SUM(I44:I47)</f>
        <v>2318119</v>
      </c>
      <c r="J48" s="251">
        <f t="shared" si="9"/>
        <v>2318119</v>
      </c>
      <c r="K48" s="327"/>
      <c r="L48" s="258"/>
      <c r="M48" s="258"/>
      <c r="N48" s="259"/>
      <c r="O48" s="14"/>
    </row>
    <row r="49" spans="1:34" ht="12.75" customHeight="1">
      <c r="A49" s="330" t="s">
        <v>7</v>
      </c>
      <c r="B49" s="333" t="s">
        <v>5</v>
      </c>
      <c r="C49" s="401" t="s">
        <v>7</v>
      </c>
      <c r="D49" s="404" t="s">
        <v>129</v>
      </c>
      <c r="E49" s="57" t="s">
        <v>53</v>
      </c>
      <c r="F49" s="349" t="s">
        <v>52</v>
      </c>
      <c r="G49" s="15" t="s">
        <v>39</v>
      </c>
      <c r="H49" s="252">
        <f>50/3.4528*1000</f>
        <v>14481</v>
      </c>
      <c r="I49" s="240"/>
      <c r="J49" s="240"/>
      <c r="K49" s="110" t="s">
        <v>119</v>
      </c>
      <c r="L49" s="26">
        <v>1</v>
      </c>
      <c r="M49" s="26"/>
      <c r="N49" s="27"/>
      <c r="O49" s="14"/>
    </row>
    <row r="50" spans="1:34" ht="14.25" customHeight="1">
      <c r="A50" s="331"/>
      <c r="B50" s="334"/>
      <c r="C50" s="402"/>
      <c r="D50" s="405"/>
      <c r="E50" s="352" t="s">
        <v>121</v>
      </c>
      <c r="F50" s="350"/>
      <c r="G50" s="102" t="s">
        <v>50</v>
      </c>
      <c r="H50" s="253"/>
      <c r="I50" s="254">
        <f>178.4/3.4528*1000</f>
        <v>51668</v>
      </c>
      <c r="J50" s="254">
        <f>178.4/3.4528*1000</f>
        <v>51668</v>
      </c>
      <c r="K50" s="111" t="s">
        <v>96</v>
      </c>
      <c r="L50" s="99"/>
      <c r="M50" s="28">
        <v>50</v>
      </c>
      <c r="N50" s="98">
        <v>50</v>
      </c>
      <c r="O50" s="14"/>
    </row>
    <row r="51" spans="1:34" ht="15" customHeight="1">
      <c r="A51" s="331"/>
      <c r="B51" s="334"/>
      <c r="C51" s="402"/>
      <c r="D51" s="405"/>
      <c r="E51" s="353"/>
      <c r="F51" s="350"/>
      <c r="G51" s="23" t="s">
        <v>51</v>
      </c>
      <c r="H51" s="228"/>
      <c r="I51" s="246">
        <f>2021.2/3.4528*1000</f>
        <v>585380</v>
      </c>
      <c r="J51" s="246">
        <f>2021.2/3.4528*1000</f>
        <v>585380</v>
      </c>
      <c r="K51" s="104"/>
      <c r="L51" s="99"/>
      <c r="M51" s="28"/>
      <c r="N51" s="98"/>
      <c r="O51" s="14"/>
    </row>
    <row r="52" spans="1:34" ht="16.5" customHeight="1">
      <c r="A52" s="331"/>
      <c r="B52" s="334"/>
      <c r="C52" s="402"/>
      <c r="D52" s="405"/>
      <c r="E52" s="353"/>
      <c r="F52" s="350"/>
      <c r="G52" s="102" t="s">
        <v>89</v>
      </c>
      <c r="H52" s="245"/>
      <c r="I52" s="254">
        <f>178.4/3.4528*1000</f>
        <v>51668</v>
      </c>
      <c r="J52" s="254">
        <f>178.4/3.4528*1000</f>
        <v>51668</v>
      </c>
      <c r="K52" s="112"/>
      <c r="L52" s="99"/>
      <c r="M52" s="28"/>
      <c r="N52" s="98"/>
      <c r="O52" s="14"/>
    </row>
    <row r="53" spans="1:34" ht="18.75" customHeight="1" thickBot="1">
      <c r="A53" s="332"/>
      <c r="B53" s="335"/>
      <c r="C53" s="403"/>
      <c r="D53" s="406"/>
      <c r="E53" s="354"/>
      <c r="F53" s="351"/>
      <c r="G53" s="37" t="s">
        <v>6</v>
      </c>
      <c r="H53" s="255">
        <f t="shared" ref="H53:J53" si="10">SUM(H49:H52)</f>
        <v>14481</v>
      </c>
      <c r="I53" s="255">
        <f t="shared" si="10"/>
        <v>688716</v>
      </c>
      <c r="J53" s="255">
        <f t="shared" si="10"/>
        <v>688716</v>
      </c>
      <c r="K53" s="22"/>
      <c r="L53" s="109"/>
      <c r="M53" s="29"/>
      <c r="N53" s="113"/>
      <c r="O53" s="14"/>
    </row>
    <row r="54" spans="1:34" ht="14.25" customHeight="1" thickBot="1">
      <c r="A54" s="106" t="s">
        <v>7</v>
      </c>
      <c r="B54" s="108" t="s">
        <v>5</v>
      </c>
      <c r="C54" s="422" t="s">
        <v>8</v>
      </c>
      <c r="D54" s="355"/>
      <c r="E54" s="355"/>
      <c r="F54" s="355"/>
      <c r="G54" s="356"/>
      <c r="H54" s="132">
        <f>H53+H48</f>
        <v>3711450</v>
      </c>
      <c r="I54" s="132">
        <f t="shared" ref="I54:J54" si="11">I53+I48</f>
        <v>3006835</v>
      </c>
      <c r="J54" s="132">
        <f t="shared" si="11"/>
        <v>3006835</v>
      </c>
      <c r="K54" s="407"/>
      <c r="L54" s="408"/>
      <c r="M54" s="408"/>
      <c r="N54" s="409"/>
    </row>
    <row r="55" spans="1:34" ht="14.25" customHeight="1" thickBot="1">
      <c r="A55" s="46" t="s">
        <v>7</v>
      </c>
      <c r="B55" s="462" t="s">
        <v>9</v>
      </c>
      <c r="C55" s="463"/>
      <c r="D55" s="463"/>
      <c r="E55" s="463"/>
      <c r="F55" s="463"/>
      <c r="G55" s="464"/>
      <c r="H55" s="133">
        <f>H54</f>
        <v>3711450</v>
      </c>
      <c r="I55" s="134">
        <f>SUM(I54)</f>
        <v>3006835</v>
      </c>
      <c r="J55" s="133">
        <f t="shared" ref="J55" si="12">SUM(J54)</f>
        <v>3006835</v>
      </c>
      <c r="K55" s="410"/>
      <c r="L55" s="411"/>
      <c r="M55" s="411"/>
      <c r="N55" s="412"/>
    </row>
    <row r="56" spans="1:34" ht="15.75" customHeight="1" thickBot="1">
      <c r="A56" s="32" t="s">
        <v>5</v>
      </c>
      <c r="B56" s="413" t="s">
        <v>139</v>
      </c>
      <c r="C56" s="414"/>
      <c r="D56" s="414"/>
      <c r="E56" s="414"/>
      <c r="F56" s="414"/>
      <c r="G56" s="415"/>
      <c r="H56" s="135">
        <f>H55+H41</f>
        <v>4235807</v>
      </c>
      <c r="I56" s="136">
        <f>SUM(I41,I55)</f>
        <v>3195610</v>
      </c>
      <c r="J56" s="137">
        <f>SUM(J41,J55)</f>
        <v>3561979</v>
      </c>
      <c r="K56" s="416"/>
      <c r="L56" s="417"/>
      <c r="M56" s="417"/>
      <c r="N56" s="418"/>
    </row>
    <row r="57" spans="1:34" s="20" customFormat="1" ht="23.25" customHeight="1">
      <c r="A57" s="399"/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s="20" customFormat="1" ht="13.5" customHeight="1">
      <c r="A58" s="400"/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s="20" customFormat="1" ht="14.25" customHeight="1" thickBot="1">
      <c r="A59" s="486" t="s">
        <v>13</v>
      </c>
      <c r="B59" s="486"/>
      <c r="C59" s="486"/>
      <c r="D59" s="486"/>
      <c r="E59" s="486"/>
      <c r="F59" s="486"/>
      <c r="G59" s="486"/>
      <c r="H59" s="486"/>
      <c r="I59" s="5"/>
      <c r="J59" s="6"/>
      <c r="K59" s="7"/>
      <c r="L59" s="7"/>
      <c r="M59" s="7"/>
      <c r="N59" s="7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49.5" customHeight="1" thickBot="1">
      <c r="A60" s="487" t="s">
        <v>10</v>
      </c>
      <c r="B60" s="488"/>
      <c r="C60" s="488"/>
      <c r="D60" s="488"/>
      <c r="E60" s="488"/>
      <c r="F60" s="488"/>
      <c r="G60" s="489"/>
      <c r="H60" s="119" t="s">
        <v>100</v>
      </c>
      <c r="I60" s="24" t="s">
        <v>76</v>
      </c>
      <c r="J60" s="24" t="s">
        <v>77</v>
      </c>
    </row>
    <row r="61" spans="1:34" ht="14.25" customHeight="1">
      <c r="A61" s="490" t="s">
        <v>14</v>
      </c>
      <c r="B61" s="491"/>
      <c r="C61" s="491"/>
      <c r="D61" s="491"/>
      <c r="E61" s="491"/>
      <c r="F61" s="491"/>
      <c r="G61" s="492"/>
      <c r="H61" s="126">
        <f>H62+H63+H64</f>
        <v>1603596</v>
      </c>
      <c r="I61" s="126">
        <f t="shared" ref="I61:J61" si="13">I62+I63+I64</f>
        <v>1327677</v>
      </c>
      <c r="J61" s="126">
        <f t="shared" si="13"/>
        <v>1694046</v>
      </c>
    </row>
    <row r="62" spans="1:34" ht="14.25" customHeight="1">
      <c r="A62" s="480" t="s">
        <v>35</v>
      </c>
      <c r="B62" s="481"/>
      <c r="C62" s="481"/>
      <c r="D62" s="481"/>
      <c r="E62" s="481"/>
      <c r="F62" s="481"/>
      <c r="G62" s="482"/>
      <c r="H62" s="127">
        <f>SUMIF(G12:G56,"SB",H12:H56)</f>
        <v>1261903</v>
      </c>
      <c r="I62" s="127">
        <f>SUMIF(G12:G56,"SB",I12:I56)</f>
        <v>1276009</v>
      </c>
      <c r="J62" s="127">
        <f>SUMIF(G12:G56,"SB",J12:J56)</f>
        <v>1642378</v>
      </c>
    </row>
    <row r="63" spans="1:34" ht="14.25" customHeight="1">
      <c r="A63" s="483" t="s">
        <v>36</v>
      </c>
      <c r="B63" s="484"/>
      <c r="C63" s="484"/>
      <c r="D63" s="484"/>
      <c r="E63" s="484"/>
      <c r="F63" s="484"/>
      <c r="G63" s="485"/>
      <c r="H63" s="127">
        <f>SUMIF(G12:G56,"SB(P)",H12:H56)</f>
        <v>196883</v>
      </c>
      <c r="I63" s="127">
        <f>SUMIF(G12:G56,"SB(P)",I12:I56)</f>
        <v>51668</v>
      </c>
      <c r="J63" s="127">
        <f>SUMIF(G12:G56,"SB(P)",J12:J56)</f>
        <v>51668</v>
      </c>
      <c r="K63" s="35"/>
    </row>
    <row r="64" spans="1:34" ht="30" customHeight="1">
      <c r="A64" s="465" t="s">
        <v>105</v>
      </c>
      <c r="B64" s="466"/>
      <c r="C64" s="466"/>
      <c r="D64" s="466"/>
      <c r="E64" s="466"/>
      <c r="F64" s="466"/>
      <c r="G64" s="467"/>
      <c r="H64" s="127">
        <f>SUMIF(G9:G52,"SB(VB)",H9:H52)</f>
        <v>144810</v>
      </c>
      <c r="I64" s="127"/>
      <c r="J64" s="127"/>
    </row>
    <row r="65" spans="1:10" ht="18" customHeight="1">
      <c r="A65" s="323" t="s">
        <v>141</v>
      </c>
      <c r="B65" s="324"/>
      <c r="C65" s="324"/>
      <c r="D65" s="324"/>
      <c r="E65" s="324"/>
      <c r="F65" s="324"/>
      <c r="G65" s="325"/>
      <c r="H65" s="203">
        <f>SUMIF(G10:G53,"PF",H10:H53)</f>
        <v>170441</v>
      </c>
      <c r="I65" s="203"/>
      <c r="J65" s="203"/>
    </row>
    <row r="66" spans="1:10" ht="14.25" customHeight="1">
      <c r="A66" s="477" t="s">
        <v>15</v>
      </c>
      <c r="B66" s="478"/>
      <c r="C66" s="478"/>
      <c r="D66" s="478"/>
      <c r="E66" s="478"/>
      <c r="F66" s="478"/>
      <c r="G66" s="479"/>
      <c r="H66" s="128">
        <f>SUM(H67:H69)</f>
        <v>2461770</v>
      </c>
      <c r="I66" s="128">
        <f>SUM(I67:I69)</f>
        <v>1867933</v>
      </c>
      <c r="J66" s="128">
        <f>SUM(J67:J69)</f>
        <v>1867933</v>
      </c>
    </row>
    <row r="67" spans="1:10" ht="18.75" customHeight="1">
      <c r="A67" s="474" t="s">
        <v>93</v>
      </c>
      <c r="B67" s="475"/>
      <c r="C67" s="475"/>
      <c r="D67" s="475"/>
      <c r="E67" s="475"/>
      <c r="F67" s="475"/>
      <c r="G67" s="476"/>
      <c r="H67" s="127">
        <f>SUMIF(G11:G55,"KVJUD",H11:H55)</f>
        <v>0</v>
      </c>
      <c r="I67" s="127">
        <f>SUMIF(G11:G55,"KVJUD",I11:I55)</f>
        <v>0</v>
      </c>
      <c r="J67" s="127">
        <f>SUMIF(G11:G55,"KVJUD",J11:J55)</f>
        <v>0</v>
      </c>
    </row>
    <row r="68" spans="1:10" ht="18.75" customHeight="1">
      <c r="A68" s="474" t="s">
        <v>94</v>
      </c>
      <c r="B68" s="475"/>
      <c r="C68" s="475"/>
      <c r="D68" s="475"/>
      <c r="E68" s="475"/>
      <c r="F68" s="475"/>
      <c r="G68" s="476"/>
      <c r="H68" s="127">
        <f>SUMIF(G12:G55,"LRVB",H12:H55)</f>
        <v>0</v>
      </c>
      <c r="I68" s="127">
        <f>SUMIF(G12:G55,"LRVB",I12:I55)</f>
        <v>51668</v>
      </c>
      <c r="J68" s="127">
        <f>SUMIF(G12:G56,"LRVB",J12:J56)</f>
        <v>51668</v>
      </c>
    </row>
    <row r="69" spans="1:10" ht="18.75" customHeight="1">
      <c r="A69" s="474" t="s">
        <v>37</v>
      </c>
      <c r="B69" s="475"/>
      <c r="C69" s="475"/>
      <c r="D69" s="475"/>
      <c r="E69" s="475"/>
      <c r="F69" s="475"/>
      <c r="G69" s="476"/>
      <c r="H69" s="127">
        <f>SUMIF(G12:G56,"ES",H12:H56)</f>
        <v>2461770</v>
      </c>
      <c r="I69" s="127">
        <f>SUMIF(G12:G56,"ES",I12:I56)</f>
        <v>1816265</v>
      </c>
      <c r="J69" s="127">
        <f>SUMIF(G12:G56,"ES",J12:J56)</f>
        <v>1816265</v>
      </c>
    </row>
    <row r="70" spans="1:10" ht="14.25" customHeight="1" thickBot="1">
      <c r="A70" s="468" t="s">
        <v>16</v>
      </c>
      <c r="B70" s="469"/>
      <c r="C70" s="469"/>
      <c r="D70" s="469"/>
      <c r="E70" s="469"/>
      <c r="F70" s="469"/>
      <c r="G70" s="470"/>
      <c r="H70" s="129">
        <f>H66+H65+H61</f>
        <v>4235807</v>
      </c>
      <c r="I70" s="129">
        <f t="shared" ref="I70:J70" si="14">I66+I65+I61</f>
        <v>3195610</v>
      </c>
      <c r="J70" s="129">
        <f t="shared" si="14"/>
        <v>3561979</v>
      </c>
    </row>
    <row r="75" spans="1:10">
      <c r="I75" s="103"/>
    </row>
  </sheetData>
  <mergeCells count="108">
    <mergeCell ref="A64:G64"/>
    <mergeCell ref="F23:F25"/>
    <mergeCell ref="A23:A25"/>
    <mergeCell ref="B23:B25"/>
    <mergeCell ref="C23:C25"/>
    <mergeCell ref="D23:D25"/>
    <mergeCell ref="E23:E25"/>
    <mergeCell ref="A70:G70"/>
    <mergeCell ref="H5:H7"/>
    <mergeCell ref="A68:G68"/>
    <mergeCell ref="A69:G69"/>
    <mergeCell ref="A66:G66"/>
    <mergeCell ref="A67:G67"/>
    <mergeCell ref="A62:G62"/>
    <mergeCell ref="A63:G63"/>
    <mergeCell ref="A59:H59"/>
    <mergeCell ref="A60:G60"/>
    <mergeCell ref="A61:G61"/>
    <mergeCell ref="B55:G55"/>
    <mergeCell ref="F44:F48"/>
    <mergeCell ref="E45:E48"/>
    <mergeCell ref="C40:G40"/>
    <mergeCell ref="A35:A37"/>
    <mergeCell ref="A9:N9"/>
    <mergeCell ref="B10:N10"/>
    <mergeCell ref="C11:N11"/>
    <mergeCell ref="K6:K7"/>
    <mergeCell ref="L6:N6"/>
    <mergeCell ref="A8:N8"/>
    <mergeCell ref="I5:I7"/>
    <mergeCell ref="J5:J7"/>
    <mergeCell ref="B42:N42"/>
    <mergeCell ref="C43:N43"/>
    <mergeCell ref="F35:F37"/>
    <mergeCell ref="K35:K37"/>
    <mergeCell ref="D38:D39"/>
    <mergeCell ref="E38:E39"/>
    <mergeCell ref="F38:F39"/>
    <mergeCell ref="B35:B37"/>
    <mergeCell ref="C35:C37"/>
    <mergeCell ref="D35:D37"/>
    <mergeCell ref="E35:E37"/>
    <mergeCell ref="K40:N40"/>
    <mergeCell ref="B41:G41"/>
    <mergeCell ref="K41:N41"/>
    <mergeCell ref="A32:A34"/>
    <mergeCell ref="B32:B34"/>
    <mergeCell ref="C32:C34"/>
    <mergeCell ref="K30:K31"/>
    <mergeCell ref="L30:L31"/>
    <mergeCell ref="M30:M31"/>
    <mergeCell ref="D32:D34"/>
    <mergeCell ref="E32:E34"/>
    <mergeCell ref="F32:F34"/>
    <mergeCell ref="K45:K46"/>
    <mergeCell ref="A57:N57"/>
    <mergeCell ref="A58:N58"/>
    <mergeCell ref="A49:A53"/>
    <mergeCell ref="B49:B53"/>
    <mergeCell ref="C49:C53"/>
    <mergeCell ref="D49:D53"/>
    <mergeCell ref="K54:N54"/>
    <mergeCell ref="K47:K48"/>
    <mergeCell ref="K55:N55"/>
    <mergeCell ref="B56:G56"/>
    <mergeCell ref="K56:N56"/>
    <mergeCell ref="A44:A48"/>
    <mergeCell ref="B44:B48"/>
    <mergeCell ref="C44:C48"/>
    <mergeCell ref="D44:D48"/>
    <mergeCell ref="C54:G54"/>
    <mergeCell ref="F49:F53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5:N5"/>
    <mergeCell ref="F5:F7"/>
    <mergeCell ref="G5:G7"/>
    <mergeCell ref="A65:G65"/>
    <mergeCell ref="K21:K22"/>
    <mergeCell ref="F12:F16"/>
    <mergeCell ref="A17:A22"/>
    <mergeCell ref="B17:B22"/>
    <mergeCell ref="C17:C22"/>
    <mergeCell ref="D17:D22"/>
    <mergeCell ref="E17:E22"/>
    <mergeCell ref="F17:F22"/>
    <mergeCell ref="A12:A16"/>
    <mergeCell ref="B12:B16"/>
    <mergeCell ref="C12:C16"/>
    <mergeCell ref="D12:D16"/>
    <mergeCell ref="E12:E16"/>
    <mergeCell ref="F28:F31"/>
    <mergeCell ref="E50:E53"/>
    <mergeCell ref="C26:G26"/>
    <mergeCell ref="C27:N27"/>
    <mergeCell ref="A28:A31"/>
    <mergeCell ref="B28:B31"/>
    <mergeCell ref="C28:C31"/>
    <mergeCell ref="D28:D31"/>
    <mergeCell ref="E28:E31"/>
    <mergeCell ref="N30:N31"/>
  </mergeCells>
  <pageMargins left="0.78740157480314965" right="0.19685039370078741" top="0.78740157480314965" bottom="0.39370078740157483" header="0" footer="0"/>
  <pageSetup paperSize="9" scale="75" orientation="portrait" r:id="rId1"/>
  <rowBreaks count="1" manualBreakCount="1">
    <brk id="48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1"/>
  <sheetViews>
    <sheetView tabSelected="1" view="pageBreakPreview" zoomScaleNormal="100" zoomScaleSheetLayoutView="100" workbookViewId="0">
      <selection activeCell="L4" sqref="L4:M6"/>
    </sheetView>
  </sheetViews>
  <sheetFormatPr defaultRowHeight="12.75"/>
  <cols>
    <col min="1" max="4" width="2.7109375" style="9" customWidth="1"/>
    <col min="5" max="5" width="27.5703125" style="9" customWidth="1"/>
    <col min="6" max="7" width="2.7109375" style="9" customWidth="1"/>
    <col min="8" max="8" width="3.28515625" style="10" customWidth="1"/>
    <col min="9" max="9" width="10.85546875" style="10" customWidth="1"/>
    <col min="10" max="10" width="7.7109375" style="11" customWidth="1"/>
    <col min="11" max="11" width="9.85546875" style="9" customWidth="1"/>
    <col min="12" max="12" width="33" style="9" customWidth="1"/>
    <col min="13" max="13" width="8.5703125" style="9" customWidth="1"/>
    <col min="14" max="16384" width="9.140625" style="8"/>
  </cols>
  <sheetData>
    <row r="1" spans="1:15" ht="18.75" customHeight="1">
      <c r="H1" s="150"/>
      <c r="I1" s="150"/>
      <c r="J1" s="151"/>
      <c r="L1" s="499" t="s">
        <v>153</v>
      </c>
      <c r="M1" s="500"/>
    </row>
    <row r="2" spans="1:15" ht="12" customHeight="1">
      <c r="H2" s="150"/>
      <c r="I2" s="150"/>
      <c r="J2" s="151"/>
      <c r="K2" s="273"/>
      <c r="L2" s="500"/>
      <c r="M2" s="500"/>
    </row>
    <row r="3" spans="1:15" ht="20.25" customHeight="1">
      <c r="H3" s="150"/>
      <c r="I3" s="150"/>
      <c r="J3" s="151"/>
      <c r="K3" s="273"/>
      <c r="L3" s="500"/>
      <c r="M3" s="500"/>
    </row>
    <row r="4" spans="1:15" ht="16.5" customHeight="1">
      <c r="H4" s="150"/>
      <c r="I4" s="150"/>
      <c r="J4" s="151"/>
      <c r="K4" s="4"/>
      <c r="L4" s="501" t="s">
        <v>160</v>
      </c>
      <c r="M4" s="500"/>
    </row>
    <row r="5" spans="1:15" ht="13.5" customHeight="1">
      <c r="H5" s="150"/>
      <c r="I5" s="150"/>
      <c r="J5" s="151"/>
      <c r="K5" s="307"/>
      <c r="L5" s="500"/>
      <c r="M5" s="500"/>
    </row>
    <row r="6" spans="1:15" ht="11.25" customHeight="1">
      <c r="H6" s="150"/>
      <c r="I6" s="150"/>
      <c r="J6" s="151"/>
      <c r="K6" s="261"/>
      <c r="L6" s="500"/>
      <c r="M6" s="500"/>
    </row>
    <row r="7" spans="1:15" ht="11.25" customHeight="1">
      <c r="H7" s="150"/>
      <c r="I7" s="150"/>
      <c r="J7" s="151"/>
      <c r="K7" s="272"/>
      <c r="L7" s="308"/>
      <c r="M7" s="308"/>
    </row>
    <row r="8" spans="1:15" ht="12.75" customHeight="1">
      <c r="H8" s="150"/>
      <c r="I8" s="150"/>
      <c r="J8" s="151"/>
      <c r="K8" s="260"/>
      <c r="L8" s="260"/>
      <c r="M8" s="260"/>
    </row>
    <row r="9" spans="1:15" ht="18" customHeight="1">
      <c r="A9" s="362" t="s">
        <v>131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</row>
    <row r="10" spans="1:15" ht="18" customHeight="1">
      <c r="A10" s="363" t="s">
        <v>43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</row>
    <row r="11" spans="1:15" ht="18" customHeight="1">
      <c r="A11" s="364" t="s">
        <v>31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4"/>
      <c r="O11" s="4"/>
    </row>
    <row r="12" spans="1:15" ht="15" customHeight="1" thickBot="1">
      <c r="L12" s="543" t="s">
        <v>123</v>
      </c>
      <c r="M12" s="544"/>
    </row>
    <row r="13" spans="1:15" ht="29.25" customHeight="1">
      <c r="A13" s="366" t="s">
        <v>32</v>
      </c>
      <c r="B13" s="369" t="s">
        <v>0</v>
      </c>
      <c r="C13" s="369" t="s">
        <v>1</v>
      </c>
      <c r="D13" s="369" t="s">
        <v>40</v>
      </c>
      <c r="E13" s="537" t="s">
        <v>12</v>
      </c>
      <c r="F13" s="540" t="s">
        <v>2</v>
      </c>
      <c r="G13" s="369" t="s">
        <v>132</v>
      </c>
      <c r="H13" s="381" t="s">
        <v>3</v>
      </c>
      <c r="I13" s="534" t="s">
        <v>33</v>
      </c>
      <c r="J13" s="384" t="s">
        <v>4</v>
      </c>
      <c r="K13" s="471" t="s">
        <v>133</v>
      </c>
      <c r="L13" s="530" t="s">
        <v>134</v>
      </c>
      <c r="M13" s="531"/>
    </row>
    <row r="14" spans="1:15" ht="18" customHeight="1">
      <c r="A14" s="367"/>
      <c r="B14" s="370"/>
      <c r="C14" s="370"/>
      <c r="D14" s="370"/>
      <c r="E14" s="538"/>
      <c r="F14" s="541"/>
      <c r="G14" s="532"/>
      <c r="H14" s="382"/>
      <c r="I14" s="535"/>
      <c r="J14" s="385"/>
      <c r="K14" s="545"/>
      <c r="L14" s="429" t="s">
        <v>12</v>
      </c>
      <c r="M14" s="152" t="s">
        <v>124</v>
      </c>
    </row>
    <row r="15" spans="1:15" ht="60.75" customHeight="1" thickBot="1">
      <c r="A15" s="368"/>
      <c r="B15" s="371"/>
      <c r="C15" s="371"/>
      <c r="D15" s="371"/>
      <c r="E15" s="539"/>
      <c r="F15" s="542"/>
      <c r="G15" s="533"/>
      <c r="H15" s="383"/>
      <c r="I15" s="536"/>
      <c r="J15" s="386"/>
      <c r="K15" s="546"/>
      <c r="L15" s="430"/>
      <c r="M15" s="194" t="s">
        <v>38</v>
      </c>
    </row>
    <row r="16" spans="1:15" s="25" customFormat="1" ht="14.25" customHeight="1">
      <c r="A16" s="434" t="s">
        <v>59</v>
      </c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6"/>
    </row>
    <row r="17" spans="1:19" s="25" customFormat="1" ht="14.25" customHeight="1">
      <c r="A17" s="496" t="s">
        <v>44</v>
      </c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8"/>
    </row>
    <row r="18" spans="1:19" ht="27" customHeight="1">
      <c r="A18" s="44" t="s">
        <v>5</v>
      </c>
      <c r="B18" s="423" t="s">
        <v>45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5"/>
    </row>
    <row r="19" spans="1:19" ht="15.75" customHeight="1">
      <c r="A19" s="45" t="s">
        <v>5</v>
      </c>
      <c r="B19" s="33" t="s">
        <v>5</v>
      </c>
      <c r="C19" s="426" t="s">
        <v>46</v>
      </c>
      <c r="D19" s="427"/>
      <c r="E19" s="427"/>
      <c r="F19" s="427"/>
      <c r="G19" s="427"/>
      <c r="H19" s="427"/>
      <c r="I19" s="427"/>
      <c r="J19" s="427"/>
      <c r="K19" s="427"/>
      <c r="L19" s="427"/>
      <c r="M19" s="428"/>
    </row>
    <row r="20" spans="1:19" ht="18" customHeight="1">
      <c r="A20" s="331" t="s">
        <v>5</v>
      </c>
      <c r="B20" s="334" t="s">
        <v>5</v>
      </c>
      <c r="C20" s="337" t="s">
        <v>5</v>
      </c>
      <c r="D20" s="337"/>
      <c r="E20" s="340" t="s">
        <v>54</v>
      </c>
      <c r="F20" s="347" t="s">
        <v>64</v>
      </c>
      <c r="G20" s="525" t="s">
        <v>144</v>
      </c>
      <c r="H20" s="328" t="s">
        <v>52</v>
      </c>
      <c r="I20" s="506" t="s">
        <v>79</v>
      </c>
      <c r="J20" s="13" t="s">
        <v>39</v>
      </c>
      <c r="K20" s="98">
        <f>(125.7-26)/3.4528*1000</f>
        <v>28875</v>
      </c>
      <c r="L20" s="120" t="s">
        <v>67</v>
      </c>
      <c r="M20" s="153">
        <v>65</v>
      </c>
    </row>
    <row r="21" spans="1:19" ht="26.25" customHeight="1">
      <c r="A21" s="331"/>
      <c r="B21" s="334"/>
      <c r="C21" s="337"/>
      <c r="D21" s="337"/>
      <c r="E21" s="340"/>
      <c r="F21" s="347"/>
      <c r="G21" s="525"/>
      <c r="H21" s="328"/>
      <c r="I21" s="506"/>
      <c r="J21" s="197"/>
      <c r="K21" s="198"/>
      <c r="L21" s="121" t="s">
        <v>82</v>
      </c>
      <c r="M21" s="154">
        <v>1</v>
      </c>
    </row>
    <row r="22" spans="1:19" ht="27" customHeight="1">
      <c r="A22" s="331"/>
      <c r="B22" s="334"/>
      <c r="C22" s="337"/>
      <c r="D22" s="337"/>
      <c r="E22" s="340"/>
      <c r="F22" s="347"/>
      <c r="G22" s="525"/>
      <c r="H22" s="328"/>
      <c r="I22" s="506"/>
      <c r="J22" s="197"/>
      <c r="K22" s="198"/>
      <c r="L22" s="61" t="s">
        <v>84</v>
      </c>
      <c r="M22" s="155">
        <v>90</v>
      </c>
    </row>
    <row r="23" spans="1:19" ht="25.5" customHeight="1">
      <c r="A23" s="331"/>
      <c r="B23" s="334"/>
      <c r="C23" s="337"/>
      <c r="D23" s="337"/>
      <c r="E23" s="340"/>
      <c r="F23" s="347"/>
      <c r="G23" s="525"/>
      <c r="H23" s="328"/>
      <c r="I23" s="506"/>
      <c r="J23" s="16"/>
      <c r="K23" s="99"/>
      <c r="L23" s="121" t="s">
        <v>83</v>
      </c>
      <c r="M23" s="155">
        <v>1100</v>
      </c>
      <c r="N23" s="14"/>
    </row>
    <row r="24" spans="1:19" ht="20.25" customHeight="1" thickBot="1">
      <c r="A24" s="332"/>
      <c r="B24" s="335"/>
      <c r="C24" s="338"/>
      <c r="D24" s="338"/>
      <c r="E24" s="341"/>
      <c r="F24" s="348"/>
      <c r="G24" s="526"/>
      <c r="H24" s="329"/>
      <c r="I24" s="507"/>
      <c r="J24" s="72" t="s">
        <v>6</v>
      </c>
      <c r="K24" s="167">
        <f t="shared" ref="K24" si="0">SUM(K20:K22)</f>
        <v>28875</v>
      </c>
      <c r="L24" s="120" t="s">
        <v>68</v>
      </c>
      <c r="M24" s="153">
        <v>1</v>
      </c>
      <c r="N24" s="14"/>
    </row>
    <row r="25" spans="1:19" ht="25.5" customHeight="1">
      <c r="A25" s="330" t="s">
        <v>5</v>
      </c>
      <c r="B25" s="333" t="s">
        <v>5</v>
      </c>
      <c r="C25" s="336" t="s">
        <v>7</v>
      </c>
      <c r="D25" s="336"/>
      <c r="E25" s="339" t="s">
        <v>69</v>
      </c>
      <c r="F25" s="342" t="s">
        <v>66</v>
      </c>
      <c r="G25" s="527" t="s">
        <v>145</v>
      </c>
      <c r="H25" s="345" t="s">
        <v>52</v>
      </c>
      <c r="I25" s="505" t="s">
        <v>79</v>
      </c>
      <c r="J25" s="68" t="s">
        <v>39</v>
      </c>
      <c r="K25" s="168">
        <f>(868-200)/3.4528*1000</f>
        <v>193466</v>
      </c>
      <c r="L25" s="159" t="s">
        <v>86</v>
      </c>
      <c r="M25" s="156">
        <v>2</v>
      </c>
      <c r="N25" s="163"/>
    </row>
    <row r="26" spans="1:19" ht="14.25" customHeight="1">
      <c r="A26" s="331"/>
      <c r="B26" s="334"/>
      <c r="C26" s="337"/>
      <c r="D26" s="337"/>
      <c r="E26" s="340"/>
      <c r="F26" s="343"/>
      <c r="G26" s="528"/>
      <c r="H26" s="328"/>
      <c r="I26" s="506"/>
      <c r="J26" s="149" t="s">
        <v>103</v>
      </c>
      <c r="K26" s="169">
        <f>500/3.4528*1000</f>
        <v>144810</v>
      </c>
      <c r="L26" s="122" t="s">
        <v>87</v>
      </c>
      <c r="M26" s="157"/>
    </row>
    <row r="27" spans="1:19" ht="25.5" customHeight="1">
      <c r="A27" s="331"/>
      <c r="B27" s="334"/>
      <c r="C27" s="337"/>
      <c r="D27" s="337"/>
      <c r="E27" s="340"/>
      <c r="F27" s="343"/>
      <c r="G27" s="528"/>
      <c r="H27" s="328"/>
      <c r="I27" s="506"/>
      <c r="J27" s="195"/>
      <c r="K27" s="196"/>
      <c r="L27" s="123" t="s">
        <v>88</v>
      </c>
      <c r="M27" s="75">
        <v>2</v>
      </c>
    </row>
    <row r="28" spans="1:19" ht="24.75" customHeight="1">
      <c r="A28" s="331"/>
      <c r="B28" s="334"/>
      <c r="C28" s="337"/>
      <c r="D28" s="337"/>
      <c r="E28" s="340"/>
      <c r="F28" s="343"/>
      <c r="G28" s="528"/>
      <c r="H28" s="328"/>
      <c r="I28" s="506"/>
      <c r="J28" s="195"/>
      <c r="K28" s="196"/>
      <c r="L28" s="123" t="s">
        <v>90</v>
      </c>
      <c r="M28" s="75">
        <v>2</v>
      </c>
    </row>
    <row r="29" spans="1:19" ht="14.25" customHeight="1">
      <c r="A29" s="331"/>
      <c r="B29" s="334"/>
      <c r="C29" s="337"/>
      <c r="D29" s="337"/>
      <c r="E29" s="340"/>
      <c r="F29" s="343"/>
      <c r="G29" s="528"/>
      <c r="H29" s="328"/>
      <c r="I29" s="506"/>
      <c r="J29" s="195"/>
      <c r="K29" s="196"/>
      <c r="L29" s="123" t="s">
        <v>85</v>
      </c>
      <c r="M29" s="75">
        <v>2</v>
      </c>
    </row>
    <row r="30" spans="1:19" ht="14.25" customHeight="1">
      <c r="A30" s="331"/>
      <c r="B30" s="334"/>
      <c r="C30" s="337"/>
      <c r="D30" s="337"/>
      <c r="E30" s="340"/>
      <c r="F30" s="343"/>
      <c r="G30" s="528"/>
      <c r="H30" s="328"/>
      <c r="I30" s="506"/>
      <c r="J30" s="195"/>
      <c r="K30" s="196"/>
      <c r="L30" s="123" t="s">
        <v>91</v>
      </c>
      <c r="M30" s="76">
        <v>100</v>
      </c>
      <c r="Q30" s="8" t="s">
        <v>137</v>
      </c>
      <c r="S30" s="8" t="s">
        <v>101</v>
      </c>
    </row>
    <row r="31" spans="1:19" ht="37.5" customHeight="1">
      <c r="A31" s="331"/>
      <c r="B31" s="334"/>
      <c r="C31" s="337"/>
      <c r="D31" s="337"/>
      <c r="E31" s="340"/>
      <c r="F31" s="343"/>
      <c r="G31" s="528"/>
      <c r="H31" s="328"/>
      <c r="I31" s="506"/>
      <c r="J31" s="195"/>
      <c r="K31" s="196"/>
      <c r="L31" s="123" t="s">
        <v>98</v>
      </c>
      <c r="M31" s="76">
        <v>100</v>
      </c>
    </row>
    <row r="32" spans="1:19" ht="18.75" customHeight="1">
      <c r="A32" s="331"/>
      <c r="B32" s="334"/>
      <c r="C32" s="337"/>
      <c r="D32" s="337"/>
      <c r="E32" s="340"/>
      <c r="F32" s="343"/>
      <c r="G32" s="528"/>
      <c r="H32" s="328"/>
      <c r="I32" s="506"/>
      <c r="J32" s="16"/>
      <c r="K32" s="170"/>
      <c r="L32" s="326" t="s">
        <v>130</v>
      </c>
      <c r="M32" s="77">
        <v>1</v>
      </c>
    </row>
    <row r="33" spans="1:14" ht="21.75" customHeight="1" thickBot="1">
      <c r="A33" s="332"/>
      <c r="B33" s="335"/>
      <c r="C33" s="338"/>
      <c r="D33" s="338"/>
      <c r="E33" s="341"/>
      <c r="F33" s="344"/>
      <c r="G33" s="529"/>
      <c r="H33" s="329"/>
      <c r="I33" s="507"/>
      <c r="J33" s="36" t="s">
        <v>6</v>
      </c>
      <c r="K33" s="171">
        <f t="shared" ref="K33" si="1">SUM(K25:K32)</f>
        <v>338276</v>
      </c>
      <c r="L33" s="327"/>
      <c r="M33" s="78"/>
    </row>
    <row r="34" spans="1:14" ht="28.5" customHeight="1">
      <c r="A34" s="330" t="s">
        <v>5</v>
      </c>
      <c r="B34" s="333" t="s">
        <v>5</v>
      </c>
      <c r="C34" s="336" t="s">
        <v>41</v>
      </c>
      <c r="D34" s="336"/>
      <c r="E34" s="339" t="s">
        <v>127</v>
      </c>
      <c r="F34" s="394" t="s">
        <v>66</v>
      </c>
      <c r="G34" s="508" t="s">
        <v>146</v>
      </c>
      <c r="H34" s="345" t="s">
        <v>52</v>
      </c>
      <c r="I34" s="505" t="s">
        <v>79</v>
      </c>
      <c r="J34" s="17" t="s">
        <v>39</v>
      </c>
      <c r="K34" s="191">
        <f>200/3.4528*1000</f>
        <v>57924</v>
      </c>
      <c r="L34" s="147" t="s">
        <v>102</v>
      </c>
      <c r="M34" s="52">
        <v>1</v>
      </c>
      <c r="N34" s="14"/>
    </row>
    <row r="35" spans="1:14" ht="26.25" customHeight="1" thickBot="1">
      <c r="A35" s="332"/>
      <c r="B35" s="335"/>
      <c r="C35" s="338"/>
      <c r="D35" s="338"/>
      <c r="E35" s="341"/>
      <c r="F35" s="396"/>
      <c r="G35" s="510"/>
      <c r="H35" s="329"/>
      <c r="I35" s="507"/>
      <c r="J35" s="37" t="s">
        <v>6</v>
      </c>
      <c r="K35" s="172">
        <f>SUM(K34:K34)</f>
        <v>57924</v>
      </c>
      <c r="L35" s="160"/>
      <c r="M35" s="42"/>
      <c r="N35" s="14"/>
    </row>
    <row r="36" spans="1:14" ht="16.5" customHeight="1" thickBot="1">
      <c r="A36" s="46" t="s">
        <v>5</v>
      </c>
      <c r="B36" s="12" t="s">
        <v>5</v>
      </c>
      <c r="C36" s="355" t="s">
        <v>8</v>
      </c>
      <c r="D36" s="355"/>
      <c r="E36" s="355"/>
      <c r="F36" s="355"/>
      <c r="G36" s="355"/>
      <c r="H36" s="355"/>
      <c r="I36" s="355"/>
      <c r="J36" s="356"/>
      <c r="K36" s="173">
        <f>K33+K24+K35</f>
        <v>425075</v>
      </c>
      <c r="L36" s="144"/>
      <c r="M36" s="145"/>
    </row>
    <row r="37" spans="1:14" ht="14.25" customHeight="1" thickBot="1">
      <c r="A37" s="46" t="s">
        <v>5</v>
      </c>
      <c r="B37" s="12" t="s">
        <v>7</v>
      </c>
      <c r="C37" s="357" t="s">
        <v>47</v>
      </c>
      <c r="D37" s="358"/>
      <c r="E37" s="358"/>
      <c r="F37" s="358"/>
      <c r="G37" s="358"/>
      <c r="H37" s="358"/>
      <c r="I37" s="358"/>
      <c r="J37" s="358"/>
      <c r="K37" s="358"/>
      <c r="L37" s="358"/>
      <c r="M37" s="359"/>
    </row>
    <row r="38" spans="1:14" ht="26.25" customHeight="1">
      <c r="A38" s="330" t="s">
        <v>5</v>
      </c>
      <c r="B38" s="333" t="s">
        <v>7</v>
      </c>
      <c r="C38" s="336" t="s">
        <v>5</v>
      </c>
      <c r="D38" s="336"/>
      <c r="E38" s="339" t="s">
        <v>55</v>
      </c>
      <c r="F38" s="342" t="s">
        <v>65</v>
      </c>
      <c r="G38" s="515" t="s">
        <v>147</v>
      </c>
      <c r="H38" s="349" t="s">
        <v>52</v>
      </c>
      <c r="I38" s="505" t="s">
        <v>79</v>
      </c>
      <c r="J38" s="34" t="s">
        <v>39</v>
      </c>
      <c r="K38" s="168">
        <f>46.6/3.4528*1000</f>
        <v>13496</v>
      </c>
      <c r="L38" s="161" t="s">
        <v>70</v>
      </c>
      <c r="M38" s="40">
        <v>5</v>
      </c>
      <c r="N38" s="14"/>
    </row>
    <row r="39" spans="1:14" ht="27" customHeight="1">
      <c r="A39" s="331"/>
      <c r="B39" s="334"/>
      <c r="C39" s="337"/>
      <c r="D39" s="337"/>
      <c r="E39" s="340"/>
      <c r="F39" s="343"/>
      <c r="G39" s="516"/>
      <c r="H39" s="350"/>
      <c r="I39" s="506"/>
      <c r="J39" s="197"/>
      <c r="K39" s="199"/>
      <c r="L39" s="85" t="s">
        <v>78</v>
      </c>
      <c r="M39" s="158">
        <v>1</v>
      </c>
      <c r="N39" s="14"/>
    </row>
    <row r="40" spans="1:14" ht="18" customHeight="1">
      <c r="A40" s="331"/>
      <c r="B40" s="334"/>
      <c r="C40" s="337"/>
      <c r="D40" s="337"/>
      <c r="E40" s="340"/>
      <c r="F40" s="343"/>
      <c r="G40" s="516"/>
      <c r="H40" s="350"/>
      <c r="I40" s="506"/>
      <c r="J40" s="18"/>
      <c r="K40" s="174"/>
      <c r="L40" s="522" t="s">
        <v>72</v>
      </c>
      <c r="M40" s="521">
        <v>4</v>
      </c>
      <c r="N40" s="14"/>
    </row>
    <row r="41" spans="1:14" ht="17.25" customHeight="1" thickBot="1">
      <c r="A41" s="332"/>
      <c r="B41" s="335"/>
      <c r="C41" s="338"/>
      <c r="D41" s="338"/>
      <c r="E41" s="341"/>
      <c r="F41" s="344"/>
      <c r="G41" s="517"/>
      <c r="H41" s="351"/>
      <c r="I41" s="507"/>
      <c r="J41" s="36" t="s">
        <v>6</v>
      </c>
      <c r="K41" s="175">
        <f>SUM(K38:K40)</f>
        <v>13496</v>
      </c>
      <c r="L41" s="523"/>
      <c r="M41" s="361"/>
      <c r="N41" s="14"/>
    </row>
    <row r="42" spans="1:14" ht="27.75" customHeight="1">
      <c r="A42" s="330" t="s">
        <v>5</v>
      </c>
      <c r="B42" s="333" t="s">
        <v>7</v>
      </c>
      <c r="C42" s="336" t="s">
        <v>7</v>
      </c>
      <c r="D42" s="336"/>
      <c r="E42" s="391" t="s">
        <v>56</v>
      </c>
      <c r="F42" s="394" t="s">
        <v>122</v>
      </c>
      <c r="G42" s="524" t="s">
        <v>148</v>
      </c>
      <c r="H42" s="349" t="s">
        <v>52</v>
      </c>
      <c r="I42" s="505" t="s">
        <v>79</v>
      </c>
      <c r="J42" s="200" t="s">
        <v>39</v>
      </c>
      <c r="K42" s="40">
        <f>240/3.4528*1000</f>
        <v>69509</v>
      </c>
      <c r="L42" s="147" t="s">
        <v>60</v>
      </c>
      <c r="M42" s="52">
        <v>100</v>
      </c>
      <c r="N42" s="14"/>
    </row>
    <row r="43" spans="1:14" ht="25.5" customHeight="1">
      <c r="A43" s="331"/>
      <c r="B43" s="334"/>
      <c r="C43" s="337"/>
      <c r="D43" s="337"/>
      <c r="E43" s="392"/>
      <c r="F43" s="395"/>
      <c r="G43" s="525"/>
      <c r="H43" s="350"/>
      <c r="I43" s="506"/>
      <c r="J43" s="118"/>
      <c r="K43" s="177"/>
      <c r="L43" s="85" t="s">
        <v>73</v>
      </c>
      <c r="M43" s="87">
        <v>40</v>
      </c>
      <c r="N43" s="14"/>
    </row>
    <row r="44" spans="1:14" ht="27" customHeight="1" thickBot="1">
      <c r="A44" s="332"/>
      <c r="B44" s="335"/>
      <c r="C44" s="338"/>
      <c r="D44" s="338"/>
      <c r="E44" s="393"/>
      <c r="F44" s="396"/>
      <c r="G44" s="526"/>
      <c r="H44" s="351"/>
      <c r="I44" s="507"/>
      <c r="J44" s="37" t="s">
        <v>6</v>
      </c>
      <c r="K44" s="172">
        <f t="shared" ref="K44" si="2">SUM(K42:K43)</f>
        <v>69509</v>
      </c>
      <c r="L44" s="160" t="s">
        <v>143</v>
      </c>
      <c r="M44" s="42">
        <v>10</v>
      </c>
      <c r="N44" s="14"/>
    </row>
    <row r="45" spans="1:14" ht="21.75" customHeight="1">
      <c r="A45" s="330" t="s">
        <v>5</v>
      </c>
      <c r="B45" s="333" t="s">
        <v>7</v>
      </c>
      <c r="C45" s="336" t="s">
        <v>41</v>
      </c>
      <c r="D45" s="336"/>
      <c r="E45" s="453" t="s">
        <v>57</v>
      </c>
      <c r="F45" s="456"/>
      <c r="G45" s="515" t="s">
        <v>149</v>
      </c>
      <c r="H45" s="349" t="s">
        <v>52</v>
      </c>
      <c r="I45" s="505" t="s">
        <v>79</v>
      </c>
      <c r="J45" s="200" t="s">
        <v>39</v>
      </c>
      <c r="K45" s="40">
        <f>42/3.4528*1000</f>
        <v>12164</v>
      </c>
      <c r="L45" s="446" t="s">
        <v>58</v>
      </c>
      <c r="M45" s="27">
        <v>12</v>
      </c>
      <c r="N45" s="14"/>
    </row>
    <row r="46" spans="1:14" ht="20.25" customHeight="1">
      <c r="A46" s="331"/>
      <c r="B46" s="334"/>
      <c r="C46" s="337"/>
      <c r="D46" s="337"/>
      <c r="E46" s="454"/>
      <c r="F46" s="457"/>
      <c r="G46" s="516"/>
      <c r="H46" s="350"/>
      <c r="I46" s="506"/>
      <c r="J46" s="118"/>
      <c r="K46" s="178"/>
      <c r="L46" s="447"/>
      <c r="M46" s="98"/>
      <c r="N46" s="14"/>
    </row>
    <row r="47" spans="1:14" ht="22.5" customHeight="1" thickBot="1">
      <c r="A47" s="332"/>
      <c r="B47" s="335"/>
      <c r="C47" s="338"/>
      <c r="D47" s="338"/>
      <c r="E47" s="455"/>
      <c r="F47" s="458"/>
      <c r="G47" s="517"/>
      <c r="H47" s="351"/>
      <c r="I47" s="507"/>
      <c r="J47" s="36" t="s">
        <v>6</v>
      </c>
      <c r="K47" s="175">
        <f t="shared" ref="K47" si="3">SUM(K45:K46)</f>
        <v>12164</v>
      </c>
      <c r="L47" s="448"/>
      <c r="M47" s="146"/>
      <c r="N47" s="14"/>
    </row>
    <row r="48" spans="1:14" ht="43.5" customHeight="1">
      <c r="A48" s="92" t="s">
        <v>5</v>
      </c>
      <c r="B48" s="139" t="s">
        <v>7</v>
      </c>
      <c r="C48" s="93" t="s">
        <v>42</v>
      </c>
      <c r="D48" s="141"/>
      <c r="E48" s="518" t="s">
        <v>92</v>
      </c>
      <c r="F48" s="451"/>
      <c r="G48" s="509" t="s">
        <v>150</v>
      </c>
      <c r="H48" s="350" t="s">
        <v>52</v>
      </c>
      <c r="I48" s="506" t="s">
        <v>79</v>
      </c>
      <c r="J48" s="23" t="s">
        <v>39</v>
      </c>
      <c r="K48" s="179">
        <f>14.2/3.4528*1000</f>
        <v>4113</v>
      </c>
      <c r="L48" s="94" t="s">
        <v>128</v>
      </c>
      <c r="M48" s="91">
        <v>12</v>
      </c>
      <c r="N48" s="14"/>
    </row>
    <row r="49" spans="1:14" ht="22.5" customHeight="1" thickBot="1">
      <c r="A49" s="88"/>
      <c r="B49" s="140"/>
      <c r="C49" s="89"/>
      <c r="D49" s="142"/>
      <c r="E49" s="519"/>
      <c r="F49" s="452"/>
      <c r="G49" s="520"/>
      <c r="H49" s="351"/>
      <c r="I49" s="507"/>
      <c r="J49" s="36" t="s">
        <v>6</v>
      </c>
      <c r="K49" s="175">
        <f t="shared" ref="K49" si="4">SUM(K48:K48)</f>
        <v>4113</v>
      </c>
      <c r="L49" s="192" t="s">
        <v>125</v>
      </c>
      <c r="M49" s="193">
        <v>4</v>
      </c>
      <c r="N49" s="14"/>
    </row>
    <row r="50" spans="1:14" ht="15" customHeight="1" thickBot="1">
      <c r="A50" s="47" t="s">
        <v>5</v>
      </c>
      <c r="B50" s="12" t="s">
        <v>7</v>
      </c>
      <c r="C50" s="355" t="s">
        <v>8</v>
      </c>
      <c r="D50" s="355"/>
      <c r="E50" s="355"/>
      <c r="F50" s="355"/>
      <c r="G50" s="355"/>
      <c r="H50" s="355"/>
      <c r="I50" s="355"/>
      <c r="J50" s="356"/>
      <c r="K50" s="180">
        <f>SUM(K47,K44,K41,K49)</f>
        <v>99282</v>
      </c>
      <c r="L50" s="459"/>
      <c r="M50" s="461"/>
    </row>
    <row r="51" spans="1:14" ht="14.25" customHeight="1" thickBot="1">
      <c r="A51" s="47" t="s">
        <v>5</v>
      </c>
      <c r="B51" s="462" t="s">
        <v>9</v>
      </c>
      <c r="C51" s="463"/>
      <c r="D51" s="463"/>
      <c r="E51" s="463"/>
      <c r="F51" s="463"/>
      <c r="G51" s="463"/>
      <c r="H51" s="463"/>
      <c r="I51" s="463"/>
      <c r="J51" s="464"/>
      <c r="K51" s="181">
        <f>SUM(K36,K50)</f>
        <v>524357</v>
      </c>
      <c r="L51" s="410"/>
      <c r="M51" s="412"/>
    </row>
    <row r="52" spans="1:14" ht="14.25" customHeight="1" thickBot="1">
      <c r="A52" s="48" t="s">
        <v>7</v>
      </c>
      <c r="B52" s="440" t="s">
        <v>48</v>
      </c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2"/>
    </row>
    <row r="53" spans="1:14" ht="14.25" customHeight="1" thickBot="1">
      <c r="A53" s="46" t="s">
        <v>7</v>
      </c>
      <c r="B53" s="12" t="s">
        <v>5</v>
      </c>
      <c r="C53" s="443" t="s">
        <v>49</v>
      </c>
      <c r="D53" s="444"/>
      <c r="E53" s="444"/>
      <c r="F53" s="444"/>
      <c r="G53" s="444"/>
      <c r="H53" s="444"/>
      <c r="I53" s="444"/>
      <c r="J53" s="444"/>
      <c r="K53" s="444"/>
      <c r="L53" s="444"/>
      <c r="M53" s="445"/>
    </row>
    <row r="54" spans="1:14" ht="16.5" customHeight="1">
      <c r="A54" s="330" t="s">
        <v>7</v>
      </c>
      <c r="B54" s="333" t="s">
        <v>5</v>
      </c>
      <c r="C54" s="336" t="s">
        <v>5</v>
      </c>
      <c r="D54" s="336"/>
      <c r="E54" s="419" t="s">
        <v>71</v>
      </c>
      <c r="F54" s="53" t="s">
        <v>53</v>
      </c>
      <c r="G54" s="511" t="s">
        <v>151</v>
      </c>
      <c r="H54" s="349" t="s">
        <v>52</v>
      </c>
      <c r="I54" s="505" t="s">
        <v>80</v>
      </c>
      <c r="J54" s="34" t="s">
        <v>50</v>
      </c>
      <c r="K54" s="256">
        <v>196883</v>
      </c>
      <c r="L54" s="105" t="s">
        <v>95</v>
      </c>
      <c r="M54" s="31"/>
      <c r="N54" s="14"/>
    </row>
    <row r="55" spans="1:14" ht="24" customHeight="1">
      <c r="A55" s="331"/>
      <c r="B55" s="334"/>
      <c r="C55" s="337"/>
      <c r="D55" s="337"/>
      <c r="E55" s="420"/>
      <c r="F55" s="493" t="s">
        <v>63</v>
      </c>
      <c r="G55" s="512"/>
      <c r="H55" s="350"/>
      <c r="I55" s="506"/>
      <c r="J55" s="79" t="s">
        <v>39</v>
      </c>
      <c r="K55" s="320">
        <f>867875+144986</f>
        <v>1012861</v>
      </c>
      <c r="L55" s="397" t="s">
        <v>135</v>
      </c>
      <c r="M55" s="164">
        <v>100</v>
      </c>
      <c r="N55" s="14"/>
    </row>
    <row r="56" spans="1:14" ht="21" customHeight="1">
      <c r="A56" s="331"/>
      <c r="B56" s="334"/>
      <c r="C56" s="337"/>
      <c r="D56" s="337"/>
      <c r="E56" s="420"/>
      <c r="F56" s="494"/>
      <c r="G56" s="512"/>
      <c r="H56" s="350"/>
      <c r="I56" s="506"/>
      <c r="J56" s="79" t="s">
        <v>140</v>
      </c>
      <c r="K56" s="320">
        <f>170441+122094</f>
        <v>292535</v>
      </c>
      <c r="L56" s="514"/>
      <c r="M56" s="98"/>
      <c r="N56" s="14"/>
    </row>
    <row r="57" spans="1:14" ht="23.25" customHeight="1">
      <c r="A57" s="331"/>
      <c r="B57" s="334"/>
      <c r="C57" s="337"/>
      <c r="D57" s="337"/>
      <c r="E57" s="420"/>
      <c r="F57" s="494"/>
      <c r="G57" s="512"/>
      <c r="H57" s="350"/>
      <c r="I57" s="506"/>
      <c r="J57" s="118" t="s">
        <v>51</v>
      </c>
      <c r="K57" s="300">
        <f>2461770-122094</f>
        <v>2339676</v>
      </c>
      <c r="L57" s="398"/>
      <c r="M57" s="166"/>
      <c r="N57" s="14"/>
    </row>
    <row r="58" spans="1:14" ht="23.25" customHeight="1" thickBot="1">
      <c r="A58" s="332"/>
      <c r="B58" s="335"/>
      <c r="C58" s="338"/>
      <c r="D58" s="338"/>
      <c r="E58" s="421"/>
      <c r="F58" s="495"/>
      <c r="G58" s="513"/>
      <c r="H58" s="351"/>
      <c r="I58" s="507"/>
      <c r="J58" s="36" t="s">
        <v>6</v>
      </c>
      <c r="K58" s="182">
        <f t="shared" ref="K58" si="5">SUM(K54:K57)</f>
        <v>3841955</v>
      </c>
      <c r="L58" s="22" t="s">
        <v>136</v>
      </c>
      <c r="M58" s="98"/>
      <c r="N58" s="14"/>
    </row>
    <row r="59" spans="1:14" ht="21.75" customHeight="1">
      <c r="A59" s="330" t="s">
        <v>7</v>
      </c>
      <c r="B59" s="333" t="s">
        <v>5</v>
      </c>
      <c r="C59" s="401" t="s">
        <v>7</v>
      </c>
      <c r="D59" s="401"/>
      <c r="E59" s="404" t="s">
        <v>129</v>
      </c>
      <c r="F59" s="57" t="s">
        <v>53</v>
      </c>
      <c r="G59" s="508" t="s">
        <v>152</v>
      </c>
      <c r="H59" s="349" t="s">
        <v>52</v>
      </c>
      <c r="I59" s="505" t="s">
        <v>80</v>
      </c>
      <c r="J59" s="68" t="s">
        <v>39</v>
      </c>
      <c r="K59" s="176">
        <f>50/3.4528*1000</f>
        <v>14481</v>
      </c>
      <c r="L59" s="143" t="s">
        <v>97</v>
      </c>
      <c r="M59" s="27">
        <v>1</v>
      </c>
      <c r="N59" s="14"/>
    </row>
    <row r="60" spans="1:14" ht="18.75" customHeight="1">
      <c r="A60" s="331"/>
      <c r="B60" s="334"/>
      <c r="C60" s="402"/>
      <c r="D60" s="402"/>
      <c r="E60" s="405"/>
      <c r="F60" s="352" t="s">
        <v>121</v>
      </c>
      <c r="G60" s="509"/>
      <c r="H60" s="350"/>
      <c r="I60" s="506"/>
      <c r="J60" s="165" t="s">
        <v>50</v>
      </c>
      <c r="K60" s="183"/>
      <c r="L60" s="268" t="s">
        <v>156</v>
      </c>
      <c r="M60" s="303"/>
      <c r="N60" s="14"/>
    </row>
    <row r="61" spans="1:14" ht="24" customHeight="1" thickBot="1">
      <c r="A61" s="332"/>
      <c r="B61" s="335"/>
      <c r="C61" s="403"/>
      <c r="D61" s="403"/>
      <c r="E61" s="406"/>
      <c r="F61" s="354"/>
      <c r="G61" s="510"/>
      <c r="H61" s="351"/>
      <c r="I61" s="507"/>
      <c r="J61" s="37" t="s">
        <v>6</v>
      </c>
      <c r="K61" s="184">
        <f>SUM(K59:K60)</f>
        <v>14481</v>
      </c>
      <c r="L61" s="22"/>
      <c r="M61" s="146"/>
      <c r="N61" s="14"/>
    </row>
    <row r="62" spans="1:14" ht="15.75" customHeight="1" thickBot="1">
      <c r="A62" s="138" t="s">
        <v>7</v>
      </c>
      <c r="B62" s="140" t="s">
        <v>5</v>
      </c>
      <c r="C62" s="422" t="s">
        <v>8</v>
      </c>
      <c r="D62" s="355"/>
      <c r="E62" s="355"/>
      <c r="F62" s="355"/>
      <c r="G62" s="355"/>
      <c r="H62" s="355"/>
      <c r="I62" s="355"/>
      <c r="J62" s="356"/>
      <c r="K62" s="173">
        <f>K61+K58</f>
        <v>3856436</v>
      </c>
      <c r="L62" s="407"/>
      <c r="M62" s="409"/>
    </row>
    <row r="63" spans="1:14" ht="15.75" customHeight="1" thickBot="1">
      <c r="A63" s="46" t="s">
        <v>7</v>
      </c>
      <c r="B63" s="462" t="s">
        <v>9</v>
      </c>
      <c r="C63" s="463"/>
      <c r="D63" s="463"/>
      <c r="E63" s="463"/>
      <c r="F63" s="463"/>
      <c r="G63" s="463"/>
      <c r="H63" s="463"/>
      <c r="I63" s="463"/>
      <c r="J63" s="464"/>
      <c r="K63" s="185">
        <f t="shared" ref="K63" si="6">SUM(K62)</f>
        <v>3856436</v>
      </c>
      <c r="L63" s="410"/>
      <c r="M63" s="412"/>
    </row>
    <row r="64" spans="1:14" ht="15.75" customHeight="1" thickBot="1">
      <c r="A64" s="32" t="s">
        <v>5</v>
      </c>
      <c r="B64" s="413" t="s">
        <v>138</v>
      </c>
      <c r="C64" s="414"/>
      <c r="D64" s="414"/>
      <c r="E64" s="414"/>
      <c r="F64" s="414"/>
      <c r="G64" s="414"/>
      <c r="H64" s="414"/>
      <c r="I64" s="414"/>
      <c r="J64" s="415"/>
      <c r="K64" s="186">
        <f>SUM(K51,K63)</f>
        <v>4380793</v>
      </c>
      <c r="L64" s="416"/>
      <c r="M64" s="418"/>
    </row>
    <row r="65" spans="1:33" s="20" customFormat="1" ht="14.25" customHeight="1">
      <c r="A65" s="504" t="s">
        <v>159</v>
      </c>
      <c r="B65" s="504"/>
      <c r="C65" s="504"/>
      <c r="D65" s="504"/>
      <c r="E65" s="504"/>
      <c r="F65" s="504"/>
      <c r="G65" s="504"/>
      <c r="H65" s="504"/>
      <c r="I65" s="504"/>
      <c r="J65" s="504"/>
      <c r="K65" s="504"/>
      <c r="L65" s="504"/>
      <c r="M65" s="50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s="20" customFormat="1" ht="20.25" customHeight="1">
      <c r="A66" s="400"/>
      <c r="B66" s="400"/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s="20" customFormat="1" ht="14.25" customHeight="1" thickBot="1">
      <c r="A67" s="486" t="s">
        <v>13</v>
      </c>
      <c r="B67" s="486"/>
      <c r="C67" s="486"/>
      <c r="D67" s="486"/>
      <c r="E67" s="486"/>
      <c r="F67" s="486"/>
      <c r="G67" s="486"/>
      <c r="H67" s="486"/>
      <c r="I67" s="486"/>
      <c r="J67" s="486"/>
      <c r="K67" s="486"/>
      <c r="L67" s="7"/>
      <c r="M67" s="7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63" customHeight="1" thickBot="1">
      <c r="A68" s="487" t="s">
        <v>10</v>
      </c>
      <c r="B68" s="488"/>
      <c r="C68" s="488"/>
      <c r="D68" s="488"/>
      <c r="E68" s="488"/>
      <c r="F68" s="488"/>
      <c r="G68" s="488"/>
      <c r="H68" s="488"/>
      <c r="I68" s="488"/>
      <c r="J68" s="489"/>
      <c r="K68" s="162" t="s">
        <v>133</v>
      </c>
    </row>
    <row r="69" spans="1:33" ht="14.25" customHeight="1">
      <c r="A69" s="490" t="s">
        <v>14</v>
      </c>
      <c r="B69" s="491"/>
      <c r="C69" s="491"/>
      <c r="D69" s="491"/>
      <c r="E69" s="491"/>
      <c r="F69" s="491"/>
      <c r="G69" s="491"/>
      <c r="H69" s="491"/>
      <c r="I69" s="491"/>
      <c r="J69" s="492"/>
      <c r="K69" s="187">
        <f>SUM(K70:K72)</f>
        <v>1748582</v>
      </c>
    </row>
    <row r="70" spans="1:33" ht="14.25" customHeight="1">
      <c r="A70" s="480" t="s">
        <v>35</v>
      </c>
      <c r="B70" s="481"/>
      <c r="C70" s="481"/>
      <c r="D70" s="481"/>
      <c r="E70" s="481"/>
      <c r="F70" s="481"/>
      <c r="G70" s="481"/>
      <c r="H70" s="481"/>
      <c r="I70" s="481"/>
      <c r="J70" s="482"/>
      <c r="K70" s="188">
        <f>SUMIF(J20:J64,"SB",K20:K64)</f>
        <v>1406889</v>
      </c>
    </row>
    <row r="71" spans="1:33" ht="14.25" customHeight="1">
      <c r="A71" s="483" t="s">
        <v>104</v>
      </c>
      <c r="B71" s="484"/>
      <c r="C71" s="484"/>
      <c r="D71" s="484"/>
      <c r="E71" s="484"/>
      <c r="F71" s="484"/>
      <c r="G71" s="484"/>
      <c r="H71" s="484"/>
      <c r="I71" s="484"/>
      <c r="J71" s="485"/>
      <c r="K71" s="188">
        <f>SUMIF(J20:J64,"SB(VB)",K20:K64)</f>
        <v>144810</v>
      </c>
    </row>
    <row r="72" spans="1:33" ht="14.25" customHeight="1">
      <c r="A72" s="483" t="s">
        <v>36</v>
      </c>
      <c r="B72" s="484"/>
      <c r="C72" s="484"/>
      <c r="D72" s="484"/>
      <c r="E72" s="484"/>
      <c r="F72" s="484"/>
      <c r="G72" s="484"/>
      <c r="H72" s="484"/>
      <c r="I72" s="484"/>
      <c r="J72" s="485"/>
      <c r="K72" s="188">
        <f>SUMIF(J20:J64,"SB(P)",K20:K64)</f>
        <v>196883</v>
      </c>
      <c r="L72" s="35"/>
    </row>
    <row r="73" spans="1:33" ht="14.25" customHeight="1">
      <c r="A73" s="323" t="s">
        <v>142</v>
      </c>
      <c r="B73" s="502"/>
      <c r="C73" s="502"/>
      <c r="D73" s="502"/>
      <c r="E73" s="502"/>
      <c r="F73" s="502"/>
      <c r="G73" s="502"/>
      <c r="H73" s="502"/>
      <c r="I73" s="502"/>
      <c r="J73" s="503"/>
      <c r="K73" s="204">
        <f>SUMIF(J21:J65,"PF",K21:K65)</f>
        <v>292535</v>
      </c>
      <c r="L73" s="35"/>
    </row>
    <row r="74" spans="1:33" ht="14.25" customHeight="1">
      <c r="A74" s="477" t="s">
        <v>15</v>
      </c>
      <c r="B74" s="478"/>
      <c r="C74" s="478"/>
      <c r="D74" s="478"/>
      <c r="E74" s="478"/>
      <c r="F74" s="478"/>
      <c r="G74" s="478"/>
      <c r="H74" s="478"/>
      <c r="I74" s="478"/>
      <c r="J74" s="479"/>
      <c r="K74" s="189">
        <f>SUM(K75:L77)</f>
        <v>2339676</v>
      </c>
    </row>
    <row r="75" spans="1:33" ht="18.75" customHeight="1">
      <c r="A75" s="474" t="s">
        <v>93</v>
      </c>
      <c r="B75" s="475"/>
      <c r="C75" s="475"/>
      <c r="D75" s="475"/>
      <c r="E75" s="475"/>
      <c r="F75" s="475"/>
      <c r="G75" s="475"/>
      <c r="H75" s="475"/>
      <c r="I75" s="475"/>
      <c r="J75" s="476"/>
      <c r="K75" s="188">
        <f>SUMIF(J19:J64,"KVJUD",K19:K64)</f>
        <v>0</v>
      </c>
    </row>
    <row r="76" spans="1:33" ht="18.75" customHeight="1">
      <c r="A76" s="474" t="s">
        <v>94</v>
      </c>
      <c r="B76" s="475"/>
      <c r="C76" s="475"/>
      <c r="D76" s="475"/>
      <c r="E76" s="475"/>
      <c r="F76" s="475"/>
      <c r="G76" s="475"/>
      <c r="H76" s="475"/>
      <c r="I76" s="475"/>
      <c r="J76" s="476"/>
      <c r="K76" s="188">
        <f>SUMIF(J19:J63,"LRVB",K19:K63)</f>
        <v>0</v>
      </c>
    </row>
    <row r="77" spans="1:33" ht="18.75" customHeight="1">
      <c r="A77" s="474" t="s">
        <v>37</v>
      </c>
      <c r="B77" s="475"/>
      <c r="C77" s="475"/>
      <c r="D77" s="475"/>
      <c r="E77" s="475"/>
      <c r="F77" s="475"/>
      <c r="G77" s="475"/>
      <c r="H77" s="475"/>
      <c r="I77" s="475"/>
      <c r="J77" s="476"/>
      <c r="K77" s="188">
        <f>SUMIF(J20:J64,"ES",K20:K64)</f>
        <v>2339676</v>
      </c>
    </row>
    <row r="78" spans="1:33" ht="14.25" customHeight="1" thickBot="1">
      <c r="A78" s="468" t="s">
        <v>16</v>
      </c>
      <c r="B78" s="469"/>
      <c r="C78" s="469"/>
      <c r="D78" s="469"/>
      <c r="E78" s="469"/>
      <c r="F78" s="469"/>
      <c r="G78" s="469"/>
      <c r="H78" s="469"/>
      <c r="I78" s="469"/>
      <c r="J78" s="470"/>
      <c r="K78" s="190">
        <f>K74+K73+K69</f>
        <v>4380793</v>
      </c>
    </row>
    <row r="79" spans="1:33">
      <c r="K79" s="148"/>
    </row>
    <row r="81" spans="8:37" s="9" customFormat="1">
      <c r="H81" s="10"/>
      <c r="I81" s="10"/>
      <c r="J81" s="11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</sheetData>
  <mergeCells count="133">
    <mergeCell ref="A9:M9"/>
    <mergeCell ref="A10:M10"/>
    <mergeCell ref="A11:M11"/>
    <mergeCell ref="A13:A15"/>
    <mergeCell ref="B13:B15"/>
    <mergeCell ref="C13:C15"/>
    <mergeCell ref="D13:D15"/>
    <mergeCell ref="E13:E15"/>
    <mergeCell ref="F13:F15"/>
    <mergeCell ref="L12:M12"/>
    <mergeCell ref="K13:K15"/>
    <mergeCell ref="L32:L33"/>
    <mergeCell ref="A34:A35"/>
    <mergeCell ref="B34:B35"/>
    <mergeCell ref="C34:C35"/>
    <mergeCell ref="D34:D35"/>
    <mergeCell ref="L14:L15"/>
    <mergeCell ref="A16:M16"/>
    <mergeCell ref="L13:M13"/>
    <mergeCell ref="G13:G15"/>
    <mergeCell ref="H13:H15"/>
    <mergeCell ref="I13:I15"/>
    <mergeCell ref="J13:J15"/>
    <mergeCell ref="A17:M17"/>
    <mergeCell ref="B18:M18"/>
    <mergeCell ref="C19:M19"/>
    <mergeCell ref="A20:A24"/>
    <mergeCell ref="B20:B24"/>
    <mergeCell ref="C20:C24"/>
    <mergeCell ref="D20:D24"/>
    <mergeCell ref="E20:E24"/>
    <mergeCell ref="F20:F24"/>
    <mergeCell ref="G20:G24"/>
    <mergeCell ref="H20:H24"/>
    <mergeCell ref="I20:I24"/>
    <mergeCell ref="A25:A33"/>
    <mergeCell ref="B25:B33"/>
    <mergeCell ref="C25:C33"/>
    <mergeCell ref="D25:D33"/>
    <mergeCell ref="E25:E33"/>
    <mergeCell ref="F25:F33"/>
    <mergeCell ref="G25:G33"/>
    <mergeCell ref="H25:H33"/>
    <mergeCell ref="I25:I33"/>
    <mergeCell ref="A38:A41"/>
    <mergeCell ref="B38:B41"/>
    <mergeCell ref="C38:C41"/>
    <mergeCell ref="D38:D41"/>
    <mergeCell ref="E38:E41"/>
    <mergeCell ref="F38:F41"/>
    <mergeCell ref="G42:G44"/>
    <mergeCell ref="H42:H44"/>
    <mergeCell ref="I42:I44"/>
    <mergeCell ref="G38:G41"/>
    <mergeCell ref="H38:H41"/>
    <mergeCell ref="I38:I41"/>
    <mergeCell ref="I34:I35"/>
    <mergeCell ref="C36:J36"/>
    <mergeCell ref="C37:M37"/>
    <mergeCell ref="M40:M41"/>
    <mergeCell ref="L40:L41"/>
    <mergeCell ref="E34:E35"/>
    <mergeCell ref="F34:F35"/>
    <mergeCell ref="G34:G35"/>
    <mergeCell ref="H34:H35"/>
    <mergeCell ref="A45:A47"/>
    <mergeCell ref="B45:B47"/>
    <mergeCell ref="C45:C47"/>
    <mergeCell ref="D45:D47"/>
    <mergeCell ref="E45:E47"/>
    <mergeCell ref="F45:F47"/>
    <mergeCell ref="A42:A44"/>
    <mergeCell ref="B42:B44"/>
    <mergeCell ref="C42:C44"/>
    <mergeCell ref="D42:D44"/>
    <mergeCell ref="E42:E44"/>
    <mergeCell ref="F42:F44"/>
    <mergeCell ref="L55:L57"/>
    <mergeCell ref="C50:J50"/>
    <mergeCell ref="L50:M50"/>
    <mergeCell ref="B51:J51"/>
    <mergeCell ref="L51:M51"/>
    <mergeCell ref="B52:M52"/>
    <mergeCell ref="C53:M53"/>
    <mergeCell ref="G45:G47"/>
    <mergeCell ref="H45:H47"/>
    <mergeCell ref="I45:I47"/>
    <mergeCell ref="L45:L47"/>
    <mergeCell ref="E48:E49"/>
    <mergeCell ref="F48:F49"/>
    <mergeCell ref="G48:G49"/>
    <mergeCell ref="H48:H49"/>
    <mergeCell ref="I48:I49"/>
    <mergeCell ref="I54:I58"/>
    <mergeCell ref="F55:F58"/>
    <mergeCell ref="H54:H58"/>
    <mergeCell ref="F60:F61"/>
    <mergeCell ref="A59:A61"/>
    <mergeCell ref="B59:B61"/>
    <mergeCell ref="C59:C61"/>
    <mergeCell ref="D59:D61"/>
    <mergeCell ref="E59:E61"/>
    <mergeCell ref="G59:G61"/>
    <mergeCell ref="A54:A58"/>
    <mergeCell ref="B54:B58"/>
    <mergeCell ref="C54:C58"/>
    <mergeCell ref="D54:D58"/>
    <mergeCell ref="E54:E58"/>
    <mergeCell ref="G54:G58"/>
    <mergeCell ref="L1:M3"/>
    <mergeCell ref="L4:M6"/>
    <mergeCell ref="A73:J73"/>
    <mergeCell ref="A77:J77"/>
    <mergeCell ref="A78:J78"/>
    <mergeCell ref="A75:J75"/>
    <mergeCell ref="A76:J76"/>
    <mergeCell ref="A72:J72"/>
    <mergeCell ref="A74:J74"/>
    <mergeCell ref="A70:J70"/>
    <mergeCell ref="A71:J71"/>
    <mergeCell ref="A67:K67"/>
    <mergeCell ref="A68:J68"/>
    <mergeCell ref="A69:J69"/>
    <mergeCell ref="B63:J63"/>
    <mergeCell ref="L63:M63"/>
    <mergeCell ref="B64:J64"/>
    <mergeCell ref="L64:M64"/>
    <mergeCell ref="A65:M65"/>
    <mergeCell ref="A66:M66"/>
    <mergeCell ref="C62:J62"/>
    <mergeCell ref="L62:M62"/>
    <mergeCell ref="H59:H61"/>
    <mergeCell ref="I59:I61"/>
  </mergeCells>
  <printOptions horizontalCentered="1"/>
  <pageMargins left="0.78740157480314965" right="0.19685039370078741" top="0.39370078740157483" bottom="0.39370078740157483" header="0" footer="0"/>
  <pageSetup paperSize="9" scale="80" orientation="portrait" r:id="rId1"/>
  <headerFooter alignWithMargins="0"/>
  <rowBreaks count="1" manualBreakCount="1">
    <brk id="47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6"/>
  <sheetViews>
    <sheetView zoomScaleNormal="100" zoomScaleSheetLayoutView="100" workbookViewId="0">
      <selection activeCell="X12" sqref="X12"/>
    </sheetView>
  </sheetViews>
  <sheetFormatPr defaultRowHeight="12.75"/>
  <cols>
    <col min="1" max="4" width="2.7109375" style="9" customWidth="1"/>
    <col min="5" max="5" width="27.5703125" style="9" customWidth="1"/>
    <col min="6" max="7" width="2.7109375" style="9" customWidth="1"/>
    <col min="8" max="8" width="3.28515625" style="10" customWidth="1"/>
    <col min="9" max="9" width="10.85546875" style="10" customWidth="1"/>
    <col min="10" max="10" width="7.7109375" style="11" customWidth="1"/>
    <col min="11" max="12" width="9.85546875" style="9" customWidth="1"/>
    <col min="13" max="13" width="9.5703125" style="9" customWidth="1"/>
    <col min="14" max="14" width="33" style="9" customWidth="1"/>
    <col min="15" max="15" width="8.5703125" style="9" customWidth="1"/>
    <col min="16" max="16384" width="9.140625" style="8"/>
  </cols>
  <sheetData>
    <row r="1" spans="1:17" ht="18.75" customHeight="1">
      <c r="H1" s="150"/>
      <c r="I1" s="150"/>
      <c r="J1" s="151"/>
      <c r="N1" s="309" t="s">
        <v>157</v>
      </c>
      <c r="O1" s="273"/>
    </row>
    <row r="2" spans="1:17" ht="15" customHeight="1">
      <c r="H2" s="150"/>
      <c r="I2" s="150"/>
      <c r="J2" s="151"/>
      <c r="K2" s="272"/>
      <c r="L2" s="272"/>
      <c r="M2" s="272"/>
      <c r="N2" s="272"/>
      <c r="O2" s="272"/>
    </row>
    <row r="3" spans="1:17" ht="12.75" customHeight="1">
      <c r="H3" s="150"/>
      <c r="I3" s="150"/>
      <c r="J3" s="151"/>
      <c r="K3" s="272"/>
      <c r="L3" s="272"/>
      <c r="M3" s="272"/>
      <c r="N3" s="272"/>
      <c r="O3" s="272"/>
    </row>
    <row r="4" spans="1:17" ht="18" customHeight="1">
      <c r="A4" s="362" t="s">
        <v>131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</row>
    <row r="5" spans="1:17" ht="18" customHeight="1">
      <c r="A5" s="363" t="s">
        <v>43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</row>
    <row r="6" spans="1:17" ht="18" customHeight="1">
      <c r="A6" s="364" t="s">
        <v>31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4"/>
      <c r="Q6" s="4"/>
    </row>
    <row r="7" spans="1:17" ht="15" customHeight="1" thickBot="1">
      <c r="N7" s="543" t="s">
        <v>123</v>
      </c>
      <c r="O7" s="544"/>
    </row>
    <row r="8" spans="1:17" ht="29.25" customHeight="1">
      <c r="A8" s="366" t="s">
        <v>32</v>
      </c>
      <c r="B8" s="369" t="s">
        <v>0</v>
      </c>
      <c r="C8" s="369" t="s">
        <v>1</v>
      </c>
      <c r="D8" s="369" t="s">
        <v>40</v>
      </c>
      <c r="E8" s="537" t="s">
        <v>12</v>
      </c>
      <c r="F8" s="540" t="s">
        <v>2</v>
      </c>
      <c r="G8" s="369" t="s">
        <v>132</v>
      </c>
      <c r="H8" s="381" t="s">
        <v>3</v>
      </c>
      <c r="I8" s="534" t="s">
        <v>33</v>
      </c>
      <c r="J8" s="384" t="s">
        <v>4</v>
      </c>
      <c r="K8" s="471" t="s">
        <v>133</v>
      </c>
      <c r="L8" s="471" t="s">
        <v>154</v>
      </c>
      <c r="M8" s="471" t="s">
        <v>155</v>
      </c>
      <c r="N8" s="530" t="s">
        <v>134</v>
      </c>
      <c r="O8" s="531"/>
    </row>
    <row r="9" spans="1:17" ht="18" customHeight="1">
      <c r="A9" s="367"/>
      <c r="B9" s="370"/>
      <c r="C9" s="370"/>
      <c r="D9" s="370"/>
      <c r="E9" s="538"/>
      <c r="F9" s="541"/>
      <c r="G9" s="532"/>
      <c r="H9" s="382"/>
      <c r="I9" s="535"/>
      <c r="J9" s="385"/>
      <c r="K9" s="545"/>
      <c r="L9" s="545"/>
      <c r="M9" s="545"/>
      <c r="N9" s="429" t="s">
        <v>12</v>
      </c>
      <c r="O9" s="152" t="s">
        <v>124</v>
      </c>
    </row>
    <row r="10" spans="1:17" ht="60.75" customHeight="1" thickBot="1">
      <c r="A10" s="368"/>
      <c r="B10" s="371"/>
      <c r="C10" s="371"/>
      <c r="D10" s="371"/>
      <c r="E10" s="539"/>
      <c r="F10" s="542"/>
      <c r="G10" s="533"/>
      <c r="H10" s="383"/>
      <c r="I10" s="536"/>
      <c r="J10" s="386"/>
      <c r="K10" s="546"/>
      <c r="L10" s="546"/>
      <c r="M10" s="546"/>
      <c r="N10" s="430"/>
      <c r="O10" s="194" t="s">
        <v>38</v>
      </c>
    </row>
    <row r="11" spans="1:17" s="25" customFormat="1" ht="14.25" customHeight="1">
      <c r="A11" s="434" t="s">
        <v>59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6"/>
    </row>
    <row r="12" spans="1:17" s="25" customFormat="1" ht="14.25" customHeight="1">
      <c r="A12" s="496" t="s">
        <v>44</v>
      </c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8"/>
    </row>
    <row r="13" spans="1:17" ht="27" customHeight="1">
      <c r="A13" s="44" t="s">
        <v>5</v>
      </c>
      <c r="B13" s="423" t="s">
        <v>45</v>
      </c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5"/>
    </row>
    <row r="14" spans="1:17" ht="15.75" customHeight="1">
      <c r="A14" s="45" t="s">
        <v>5</v>
      </c>
      <c r="B14" s="33" t="s">
        <v>5</v>
      </c>
      <c r="C14" s="426" t="s">
        <v>46</v>
      </c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8"/>
    </row>
    <row r="15" spans="1:17" ht="18" customHeight="1">
      <c r="A15" s="331" t="s">
        <v>5</v>
      </c>
      <c r="B15" s="334" t="s">
        <v>5</v>
      </c>
      <c r="C15" s="337" t="s">
        <v>5</v>
      </c>
      <c r="D15" s="337"/>
      <c r="E15" s="340" t="s">
        <v>54</v>
      </c>
      <c r="F15" s="347" t="s">
        <v>64</v>
      </c>
      <c r="G15" s="525" t="s">
        <v>144</v>
      </c>
      <c r="H15" s="328" t="s">
        <v>52</v>
      </c>
      <c r="I15" s="506" t="s">
        <v>79</v>
      </c>
      <c r="J15" s="13" t="s">
        <v>39</v>
      </c>
      <c r="K15" s="281">
        <f>(125.7-26)/3.4528*1000</f>
        <v>28875</v>
      </c>
      <c r="L15" s="281">
        <f>(125.7-26)/3.4528*1000</f>
        <v>28875</v>
      </c>
      <c r="M15" s="281"/>
      <c r="N15" s="120"/>
      <c r="O15" s="153"/>
    </row>
    <row r="16" spans="1:17" ht="26.25" customHeight="1">
      <c r="A16" s="331"/>
      <c r="B16" s="334"/>
      <c r="C16" s="337"/>
      <c r="D16" s="337"/>
      <c r="E16" s="340"/>
      <c r="F16" s="347"/>
      <c r="G16" s="525"/>
      <c r="H16" s="328"/>
      <c r="I16" s="506"/>
      <c r="J16" s="197"/>
      <c r="K16" s="280"/>
      <c r="L16" s="280"/>
      <c r="M16" s="280"/>
      <c r="N16" s="310"/>
      <c r="O16" s="311"/>
    </row>
    <row r="17" spans="1:21" ht="27" customHeight="1">
      <c r="A17" s="331"/>
      <c r="B17" s="334"/>
      <c r="C17" s="337"/>
      <c r="D17" s="337"/>
      <c r="E17" s="340"/>
      <c r="F17" s="347"/>
      <c r="G17" s="525"/>
      <c r="H17" s="328"/>
      <c r="I17" s="506"/>
      <c r="J17" s="197"/>
      <c r="K17" s="280"/>
      <c r="L17" s="280"/>
      <c r="M17" s="280"/>
      <c r="N17" s="318"/>
      <c r="O17" s="312"/>
    </row>
    <row r="18" spans="1:21" ht="25.5" customHeight="1">
      <c r="A18" s="331"/>
      <c r="B18" s="334"/>
      <c r="C18" s="337"/>
      <c r="D18" s="337"/>
      <c r="E18" s="340"/>
      <c r="F18" s="347"/>
      <c r="G18" s="525"/>
      <c r="H18" s="328"/>
      <c r="I18" s="506"/>
      <c r="J18" s="16"/>
      <c r="K18" s="285"/>
      <c r="L18" s="285"/>
      <c r="M18" s="285"/>
      <c r="N18" s="310"/>
      <c r="O18" s="312"/>
      <c r="P18" s="14"/>
    </row>
    <row r="19" spans="1:21" ht="20.25" customHeight="1" thickBot="1">
      <c r="A19" s="332"/>
      <c r="B19" s="335"/>
      <c r="C19" s="338"/>
      <c r="D19" s="338"/>
      <c r="E19" s="341"/>
      <c r="F19" s="348"/>
      <c r="G19" s="526"/>
      <c r="H19" s="329"/>
      <c r="I19" s="507"/>
      <c r="J19" s="72" t="s">
        <v>6</v>
      </c>
      <c r="K19" s="289">
        <f t="shared" ref="K19" si="0">SUM(K15:K17)</f>
        <v>28875</v>
      </c>
      <c r="L19" s="289">
        <f t="shared" ref="L19" si="1">SUM(L15:L17)</f>
        <v>28875</v>
      </c>
      <c r="M19" s="289"/>
      <c r="N19" s="120"/>
      <c r="O19" s="153"/>
      <c r="P19" s="14"/>
    </row>
    <row r="20" spans="1:21" ht="25.5" customHeight="1">
      <c r="A20" s="330" t="s">
        <v>5</v>
      </c>
      <c r="B20" s="333" t="s">
        <v>5</v>
      </c>
      <c r="C20" s="336" t="s">
        <v>7</v>
      </c>
      <c r="D20" s="336"/>
      <c r="E20" s="339" t="s">
        <v>69</v>
      </c>
      <c r="F20" s="342" t="s">
        <v>66</v>
      </c>
      <c r="G20" s="527" t="s">
        <v>145</v>
      </c>
      <c r="H20" s="345" t="s">
        <v>52</v>
      </c>
      <c r="I20" s="505" t="s">
        <v>79</v>
      </c>
      <c r="J20" s="68" t="s">
        <v>39</v>
      </c>
      <c r="K20" s="282">
        <f>(868-200)/3.4528*1000</f>
        <v>193466</v>
      </c>
      <c r="L20" s="282">
        <f>(868-200)/3.4528*1000</f>
        <v>193466</v>
      </c>
      <c r="M20" s="282"/>
      <c r="N20" s="159"/>
      <c r="O20" s="156"/>
      <c r="P20" s="163"/>
    </row>
    <row r="21" spans="1:21" ht="14.25" customHeight="1">
      <c r="A21" s="331"/>
      <c r="B21" s="334"/>
      <c r="C21" s="337"/>
      <c r="D21" s="337"/>
      <c r="E21" s="340"/>
      <c r="F21" s="343"/>
      <c r="G21" s="528"/>
      <c r="H21" s="328"/>
      <c r="I21" s="506"/>
      <c r="J21" s="149" t="s">
        <v>103</v>
      </c>
      <c r="K21" s="283">
        <f>500/3.4528*1000</f>
        <v>144810</v>
      </c>
      <c r="L21" s="283">
        <f>500/3.4528*1000</f>
        <v>144810</v>
      </c>
      <c r="M21" s="283"/>
      <c r="N21" s="313"/>
      <c r="O21" s="314"/>
    </row>
    <row r="22" spans="1:21" ht="25.5" customHeight="1">
      <c r="A22" s="331"/>
      <c r="B22" s="334"/>
      <c r="C22" s="337"/>
      <c r="D22" s="337"/>
      <c r="E22" s="340"/>
      <c r="F22" s="343"/>
      <c r="G22" s="528"/>
      <c r="H22" s="328"/>
      <c r="I22" s="506"/>
      <c r="J22" s="195"/>
      <c r="K22" s="284"/>
      <c r="L22" s="284"/>
      <c r="M22" s="284"/>
      <c r="N22" s="315"/>
      <c r="O22" s="316"/>
    </row>
    <row r="23" spans="1:21" ht="24.75" customHeight="1">
      <c r="A23" s="331"/>
      <c r="B23" s="334"/>
      <c r="C23" s="337"/>
      <c r="D23" s="337"/>
      <c r="E23" s="340"/>
      <c r="F23" s="343"/>
      <c r="G23" s="528"/>
      <c r="H23" s="328"/>
      <c r="I23" s="506"/>
      <c r="J23" s="195"/>
      <c r="K23" s="284"/>
      <c r="L23" s="284"/>
      <c r="M23" s="284"/>
      <c r="N23" s="315"/>
      <c r="O23" s="316"/>
    </row>
    <row r="24" spans="1:21" ht="14.25" customHeight="1">
      <c r="A24" s="331"/>
      <c r="B24" s="334"/>
      <c r="C24" s="337"/>
      <c r="D24" s="337"/>
      <c r="E24" s="340"/>
      <c r="F24" s="343"/>
      <c r="G24" s="528"/>
      <c r="H24" s="328"/>
      <c r="I24" s="506"/>
      <c r="J24" s="195"/>
      <c r="K24" s="284"/>
      <c r="L24" s="284"/>
      <c r="M24" s="284"/>
      <c r="N24" s="315"/>
      <c r="O24" s="316"/>
    </row>
    <row r="25" spans="1:21" ht="14.25" customHeight="1">
      <c r="A25" s="331"/>
      <c r="B25" s="334"/>
      <c r="C25" s="337"/>
      <c r="D25" s="337"/>
      <c r="E25" s="340"/>
      <c r="F25" s="343"/>
      <c r="G25" s="528"/>
      <c r="H25" s="328"/>
      <c r="I25" s="506"/>
      <c r="J25" s="195"/>
      <c r="K25" s="284"/>
      <c r="L25" s="284"/>
      <c r="M25" s="284"/>
      <c r="N25" s="315"/>
      <c r="O25" s="317"/>
      <c r="S25" s="8" t="s">
        <v>137</v>
      </c>
      <c r="U25" s="8" t="s">
        <v>101</v>
      </c>
    </row>
    <row r="26" spans="1:21" ht="37.5" customHeight="1">
      <c r="A26" s="331"/>
      <c r="B26" s="334"/>
      <c r="C26" s="337"/>
      <c r="D26" s="337"/>
      <c r="E26" s="340"/>
      <c r="F26" s="343"/>
      <c r="G26" s="528"/>
      <c r="H26" s="328"/>
      <c r="I26" s="506"/>
      <c r="J26" s="195"/>
      <c r="K26" s="284"/>
      <c r="L26" s="284"/>
      <c r="M26" s="284"/>
      <c r="N26" s="315"/>
      <c r="O26" s="317"/>
    </row>
    <row r="27" spans="1:21" ht="18.75" customHeight="1">
      <c r="A27" s="331"/>
      <c r="B27" s="334"/>
      <c r="C27" s="337"/>
      <c r="D27" s="337"/>
      <c r="E27" s="340"/>
      <c r="F27" s="343"/>
      <c r="G27" s="528"/>
      <c r="H27" s="328"/>
      <c r="I27" s="506"/>
      <c r="J27" s="23"/>
      <c r="K27" s="285"/>
      <c r="L27" s="285"/>
      <c r="M27" s="285"/>
      <c r="N27" s="326"/>
      <c r="O27" s="77"/>
    </row>
    <row r="28" spans="1:21" ht="21.75" customHeight="1" thickBot="1">
      <c r="A28" s="332"/>
      <c r="B28" s="335"/>
      <c r="C28" s="338"/>
      <c r="D28" s="338"/>
      <c r="E28" s="341"/>
      <c r="F28" s="344"/>
      <c r="G28" s="529"/>
      <c r="H28" s="329"/>
      <c r="I28" s="507"/>
      <c r="J28" s="37" t="s">
        <v>6</v>
      </c>
      <c r="K28" s="288">
        <f t="shared" ref="K28" si="2">SUM(K20:K27)</f>
        <v>338276</v>
      </c>
      <c r="L28" s="288">
        <f t="shared" ref="L28" si="3">SUM(L20:L27)</f>
        <v>338276</v>
      </c>
      <c r="M28" s="288"/>
      <c r="N28" s="327"/>
      <c r="O28" s="78"/>
    </row>
    <row r="29" spans="1:21" ht="28.5" customHeight="1">
      <c r="A29" s="330" t="s">
        <v>5</v>
      </c>
      <c r="B29" s="333" t="s">
        <v>5</v>
      </c>
      <c r="C29" s="336" t="s">
        <v>41</v>
      </c>
      <c r="D29" s="336"/>
      <c r="E29" s="339" t="s">
        <v>127</v>
      </c>
      <c r="F29" s="394" t="s">
        <v>66</v>
      </c>
      <c r="G29" s="508" t="s">
        <v>146</v>
      </c>
      <c r="H29" s="345" t="s">
        <v>52</v>
      </c>
      <c r="I29" s="505" t="s">
        <v>79</v>
      </c>
      <c r="J29" s="17" t="s">
        <v>39</v>
      </c>
      <c r="K29" s="287">
        <f>200/3.4528*1000</f>
        <v>57924</v>
      </c>
      <c r="L29" s="287">
        <f>200/3.4528*1000</f>
        <v>57924</v>
      </c>
      <c r="M29" s="287"/>
      <c r="N29" s="147"/>
      <c r="O29" s="52"/>
      <c r="P29" s="14"/>
    </row>
    <row r="30" spans="1:21" ht="26.25" customHeight="1" thickBot="1">
      <c r="A30" s="332"/>
      <c r="B30" s="335"/>
      <c r="C30" s="338"/>
      <c r="D30" s="338"/>
      <c r="E30" s="341"/>
      <c r="F30" s="396"/>
      <c r="G30" s="510"/>
      <c r="H30" s="329"/>
      <c r="I30" s="507"/>
      <c r="J30" s="37" t="s">
        <v>6</v>
      </c>
      <c r="K30" s="288">
        <f>SUM(K29:K29)</f>
        <v>57924</v>
      </c>
      <c r="L30" s="288">
        <f>SUM(L29:L29)</f>
        <v>57924</v>
      </c>
      <c r="M30" s="288"/>
      <c r="N30" s="160"/>
      <c r="O30" s="42"/>
      <c r="P30" s="14"/>
    </row>
    <row r="31" spans="1:21" ht="16.5" customHeight="1" thickBot="1">
      <c r="A31" s="46" t="s">
        <v>5</v>
      </c>
      <c r="B31" s="12" t="s">
        <v>5</v>
      </c>
      <c r="C31" s="355" t="s">
        <v>8</v>
      </c>
      <c r="D31" s="355"/>
      <c r="E31" s="355"/>
      <c r="F31" s="355"/>
      <c r="G31" s="355"/>
      <c r="H31" s="355"/>
      <c r="I31" s="355"/>
      <c r="J31" s="356"/>
      <c r="K31" s="180">
        <f>K28+K19+K30</f>
        <v>425075</v>
      </c>
      <c r="L31" s="290">
        <f>L28+L19+L30</f>
        <v>425075</v>
      </c>
      <c r="M31" s="290"/>
      <c r="N31" s="269"/>
      <c r="O31" s="270"/>
    </row>
    <row r="32" spans="1:21" ht="14.25" customHeight="1" thickBot="1">
      <c r="A32" s="46" t="s">
        <v>5</v>
      </c>
      <c r="B32" s="12" t="s">
        <v>7</v>
      </c>
      <c r="C32" s="357" t="s">
        <v>47</v>
      </c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9"/>
    </row>
    <row r="33" spans="1:16" ht="26.25" customHeight="1">
      <c r="A33" s="330" t="s">
        <v>5</v>
      </c>
      <c r="B33" s="333" t="s">
        <v>7</v>
      </c>
      <c r="C33" s="336" t="s">
        <v>5</v>
      </c>
      <c r="D33" s="336"/>
      <c r="E33" s="339" t="s">
        <v>55</v>
      </c>
      <c r="F33" s="342" t="s">
        <v>65</v>
      </c>
      <c r="G33" s="515" t="s">
        <v>147</v>
      </c>
      <c r="H33" s="349" t="s">
        <v>52</v>
      </c>
      <c r="I33" s="505" t="s">
        <v>79</v>
      </c>
      <c r="J33" s="34" t="s">
        <v>39</v>
      </c>
      <c r="K33" s="168">
        <f>46.6/3.4528*1000</f>
        <v>13496</v>
      </c>
      <c r="L33" s="282">
        <f>46.6/3.4528*1000</f>
        <v>13496</v>
      </c>
      <c r="M33" s="274"/>
      <c r="N33" s="161"/>
      <c r="O33" s="40"/>
      <c r="P33" s="14"/>
    </row>
    <row r="34" spans="1:16" ht="27" customHeight="1">
      <c r="A34" s="331"/>
      <c r="B34" s="334"/>
      <c r="C34" s="337"/>
      <c r="D34" s="337"/>
      <c r="E34" s="340"/>
      <c r="F34" s="343"/>
      <c r="G34" s="516"/>
      <c r="H34" s="350"/>
      <c r="I34" s="506"/>
      <c r="J34" s="197"/>
      <c r="K34" s="291"/>
      <c r="L34" s="280"/>
      <c r="M34" s="276"/>
      <c r="N34" s="85"/>
      <c r="O34" s="158"/>
      <c r="P34" s="14"/>
    </row>
    <row r="35" spans="1:16" ht="18" customHeight="1">
      <c r="A35" s="331"/>
      <c r="B35" s="334"/>
      <c r="C35" s="337"/>
      <c r="D35" s="337"/>
      <c r="E35" s="340"/>
      <c r="F35" s="343"/>
      <c r="G35" s="516"/>
      <c r="H35" s="350"/>
      <c r="I35" s="506"/>
      <c r="J35" s="118"/>
      <c r="K35" s="170"/>
      <c r="L35" s="285"/>
      <c r="M35" s="294"/>
      <c r="N35" s="522"/>
      <c r="O35" s="521"/>
      <c r="P35" s="14"/>
    </row>
    <row r="36" spans="1:16" ht="17.25" customHeight="1" thickBot="1">
      <c r="A36" s="332"/>
      <c r="B36" s="335"/>
      <c r="C36" s="338"/>
      <c r="D36" s="338"/>
      <c r="E36" s="341"/>
      <c r="F36" s="344"/>
      <c r="G36" s="517"/>
      <c r="H36" s="351"/>
      <c r="I36" s="507"/>
      <c r="J36" s="37" t="s">
        <v>6</v>
      </c>
      <c r="K36" s="172">
        <f>SUM(K33:K35)</f>
        <v>13496</v>
      </c>
      <c r="L36" s="288">
        <f>SUM(L33:L35)</f>
        <v>13496</v>
      </c>
      <c r="M36" s="275"/>
      <c r="N36" s="523"/>
      <c r="O36" s="361"/>
      <c r="P36" s="14"/>
    </row>
    <row r="37" spans="1:16" ht="27.75" customHeight="1">
      <c r="A37" s="330" t="s">
        <v>5</v>
      </c>
      <c r="B37" s="333" t="s">
        <v>7</v>
      </c>
      <c r="C37" s="336" t="s">
        <v>7</v>
      </c>
      <c r="D37" s="336"/>
      <c r="E37" s="391" t="s">
        <v>56</v>
      </c>
      <c r="F37" s="394" t="s">
        <v>122</v>
      </c>
      <c r="G37" s="524" t="s">
        <v>148</v>
      </c>
      <c r="H37" s="349" t="s">
        <v>52</v>
      </c>
      <c r="I37" s="505" t="s">
        <v>79</v>
      </c>
      <c r="J37" s="200" t="s">
        <v>39</v>
      </c>
      <c r="K37" s="292">
        <f>240/3.4528*1000</f>
        <v>69509</v>
      </c>
      <c r="L37" s="256">
        <f>240/3.4528*1000</f>
        <v>69509</v>
      </c>
      <c r="M37" s="277"/>
      <c r="N37" s="147"/>
      <c r="O37" s="52"/>
      <c r="P37" s="14"/>
    </row>
    <row r="38" spans="1:16" ht="25.5" customHeight="1">
      <c r="A38" s="331"/>
      <c r="B38" s="334"/>
      <c r="C38" s="337"/>
      <c r="D38" s="337"/>
      <c r="E38" s="392"/>
      <c r="F38" s="395"/>
      <c r="G38" s="525"/>
      <c r="H38" s="350"/>
      <c r="I38" s="506"/>
      <c r="J38" s="118"/>
      <c r="K38" s="177"/>
      <c r="L38" s="295"/>
      <c r="M38" s="296"/>
      <c r="N38" s="85"/>
      <c r="O38" s="87"/>
      <c r="P38" s="14"/>
    </row>
    <row r="39" spans="1:16" ht="27" customHeight="1" thickBot="1">
      <c r="A39" s="332"/>
      <c r="B39" s="335"/>
      <c r="C39" s="338"/>
      <c r="D39" s="338"/>
      <c r="E39" s="393"/>
      <c r="F39" s="396"/>
      <c r="G39" s="526"/>
      <c r="H39" s="351"/>
      <c r="I39" s="507"/>
      <c r="J39" s="37" t="s">
        <v>6</v>
      </c>
      <c r="K39" s="172">
        <f t="shared" ref="K39" si="4">SUM(K37:K38)</f>
        <v>69509</v>
      </c>
      <c r="L39" s="288">
        <f t="shared" ref="L39" si="5">SUM(L37:L38)</f>
        <v>69509</v>
      </c>
      <c r="M39" s="275"/>
      <c r="N39" s="160"/>
      <c r="O39" s="42"/>
      <c r="P39" s="14"/>
    </row>
    <row r="40" spans="1:16" ht="21.75" customHeight="1">
      <c r="A40" s="330" t="s">
        <v>5</v>
      </c>
      <c r="B40" s="333" t="s">
        <v>7</v>
      </c>
      <c r="C40" s="336" t="s">
        <v>41</v>
      </c>
      <c r="D40" s="336"/>
      <c r="E40" s="453" t="s">
        <v>57</v>
      </c>
      <c r="F40" s="456"/>
      <c r="G40" s="515" t="s">
        <v>149</v>
      </c>
      <c r="H40" s="349" t="s">
        <v>52</v>
      </c>
      <c r="I40" s="505" t="s">
        <v>79</v>
      </c>
      <c r="J40" s="200" t="s">
        <v>39</v>
      </c>
      <c r="K40" s="292">
        <f>42/3.4528*1000</f>
        <v>12164</v>
      </c>
      <c r="L40" s="256">
        <f>42/3.4528*1000</f>
        <v>12164</v>
      </c>
      <c r="M40" s="277"/>
      <c r="N40" s="446"/>
      <c r="O40" s="27"/>
      <c r="P40" s="14"/>
    </row>
    <row r="41" spans="1:16" ht="20.25" customHeight="1">
      <c r="A41" s="331"/>
      <c r="B41" s="334"/>
      <c r="C41" s="337"/>
      <c r="D41" s="337"/>
      <c r="E41" s="454"/>
      <c r="F41" s="457"/>
      <c r="G41" s="516"/>
      <c r="H41" s="350"/>
      <c r="I41" s="506"/>
      <c r="J41" s="118"/>
      <c r="K41" s="177"/>
      <c r="L41" s="295"/>
      <c r="M41" s="296"/>
      <c r="N41" s="447"/>
      <c r="O41" s="98"/>
      <c r="P41" s="14"/>
    </row>
    <row r="42" spans="1:16" ht="22.5" customHeight="1" thickBot="1">
      <c r="A42" s="332"/>
      <c r="B42" s="335"/>
      <c r="C42" s="338"/>
      <c r="D42" s="338"/>
      <c r="E42" s="455"/>
      <c r="F42" s="458"/>
      <c r="G42" s="517"/>
      <c r="H42" s="351"/>
      <c r="I42" s="507"/>
      <c r="J42" s="37" t="s">
        <v>6</v>
      </c>
      <c r="K42" s="172">
        <f t="shared" ref="K42" si="6">SUM(K40:K41)</f>
        <v>12164</v>
      </c>
      <c r="L42" s="288">
        <f t="shared" ref="L42" si="7">SUM(L40:L41)</f>
        <v>12164</v>
      </c>
      <c r="M42" s="275"/>
      <c r="N42" s="448"/>
      <c r="O42" s="259"/>
      <c r="P42" s="14"/>
    </row>
    <row r="43" spans="1:16" ht="43.5" customHeight="1">
      <c r="A43" s="92" t="s">
        <v>5</v>
      </c>
      <c r="B43" s="263" t="s">
        <v>7</v>
      </c>
      <c r="C43" s="93" t="s">
        <v>42</v>
      </c>
      <c r="D43" s="265"/>
      <c r="E43" s="518" t="s">
        <v>92</v>
      </c>
      <c r="F43" s="451"/>
      <c r="G43" s="509" t="s">
        <v>150</v>
      </c>
      <c r="H43" s="350" t="s">
        <v>52</v>
      </c>
      <c r="I43" s="506" t="s">
        <v>79</v>
      </c>
      <c r="J43" s="23" t="s">
        <v>39</v>
      </c>
      <c r="K43" s="179">
        <f>14.2/3.4528*1000</f>
        <v>4113</v>
      </c>
      <c r="L43" s="287">
        <f>14.2/3.4528*1000</f>
        <v>4113</v>
      </c>
      <c r="M43" s="278"/>
      <c r="N43" s="94"/>
      <c r="O43" s="91"/>
      <c r="P43" s="14"/>
    </row>
    <row r="44" spans="1:16" ht="22.5" customHeight="1" thickBot="1">
      <c r="A44" s="88"/>
      <c r="B44" s="264"/>
      <c r="C44" s="89"/>
      <c r="D44" s="266"/>
      <c r="E44" s="519"/>
      <c r="F44" s="452"/>
      <c r="G44" s="520"/>
      <c r="H44" s="351"/>
      <c r="I44" s="507"/>
      <c r="J44" s="36" t="s">
        <v>6</v>
      </c>
      <c r="K44" s="175">
        <f t="shared" ref="K44" si="8">SUM(K43:K43)</f>
        <v>4113</v>
      </c>
      <c r="L44" s="286">
        <f t="shared" ref="L44" si="9">SUM(L43:L43)</f>
        <v>4113</v>
      </c>
      <c r="M44" s="171"/>
      <c r="N44" s="192"/>
      <c r="O44" s="193"/>
      <c r="P44" s="14"/>
    </row>
    <row r="45" spans="1:16" ht="15" customHeight="1" thickBot="1">
      <c r="A45" s="47" t="s">
        <v>5</v>
      </c>
      <c r="B45" s="12" t="s">
        <v>7</v>
      </c>
      <c r="C45" s="355" t="s">
        <v>8</v>
      </c>
      <c r="D45" s="355"/>
      <c r="E45" s="355"/>
      <c r="F45" s="355"/>
      <c r="G45" s="355"/>
      <c r="H45" s="355"/>
      <c r="I45" s="355"/>
      <c r="J45" s="356"/>
      <c r="K45" s="180">
        <f>SUM(K42,K39,K36,K44)</f>
        <v>99282</v>
      </c>
      <c r="L45" s="290">
        <f>SUM(L42,L39,L36,L44)</f>
        <v>99282</v>
      </c>
      <c r="M45" s="180"/>
      <c r="N45" s="459"/>
      <c r="O45" s="461"/>
    </row>
    <row r="46" spans="1:16" ht="14.25" customHeight="1" thickBot="1">
      <c r="A46" s="47" t="s">
        <v>5</v>
      </c>
      <c r="B46" s="462" t="s">
        <v>9</v>
      </c>
      <c r="C46" s="463"/>
      <c r="D46" s="463"/>
      <c r="E46" s="463"/>
      <c r="F46" s="463"/>
      <c r="G46" s="463"/>
      <c r="H46" s="463"/>
      <c r="I46" s="463"/>
      <c r="J46" s="464"/>
      <c r="K46" s="181">
        <f>SUM(K31,K45)</f>
        <v>524357</v>
      </c>
      <c r="L46" s="293">
        <f>SUM(L31,L45)</f>
        <v>524357</v>
      </c>
      <c r="M46" s="181"/>
      <c r="N46" s="410"/>
      <c r="O46" s="412"/>
    </row>
    <row r="47" spans="1:16" ht="14.25" customHeight="1" thickBot="1">
      <c r="A47" s="48" t="s">
        <v>7</v>
      </c>
      <c r="B47" s="440" t="s">
        <v>48</v>
      </c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2"/>
    </row>
    <row r="48" spans="1:16" ht="14.25" customHeight="1" thickBot="1">
      <c r="A48" s="46" t="s">
        <v>7</v>
      </c>
      <c r="B48" s="12" t="s">
        <v>5</v>
      </c>
      <c r="C48" s="443" t="s">
        <v>49</v>
      </c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5"/>
    </row>
    <row r="49" spans="1:35" ht="16.5" customHeight="1">
      <c r="A49" s="330" t="s">
        <v>7</v>
      </c>
      <c r="B49" s="333" t="s">
        <v>5</v>
      </c>
      <c r="C49" s="336" t="s">
        <v>5</v>
      </c>
      <c r="D49" s="336"/>
      <c r="E49" s="419" t="s">
        <v>71</v>
      </c>
      <c r="F49" s="53" t="s">
        <v>53</v>
      </c>
      <c r="G49" s="511" t="s">
        <v>151</v>
      </c>
      <c r="H49" s="349" t="s">
        <v>52</v>
      </c>
      <c r="I49" s="505" t="s">
        <v>80</v>
      </c>
      <c r="J49" s="34" t="s">
        <v>50</v>
      </c>
      <c r="K49" s="256">
        <v>196883</v>
      </c>
      <c r="L49" s="256">
        <v>196883</v>
      </c>
      <c r="M49" s="256"/>
      <c r="N49" s="105"/>
      <c r="O49" s="31"/>
      <c r="P49" s="14"/>
    </row>
    <row r="50" spans="1:35" ht="24" customHeight="1">
      <c r="A50" s="331"/>
      <c r="B50" s="334"/>
      <c r="C50" s="337"/>
      <c r="D50" s="337"/>
      <c r="E50" s="420"/>
      <c r="F50" s="493" t="s">
        <v>63</v>
      </c>
      <c r="G50" s="512"/>
      <c r="H50" s="350"/>
      <c r="I50" s="506"/>
      <c r="J50" s="79" t="s">
        <v>39</v>
      </c>
      <c r="K50" s="257">
        <v>867875</v>
      </c>
      <c r="L50" s="320">
        <f>867875+144986</f>
        <v>1012861</v>
      </c>
      <c r="M50" s="319">
        <f>L50-K50</f>
        <v>144986</v>
      </c>
      <c r="N50" s="397"/>
      <c r="O50" s="164"/>
      <c r="P50" s="14"/>
    </row>
    <row r="51" spans="1:35" ht="21" customHeight="1">
      <c r="A51" s="331"/>
      <c r="B51" s="334"/>
      <c r="C51" s="337"/>
      <c r="D51" s="337"/>
      <c r="E51" s="420"/>
      <c r="F51" s="494"/>
      <c r="G51" s="512"/>
      <c r="H51" s="350"/>
      <c r="I51" s="506"/>
      <c r="J51" s="79" t="s">
        <v>140</v>
      </c>
      <c r="K51" s="257">
        <v>170441</v>
      </c>
      <c r="L51" s="320">
        <f>170441+122094</f>
        <v>292535</v>
      </c>
      <c r="M51" s="319">
        <f t="shared" ref="M51:M52" si="10">L51-K51</f>
        <v>122094</v>
      </c>
      <c r="N51" s="514"/>
      <c r="O51" s="98"/>
      <c r="P51" s="14"/>
    </row>
    <row r="52" spans="1:35" ht="23.25" customHeight="1">
      <c r="A52" s="331"/>
      <c r="B52" s="334"/>
      <c r="C52" s="337"/>
      <c r="D52" s="337"/>
      <c r="E52" s="420"/>
      <c r="F52" s="494"/>
      <c r="G52" s="512"/>
      <c r="H52" s="350"/>
      <c r="I52" s="506"/>
      <c r="J52" s="84" t="s">
        <v>51</v>
      </c>
      <c r="K52" s="300">
        <v>2461770</v>
      </c>
      <c r="L52" s="300">
        <f>2461770-122094</f>
        <v>2339676</v>
      </c>
      <c r="M52" s="321">
        <f t="shared" si="10"/>
        <v>-122094</v>
      </c>
      <c r="N52" s="398"/>
      <c r="O52" s="166"/>
      <c r="P52" s="14"/>
    </row>
    <row r="53" spans="1:35" ht="23.25" customHeight="1" thickBot="1">
      <c r="A53" s="332"/>
      <c r="B53" s="335"/>
      <c r="C53" s="338"/>
      <c r="D53" s="338"/>
      <c r="E53" s="421"/>
      <c r="F53" s="495"/>
      <c r="G53" s="513"/>
      <c r="H53" s="351"/>
      <c r="I53" s="507"/>
      <c r="J53" s="37" t="s">
        <v>6</v>
      </c>
      <c r="K53" s="299">
        <f t="shared" ref="K53" si="11">SUM(K49:K52)</f>
        <v>3696969</v>
      </c>
      <c r="L53" s="299">
        <f t="shared" ref="L53:M53" si="12">SUM(L49:L52)</f>
        <v>3841955</v>
      </c>
      <c r="M53" s="322">
        <f t="shared" si="12"/>
        <v>144986</v>
      </c>
      <c r="N53" s="22"/>
      <c r="O53" s="98"/>
      <c r="P53" s="14"/>
    </row>
    <row r="54" spans="1:35" ht="21.75" customHeight="1">
      <c r="A54" s="330" t="s">
        <v>7</v>
      </c>
      <c r="B54" s="333" t="s">
        <v>5</v>
      </c>
      <c r="C54" s="401" t="s">
        <v>7</v>
      </c>
      <c r="D54" s="401"/>
      <c r="E54" s="404" t="s">
        <v>129</v>
      </c>
      <c r="F54" s="57" t="s">
        <v>53</v>
      </c>
      <c r="G54" s="508" t="s">
        <v>152</v>
      </c>
      <c r="H54" s="349" t="s">
        <v>52</v>
      </c>
      <c r="I54" s="505" t="s">
        <v>80</v>
      </c>
      <c r="J54" s="68" t="s">
        <v>39</v>
      </c>
      <c r="K54" s="168">
        <f>50/3.4528*1000</f>
        <v>14481</v>
      </c>
      <c r="L54" s="282">
        <f>50/3.4528*1000</f>
        <v>14481</v>
      </c>
      <c r="M54" s="282"/>
      <c r="N54" s="267"/>
      <c r="O54" s="27"/>
      <c r="P54" s="14"/>
    </row>
    <row r="55" spans="1:35" ht="18.75" customHeight="1">
      <c r="A55" s="331"/>
      <c r="B55" s="334"/>
      <c r="C55" s="402"/>
      <c r="D55" s="402"/>
      <c r="E55" s="405"/>
      <c r="F55" s="352" t="s">
        <v>121</v>
      </c>
      <c r="G55" s="509"/>
      <c r="H55" s="350"/>
      <c r="I55" s="506"/>
      <c r="J55" s="165" t="s">
        <v>50</v>
      </c>
      <c r="K55" s="306"/>
      <c r="L55" s="301"/>
      <c r="M55" s="302"/>
      <c r="N55" s="304"/>
      <c r="O55" s="305"/>
      <c r="P55" s="14"/>
    </row>
    <row r="56" spans="1:35" ht="24" customHeight="1" thickBot="1">
      <c r="A56" s="332"/>
      <c r="B56" s="335"/>
      <c r="C56" s="403"/>
      <c r="D56" s="403"/>
      <c r="E56" s="406"/>
      <c r="F56" s="354"/>
      <c r="G56" s="510"/>
      <c r="H56" s="351"/>
      <c r="I56" s="507"/>
      <c r="J56" s="37" t="s">
        <v>6</v>
      </c>
      <c r="K56" s="297">
        <f>SUM(K54:K55)</f>
        <v>14481</v>
      </c>
      <c r="L56" s="288">
        <f>SUM(L54:L55)</f>
        <v>14481</v>
      </c>
      <c r="M56" s="288"/>
      <c r="N56" s="22"/>
      <c r="O56" s="259"/>
      <c r="P56" s="14"/>
    </row>
    <row r="57" spans="1:35" ht="15.75" customHeight="1" thickBot="1">
      <c r="A57" s="262" t="s">
        <v>7</v>
      </c>
      <c r="B57" s="264" t="s">
        <v>5</v>
      </c>
      <c r="C57" s="422" t="s">
        <v>8</v>
      </c>
      <c r="D57" s="355"/>
      <c r="E57" s="355"/>
      <c r="F57" s="355"/>
      <c r="G57" s="355"/>
      <c r="H57" s="355"/>
      <c r="I57" s="355"/>
      <c r="J57" s="356"/>
      <c r="K57" s="180">
        <f>K56+K53</f>
        <v>3711450</v>
      </c>
      <c r="L57" s="290">
        <f>L56+L53</f>
        <v>3856436</v>
      </c>
      <c r="M57" s="290">
        <f>M56+M53</f>
        <v>144986</v>
      </c>
      <c r="N57" s="407"/>
      <c r="O57" s="409"/>
    </row>
    <row r="58" spans="1:35" ht="15.75" customHeight="1" thickBot="1">
      <c r="A58" s="46" t="s">
        <v>7</v>
      </c>
      <c r="B58" s="462" t="s">
        <v>9</v>
      </c>
      <c r="C58" s="463"/>
      <c r="D58" s="463"/>
      <c r="E58" s="463"/>
      <c r="F58" s="463"/>
      <c r="G58" s="463"/>
      <c r="H58" s="463"/>
      <c r="I58" s="463"/>
      <c r="J58" s="464"/>
      <c r="K58" s="181">
        <f t="shared" ref="K58" si="13">SUM(K57)</f>
        <v>3711450</v>
      </c>
      <c r="L58" s="293">
        <f t="shared" ref="L58:M58" si="14">SUM(L57)</f>
        <v>3856436</v>
      </c>
      <c r="M58" s="293">
        <f t="shared" si="14"/>
        <v>144986</v>
      </c>
      <c r="N58" s="410"/>
      <c r="O58" s="412"/>
    </row>
    <row r="59" spans="1:35" ht="15.75" customHeight="1" thickBot="1">
      <c r="A59" s="32" t="s">
        <v>5</v>
      </c>
      <c r="B59" s="413" t="s">
        <v>138</v>
      </c>
      <c r="C59" s="414"/>
      <c r="D59" s="414"/>
      <c r="E59" s="414"/>
      <c r="F59" s="414"/>
      <c r="G59" s="414"/>
      <c r="H59" s="414"/>
      <c r="I59" s="414"/>
      <c r="J59" s="415"/>
      <c r="K59" s="279">
        <f>SUM(K46,K58)</f>
        <v>4235807</v>
      </c>
      <c r="L59" s="298">
        <f>SUM(L46,L58)</f>
        <v>4380793</v>
      </c>
      <c r="M59" s="298">
        <f>SUM(M46,M58)</f>
        <v>144986</v>
      </c>
      <c r="N59" s="416"/>
      <c r="O59" s="418"/>
    </row>
    <row r="60" spans="1:35" s="20" customFormat="1" ht="14.25" customHeight="1">
      <c r="A60" s="504" t="s">
        <v>158</v>
      </c>
      <c r="B60" s="504"/>
      <c r="C60" s="504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5" s="20" customFormat="1" ht="20.25" customHeight="1">
      <c r="A61" s="400"/>
      <c r="B61" s="400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s="20" customFormat="1" ht="14.25" customHeight="1" thickBot="1">
      <c r="A62" s="486" t="s">
        <v>13</v>
      </c>
      <c r="B62" s="486"/>
      <c r="C62" s="486"/>
      <c r="D62" s="486"/>
      <c r="E62" s="486"/>
      <c r="F62" s="486"/>
      <c r="G62" s="486"/>
      <c r="H62" s="486"/>
      <c r="I62" s="486"/>
      <c r="J62" s="486"/>
      <c r="K62" s="486"/>
      <c r="L62" s="271"/>
      <c r="M62" s="271"/>
      <c r="N62" s="7"/>
      <c r="O62" s="7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ht="77.25" customHeight="1" thickBot="1">
      <c r="A63" s="487" t="s">
        <v>10</v>
      </c>
      <c r="B63" s="488"/>
      <c r="C63" s="488"/>
      <c r="D63" s="488"/>
      <c r="E63" s="488"/>
      <c r="F63" s="488"/>
      <c r="G63" s="488"/>
      <c r="H63" s="488"/>
      <c r="I63" s="488"/>
      <c r="J63" s="489"/>
      <c r="K63" s="162" t="s">
        <v>133</v>
      </c>
      <c r="L63" s="162" t="s">
        <v>154</v>
      </c>
      <c r="M63" s="162" t="s">
        <v>155</v>
      </c>
    </row>
    <row r="64" spans="1:35" ht="14.25" customHeight="1">
      <c r="A64" s="490" t="s">
        <v>14</v>
      </c>
      <c r="B64" s="491"/>
      <c r="C64" s="491"/>
      <c r="D64" s="491"/>
      <c r="E64" s="491"/>
      <c r="F64" s="491"/>
      <c r="G64" s="491"/>
      <c r="H64" s="491"/>
      <c r="I64" s="491"/>
      <c r="J64" s="492"/>
      <c r="K64" s="187">
        <f>SUM(K65:K67)</f>
        <v>1603596</v>
      </c>
      <c r="L64" s="187">
        <f>SUM(L65:L67)</f>
        <v>1748582</v>
      </c>
      <c r="M64" s="187">
        <f>SUM(M65:M67)</f>
        <v>144986</v>
      </c>
    </row>
    <row r="65" spans="1:39" ht="14.25" customHeight="1">
      <c r="A65" s="480" t="s">
        <v>35</v>
      </c>
      <c r="B65" s="481"/>
      <c r="C65" s="481"/>
      <c r="D65" s="481"/>
      <c r="E65" s="481"/>
      <c r="F65" s="481"/>
      <c r="G65" s="481"/>
      <c r="H65" s="481"/>
      <c r="I65" s="481"/>
      <c r="J65" s="482"/>
      <c r="K65" s="188">
        <f>SUMIF(J15:J59,"SB",K15:K59)</f>
        <v>1261903</v>
      </c>
      <c r="L65" s="188">
        <f>SUMIF(J15:J59,"SB",L15:L59)</f>
        <v>1406889</v>
      </c>
      <c r="M65" s="188">
        <f>SUMIF(J15:J59,"SB",M15:M59)</f>
        <v>144986</v>
      </c>
    </row>
    <row r="66" spans="1:39" ht="14.25" customHeight="1">
      <c r="A66" s="483" t="s">
        <v>104</v>
      </c>
      <c r="B66" s="484"/>
      <c r="C66" s="484"/>
      <c r="D66" s="484"/>
      <c r="E66" s="484"/>
      <c r="F66" s="484"/>
      <c r="G66" s="484"/>
      <c r="H66" s="484"/>
      <c r="I66" s="484"/>
      <c r="J66" s="485"/>
      <c r="K66" s="188">
        <f>SUMIF(J15:J59,"SB(VB)",K15:K59)</f>
        <v>144810</v>
      </c>
      <c r="L66" s="188">
        <f>SUMIF(J15:J59,"SB(VB)",L15:L59)</f>
        <v>144810</v>
      </c>
      <c r="M66" s="188">
        <f>SUMIF(L15:L59,"SB(VB)",M15:M59)</f>
        <v>0</v>
      </c>
    </row>
    <row r="67" spans="1:39" ht="14.25" customHeight="1">
      <c r="A67" s="483" t="s">
        <v>36</v>
      </c>
      <c r="B67" s="484"/>
      <c r="C67" s="484"/>
      <c r="D67" s="484"/>
      <c r="E67" s="484"/>
      <c r="F67" s="484"/>
      <c r="G67" s="484"/>
      <c r="H67" s="484"/>
      <c r="I67" s="484"/>
      <c r="J67" s="485"/>
      <c r="K67" s="188">
        <f>SUMIF(J15:J59,"SB(P)",K15:K59)</f>
        <v>196883</v>
      </c>
      <c r="L67" s="188">
        <f>SUMIF(J15:J59,"SB(P)",L15:L59)</f>
        <v>196883</v>
      </c>
      <c r="M67" s="188">
        <f>SUMIF(L15:L59,"SB(P)",M15:M59)</f>
        <v>0</v>
      </c>
      <c r="N67" s="35"/>
    </row>
    <row r="68" spans="1:39" ht="14.25" customHeight="1">
      <c r="A68" s="323" t="s">
        <v>142</v>
      </c>
      <c r="B68" s="502"/>
      <c r="C68" s="502"/>
      <c r="D68" s="502"/>
      <c r="E68" s="502"/>
      <c r="F68" s="502"/>
      <c r="G68" s="502"/>
      <c r="H68" s="502"/>
      <c r="I68" s="502"/>
      <c r="J68" s="503"/>
      <c r="K68" s="204">
        <f>SUMIF(J16:J60,"PF",K16:K60)</f>
        <v>170441</v>
      </c>
      <c r="L68" s="204">
        <f>SUMIF(J16:J60,"PF",L16:L60)</f>
        <v>292535</v>
      </c>
      <c r="M68" s="204">
        <f>SUMIF(L16:L60,"PF",M16:M60)</f>
        <v>0</v>
      </c>
      <c r="N68" s="35"/>
    </row>
    <row r="69" spans="1:39" ht="14.25" customHeight="1">
      <c r="A69" s="477" t="s">
        <v>15</v>
      </c>
      <c r="B69" s="478"/>
      <c r="C69" s="478"/>
      <c r="D69" s="478"/>
      <c r="E69" s="478"/>
      <c r="F69" s="478"/>
      <c r="G69" s="478"/>
      <c r="H69" s="478"/>
      <c r="I69" s="478"/>
      <c r="J69" s="479"/>
      <c r="K69" s="189">
        <f>SUM(K70:K72)</f>
        <v>2461770</v>
      </c>
      <c r="L69" s="189">
        <f>SUM(L70:O72)</f>
        <v>2339676</v>
      </c>
      <c r="M69" s="189">
        <f>SUM(M70:P72)</f>
        <v>0</v>
      </c>
    </row>
    <row r="70" spans="1:39" ht="18.75" customHeight="1">
      <c r="A70" s="474" t="s">
        <v>93</v>
      </c>
      <c r="B70" s="475"/>
      <c r="C70" s="475"/>
      <c r="D70" s="475"/>
      <c r="E70" s="475"/>
      <c r="F70" s="475"/>
      <c r="G70" s="475"/>
      <c r="H70" s="475"/>
      <c r="I70" s="475"/>
      <c r="J70" s="476"/>
      <c r="K70" s="188">
        <f>SUMIF(J14:J59,"KVJUD",K14:K59)</f>
        <v>0</v>
      </c>
      <c r="L70" s="188">
        <f>SUMIF(K14:K59,"KVJUD",L14:L59)</f>
        <v>0</v>
      </c>
      <c r="M70" s="188">
        <f>SUMIF(L14:L59,"KVJUD",M14:M59)</f>
        <v>0</v>
      </c>
    </row>
    <row r="71" spans="1:39" ht="18.75" customHeight="1">
      <c r="A71" s="474" t="s">
        <v>94</v>
      </c>
      <c r="B71" s="475"/>
      <c r="C71" s="475"/>
      <c r="D71" s="475"/>
      <c r="E71" s="475"/>
      <c r="F71" s="475"/>
      <c r="G71" s="475"/>
      <c r="H71" s="475"/>
      <c r="I71" s="475"/>
      <c r="J71" s="476"/>
      <c r="K71" s="188">
        <f>SUMIF(J14:J58,"LRVB",K14:K58)</f>
        <v>0</v>
      </c>
      <c r="L71" s="188">
        <f>SUMIF(K14:K58,"LRVB",L14:L58)</f>
        <v>0</v>
      </c>
      <c r="M71" s="188">
        <f>SUMIF(L14:L58,"LRVB",M14:M58)</f>
        <v>0</v>
      </c>
    </row>
    <row r="72" spans="1:39" ht="18.75" customHeight="1">
      <c r="A72" s="474" t="s">
        <v>37</v>
      </c>
      <c r="B72" s="475"/>
      <c r="C72" s="475"/>
      <c r="D72" s="475"/>
      <c r="E72" s="475"/>
      <c r="F72" s="475"/>
      <c r="G72" s="475"/>
      <c r="H72" s="475"/>
      <c r="I72" s="475"/>
      <c r="J72" s="476"/>
      <c r="K72" s="188">
        <f>SUMIF(J15:J59,"ES",K15:K59)</f>
        <v>2461770</v>
      </c>
      <c r="L72" s="188">
        <f>SUMIF(J15:J59,"ES",L15:L59)</f>
        <v>2339676</v>
      </c>
      <c r="M72" s="188">
        <f>SUMIF(L15:L59,"ES",M15:M59)</f>
        <v>0</v>
      </c>
    </row>
    <row r="73" spans="1:39" ht="14.25" customHeight="1" thickBot="1">
      <c r="A73" s="468" t="s">
        <v>16</v>
      </c>
      <c r="B73" s="469"/>
      <c r="C73" s="469"/>
      <c r="D73" s="469"/>
      <c r="E73" s="469"/>
      <c r="F73" s="469"/>
      <c r="G73" s="469"/>
      <c r="H73" s="469"/>
      <c r="I73" s="469"/>
      <c r="J73" s="470"/>
      <c r="K73" s="190">
        <f>K69+K68+K64</f>
        <v>4235807</v>
      </c>
      <c r="L73" s="190">
        <f>L69+L68+L64</f>
        <v>4380793</v>
      </c>
      <c r="M73" s="190">
        <f>M69+M68+M64</f>
        <v>144986</v>
      </c>
    </row>
    <row r="74" spans="1:39">
      <c r="K74" s="148"/>
      <c r="L74" s="148"/>
      <c r="M74" s="148"/>
    </row>
    <row r="76" spans="1:39" s="9" customFormat="1">
      <c r="H76" s="10"/>
      <c r="I76" s="10"/>
      <c r="J76" s="11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</sheetData>
  <mergeCells count="133">
    <mergeCell ref="A4:O4"/>
    <mergeCell ref="A5:O5"/>
    <mergeCell ref="A6:O6"/>
    <mergeCell ref="N7:O7"/>
    <mergeCell ref="G8:G10"/>
    <mergeCell ref="H8:H10"/>
    <mergeCell ref="I8:I10"/>
    <mergeCell ref="J8:J10"/>
    <mergeCell ref="K8:K10"/>
    <mergeCell ref="N8:O8"/>
    <mergeCell ref="N9:N10"/>
    <mergeCell ref="A8:A10"/>
    <mergeCell ref="B8:B10"/>
    <mergeCell ref="C8:C10"/>
    <mergeCell ref="D8:D10"/>
    <mergeCell ref="E8:E10"/>
    <mergeCell ref="F8:F10"/>
    <mergeCell ref="A11:O11"/>
    <mergeCell ref="A12:O12"/>
    <mergeCell ref="B13:O13"/>
    <mergeCell ref="C14:O14"/>
    <mergeCell ref="A15:A19"/>
    <mergeCell ref="B15:B19"/>
    <mergeCell ref="C15:C19"/>
    <mergeCell ref="D15:D19"/>
    <mergeCell ref="E15:E19"/>
    <mergeCell ref="F15:F19"/>
    <mergeCell ref="G15:G19"/>
    <mergeCell ref="H15:H19"/>
    <mergeCell ref="I15:I19"/>
    <mergeCell ref="N27:N28"/>
    <mergeCell ref="A29:A30"/>
    <mergeCell ref="B29:B30"/>
    <mergeCell ref="C29:C30"/>
    <mergeCell ref="D29:D30"/>
    <mergeCell ref="E29:E30"/>
    <mergeCell ref="F29:F30"/>
    <mergeCell ref="G29:G30"/>
    <mergeCell ref="I33:I36"/>
    <mergeCell ref="N35:N36"/>
    <mergeCell ref="A20:A28"/>
    <mergeCell ref="B20:B28"/>
    <mergeCell ref="C20:C28"/>
    <mergeCell ref="D20:D28"/>
    <mergeCell ref="E20:E28"/>
    <mergeCell ref="F20:F28"/>
    <mergeCell ref="G20:G28"/>
    <mergeCell ref="H20:H28"/>
    <mergeCell ref="I20:I28"/>
    <mergeCell ref="O35:O36"/>
    <mergeCell ref="A37:A39"/>
    <mergeCell ref="B37:B39"/>
    <mergeCell ref="C37:C39"/>
    <mergeCell ref="D37:D39"/>
    <mergeCell ref="E37:E39"/>
    <mergeCell ref="H29:H30"/>
    <mergeCell ref="I29:I30"/>
    <mergeCell ref="C31:J31"/>
    <mergeCell ref="C32:O32"/>
    <mergeCell ref="A33:A36"/>
    <mergeCell ref="B33:B36"/>
    <mergeCell ref="C33:C36"/>
    <mergeCell ref="D33:D36"/>
    <mergeCell ref="E33:E36"/>
    <mergeCell ref="F33:F36"/>
    <mergeCell ref="N45:O45"/>
    <mergeCell ref="B46:J46"/>
    <mergeCell ref="N46:O46"/>
    <mergeCell ref="B47:O47"/>
    <mergeCell ref="C48:O48"/>
    <mergeCell ref="G40:G42"/>
    <mergeCell ref="H40:H42"/>
    <mergeCell ref="I40:I42"/>
    <mergeCell ref="N40:N42"/>
    <mergeCell ref="E43:E44"/>
    <mergeCell ref="F43:F44"/>
    <mergeCell ref="G43:G44"/>
    <mergeCell ref="H43:H44"/>
    <mergeCell ref="I43:I44"/>
    <mergeCell ref="B40:B42"/>
    <mergeCell ref="C40:C42"/>
    <mergeCell ref="D40:D42"/>
    <mergeCell ref="E40:E42"/>
    <mergeCell ref="F40:F42"/>
    <mergeCell ref="N50:N52"/>
    <mergeCell ref="A54:A56"/>
    <mergeCell ref="B54:B56"/>
    <mergeCell ref="C54:C56"/>
    <mergeCell ref="D54:D56"/>
    <mergeCell ref="E54:E56"/>
    <mergeCell ref="G54:G56"/>
    <mergeCell ref="A49:A53"/>
    <mergeCell ref="B49:B53"/>
    <mergeCell ref="C49:C53"/>
    <mergeCell ref="D49:D53"/>
    <mergeCell ref="E49:E53"/>
    <mergeCell ref="G49:G53"/>
    <mergeCell ref="N59:O59"/>
    <mergeCell ref="A61:O61"/>
    <mergeCell ref="A62:K62"/>
    <mergeCell ref="A63:J63"/>
    <mergeCell ref="H54:H56"/>
    <mergeCell ref="I54:I56"/>
    <mergeCell ref="F55:F56"/>
    <mergeCell ref="C57:J57"/>
    <mergeCell ref="N57:O57"/>
    <mergeCell ref="B58:J58"/>
    <mergeCell ref="N58:O58"/>
    <mergeCell ref="A60:M60"/>
    <mergeCell ref="A70:J70"/>
    <mergeCell ref="A71:J71"/>
    <mergeCell ref="A72:J72"/>
    <mergeCell ref="A73:J73"/>
    <mergeCell ref="L8:L10"/>
    <mergeCell ref="M8:M10"/>
    <mergeCell ref="A64:J64"/>
    <mergeCell ref="A65:J65"/>
    <mergeCell ref="A66:J66"/>
    <mergeCell ref="A67:J67"/>
    <mergeCell ref="A68:J68"/>
    <mergeCell ref="A69:J69"/>
    <mergeCell ref="B59:J59"/>
    <mergeCell ref="H49:H53"/>
    <mergeCell ref="I49:I53"/>
    <mergeCell ref="F50:F53"/>
    <mergeCell ref="C45:J45"/>
    <mergeCell ref="F37:F39"/>
    <mergeCell ref="G37:G39"/>
    <mergeCell ref="H37:H39"/>
    <mergeCell ref="I37:I39"/>
    <mergeCell ref="A40:A42"/>
    <mergeCell ref="G33:G36"/>
    <mergeCell ref="H33:H36"/>
  </mergeCells>
  <printOptions horizontalCentered="1"/>
  <pageMargins left="0.78740157480314965" right="0.19685039370078741" top="0.39370078740157483" bottom="0.39370078740157483" header="0" footer="0"/>
  <pageSetup paperSize="9" scale="69" orientation="portrait" r:id="rId1"/>
  <headerFooter alignWithMargins="0"/>
  <rowBreaks count="1" manualBreakCount="1">
    <brk id="42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47" t="s">
        <v>18</v>
      </c>
      <c r="B1" s="547"/>
    </row>
    <row r="2" spans="1:2" ht="31.5">
      <c r="A2" s="2" t="s">
        <v>3</v>
      </c>
      <c r="B2" s="1" t="s">
        <v>17</v>
      </c>
    </row>
    <row r="3" spans="1:2" ht="15.75" customHeight="1">
      <c r="A3" s="2" t="s">
        <v>19</v>
      </c>
      <c r="B3" s="1" t="s">
        <v>20</v>
      </c>
    </row>
    <row r="4" spans="1:2" ht="15.75" customHeight="1">
      <c r="A4" s="2" t="s">
        <v>21</v>
      </c>
      <c r="B4" s="1" t="s">
        <v>22</v>
      </c>
    </row>
    <row r="5" spans="1:2" ht="15.75" customHeight="1">
      <c r="A5" s="2" t="s">
        <v>23</v>
      </c>
      <c r="B5" s="1" t="s">
        <v>24</v>
      </c>
    </row>
    <row r="6" spans="1:2" ht="15.75" customHeight="1">
      <c r="A6" s="2" t="s">
        <v>25</v>
      </c>
      <c r="B6" s="1" t="s">
        <v>26</v>
      </c>
    </row>
    <row r="7" spans="1:2" ht="15.75" customHeight="1">
      <c r="A7" s="2" t="s">
        <v>27</v>
      </c>
      <c r="B7" s="1" t="s">
        <v>28</v>
      </c>
    </row>
    <row r="8" spans="1:2" ht="15.75" customHeight="1">
      <c r="A8" s="2" t="s">
        <v>29</v>
      </c>
      <c r="B8" s="1" t="s">
        <v>30</v>
      </c>
    </row>
    <row r="9" spans="1:2" ht="15.75" customHeight="1"/>
    <row r="10" spans="1:2" ht="15.75" customHeight="1">
      <c r="A10" s="548" t="s">
        <v>34</v>
      </c>
      <c r="B10" s="548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 programa</vt:lpstr>
      <vt:lpstr>2015 MVP</vt:lpstr>
      <vt:lpstr>Lyginamasis variantas</vt:lpstr>
      <vt:lpstr>Asignavimų valdytojų kodai</vt:lpstr>
      <vt:lpstr>'2 programa'!Print_Area</vt:lpstr>
      <vt:lpstr>'2015 MVP'!Print_Area</vt:lpstr>
      <vt:lpstr>'Lyginamasis variantas'!Print_Area</vt:lpstr>
      <vt:lpstr>'2 programa'!Print_Titles</vt:lpstr>
      <vt:lpstr>'2015 MVP'!Print_Titles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2015-07-14T06:08:15Z</cp:lastPrinted>
  <dcterms:created xsi:type="dcterms:W3CDTF">2007-07-27T10:32:34Z</dcterms:created>
  <dcterms:modified xsi:type="dcterms:W3CDTF">2015-07-17T06:24:33Z</dcterms:modified>
</cp:coreProperties>
</file>