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725" windowWidth="19200" windowHeight="8460" tabRatio="595" firstSheet="2" activeTab="2"/>
  </bookViews>
  <sheets>
    <sheet name="Asignavimų valdytojų kodai" sheetId="29" state="hidden" r:id="rId1"/>
    <sheet name="3 programa" sheetId="41" state="hidden" r:id="rId2"/>
    <sheet name="2015 MVP" sheetId="40" r:id="rId3"/>
    <sheet name="Lyginamasis variantas" sheetId="44" r:id="rId4"/>
  </sheets>
  <definedNames>
    <definedName name="_xlnm.Print_Area" localSheetId="2">'2015 MVP'!$A$1:$M$171</definedName>
    <definedName name="_xlnm.Print_Area" localSheetId="1">'3 programa'!$A$1:$N$133</definedName>
    <definedName name="_xlnm.Print_Area" localSheetId="3">'Lyginamasis variantas'!$A$1:$O$170</definedName>
    <definedName name="_xlnm.Print_Titles" localSheetId="2">'2015 MVP'!$11:$13</definedName>
    <definedName name="_xlnm.Print_Titles" localSheetId="1">'3 programa'!$5:$7</definedName>
    <definedName name="_xlnm.Print_Titles" localSheetId="3">'Lyginamasis variantas'!$7:$9</definedName>
  </definedNames>
  <calcPr calcId="145621" fullPrecision="0"/>
</workbook>
</file>

<file path=xl/calcChain.xml><?xml version="1.0" encoding="utf-8"?>
<calcChain xmlns="http://schemas.openxmlformats.org/spreadsheetml/2006/main">
  <c r="K75" i="40" l="1"/>
  <c r="K81" i="40"/>
  <c r="M85" i="44"/>
  <c r="M77" i="44"/>
  <c r="L77" i="44"/>
  <c r="M71" i="44"/>
  <c r="L71" i="44"/>
  <c r="K20" i="40" l="1"/>
  <c r="L16" i="44"/>
  <c r="K64" i="40"/>
  <c r="L60" i="44"/>
  <c r="K136" i="44" l="1"/>
  <c r="K113" i="44"/>
  <c r="K107" i="44"/>
  <c r="K96" i="44"/>
  <c r="K86" i="44"/>
  <c r="K83" i="44"/>
  <c r="K60" i="44"/>
  <c r="K23" i="44"/>
  <c r="K19" i="44"/>
  <c r="K16" i="44"/>
  <c r="K87" i="40" l="1"/>
  <c r="L83" i="44"/>
  <c r="L86" i="44"/>
  <c r="K90" i="40"/>
  <c r="M60" i="44" l="1"/>
  <c r="M62" i="44" s="1"/>
  <c r="K23" i="40"/>
  <c r="L19" i="44"/>
  <c r="M16" i="44"/>
  <c r="K117" i="40"/>
  <c r="L113" i="44"/>
  <c r="K111" i="40" l="1"/>
  <c r="L107" i="44"/>
  <c r="K139" i="40" l="1"/>
  <c r="M46" i="44"/>
  <c r="M92" i="44" s="1"/>
  <c r="L136" i="44"/>
  <c r="K100" i="40"/>
  <c r="L96" i="44"/>
  <c r="K27" i="40"/>
  <c r="L23" i="44"/>
  <c r="K127" i="40" l="1"/>
  <c r="M130" i="44"/>
  <c r="L123" i="44"/>
  <c r="L130" i="44" s="1"/>
  <c r="K123" i="44"/>
  <c r="K130" i="44" s="1"/>
  <c r="K15" i="44"/>
  <c r="K45" i="44"/>
  <c r="K44" i="44"/>
  <c r="K43" i="44"/>
  <c r="K42" i="44"/>
  <c r="K41" i="44"/>
  <c r="K40" i="44"/>
  <c r="K38" i="44"/>
  <c r="K37" i="44"/>
  <c r="K36" i="44"/>
  <c r="K54" i="44"/>
  <c r="K53" i="44"/>
  <c r="K52" i="44"/>
  <c r="K51" i="44"/>
  <c r="K50" i="44"/>
  <c r="K49" i="44"/>
  <c r="K48" i="44"/>
  <c r="K47" i="44"/>
  <c r="K129" i="44"/>
  <c r="K112" i="40" l="1"/>
  <c r="L109" i="44"/>
  <c r="K55" i="40"/>
  <c r="K56" i="40" s="1"/>
  <c r="K53" i="40"/>
  <c r="K54" i="40" s="1"/>
  <c r="L52" i="44"/>
  <c r="L51" i="44"/>
  <c r="L50" i="44"/>
  <c r="L49" i="44"/>
  <c r="K48" i="40"/>
  <c r="L44" i="44"/>
  <c r="K42" i="40"/>
  <c r="L38" i="44"/>
  <c r="K19" i="40"/>
  <c r="L15" i="44"/>
  <c r="L108" i="44" l="1"/>
  <c r="K132" i="40" l="1"/>
  <c r="K128" i="40"/>
  <c r="K129" i="40" s="1"/>
  <c r="M165" i="44"/>
  <c r="L129" i="44"/>
  <c r="L166" i="44" l="1"/>
  <c r="M145" i="44" l="1"/>
  <c r="K22" i="44" l="1"/>
  <c r="K18" i="44"/>
  <c r="K26" i="40" l="1"/>
  <c r="K22" i="40"/>
  <c r="L22" i="44" l="1"/>
  <c r="L18" i="44"/>
  <c r="K160" i="44"/>
  <c r="L85" i="44" l="1"/>
  <c r="L106" i="44"/>
  <c r="K106" i="44"/>
  <c r="L160" i="44"/>
  <c r="M160" i="44" s="1"/>
  <c r="L167" i="44" l="1"/>
  <c r="L162" i="44"/>
  <c r="L161" i="44"/>
  <c r="L159" i="44"/>
  <c r="L156" i="44"/>
  <c r="L140" i="44" l="1"/>
  <c r="L139" i="44"/>
  <c r="L124" i="44"/>
  <c r="L125" i="44" s="1"/>
  <c r="L119" i="44"/>
  <c r="L118" i="44"/>
  <c r="L120" i="44" s="1"/>
  <c r="L114" i="44"/>
  <c r="L115" i="44"/>
  <c r="L111" i="44"/>
  <c r="L110" i="44"/>
  <c r="L158" i="44"/>
  <c r="L100" i="44"/>
  <c r="L89" i="44"/>
  <c r="L157" i="44" s="1"/>
  <c r="L87" i="44"/>
  <c r="L79" i="44"/>
  <c r="L76" i="44"/>
  <c r="L75" i="44"/>
  <c r="L163" i="44" s="1"/>
  <c r="L74" i="44"/>
  <c r="L73" i="44"/>
  <c r="L72" i="44"/>
  <c r="L69" i="44"/>
  <c r="L63" i="44"/>
  <c r="L64" i="44" s="1"/>
  <c r="L62" i="44"/>
  <c r="L58" i="44"/>
  <c r="L57" i="44"/>
  <c r="L53" i="44"/>
  <c r="L54" i="44" s="1"/>
  <c r="L47" i="44"/>
  <c r="L48" i="44" s="1"/>
  <c r="L45" i="44"/>
  <c r="L43" i="44"/>
  <c r="L42" i="44"/>
  <c r="L41" i="44"/>
  <c r="L40" i="44"/>
  <c r="L155" i="44"/>
  <c r="L37" i="44"/>
  <c r="L36" i="44"/>
  <c r="L35" i="44"/>
  <c r="L34" i="44"/>
  <c r="L33" i="44"/>
  <c r="L31" i="44"/>
  <c r="L27" i="44"/>
  <c r="L26" i="44"/>
  <c r="K167" i="44"/>
  <c r="K162" i="44"/>
  <c r="K161" i="44"/>
  <c r="K159" i="44"/>
  <c r="M159" i="44" s="1"/>
  <c r="K156" i="44"/>
  <c r="M156" i="44" s="1"/>
  <c r="K140" i="44"/>
  <c r="K139" i="44"/>
  <c r="K124" i="44"/>
  <c r="K125" i="44" s="1"/>
  <c r="K119" i="44"/>
  <c r="K118" i="44"/>
  <c r="K114" i="44"/>
  <c r="K111" i="44"/>
  <c r="K110" i="44"/>
  <c r="K108" i="44"/>
  <c r="K100" i="44"/>
  <c r="K89" i="44"/>
  <c r="K157" i="44" s="1"/>
  <c r="K87" i="44"/>
  <c r="K79" i="44"/>
  <c r="K77" i="44"/>
  <c r="K76" i="44"/>
  <c r="K75" i="44"/>
  <c r="K163" i="44" s="1"/>
  <c r="K74" i="44"/>
  <c r="K73" i="44"/>
  <c r="K72" i="44"/>
  <c r="K69" i="44"/>
  <c r="K168" i="44"/>
  <c r="M168" i="44" s="1"/>
  <c r="K63" i="44"/>
  <c r="K64" i="44" s="1"/>
  <c r="K62" i="44"/>
  <c r="K58" i="44"/>
  <c r="K57" i="44"/>
  <c r="K155" i="44"/>
  <c r="K35" i="44"/>
  <c r="K34" i="44"/>
  <c r="K33" i="44"/>
  <c r="K31" i="44"/>
  <c r="K27" i="44"/>
  <c r="K26" i="44"/>
  <c r="M157" i="44" l="1"/>
  <c r="M155" i="44"/>
  <c r="K144" i="44"/>
  <c r="L59" i="44"/>
  <c r="K115" i="44"/>
  <c r="K59" i="44"/>
  <c r="K165" i="44"/>
  <c r="K120" i="44"/>
  <c r="L112" i="44"/>
  <c r="L91" i="44"/>
  <c r="K112" i="44"/>
  <c r="L144" i="44"/>
  <c r="K154" i="44"/>
  <c r="K46" i="44"/>
  <c r="K109" i="44"/>
  <c r="K141" i="44"/>
  <c r="L46" i="44"/>
  <c r="L92" i="44" s="1"/>
  <c r="L154" i="44"/>
  <c r="L165" i="44"/>
  <c r="L141" i="44"/>
  <c r="M146" i="44"/>
  <c r="M147" i="44" s="1"/>
  <c r="K85" i="44"/>
  <c r="K91" i="44"/>
  <c r="K166" i="44"/>
  <c r="M166" i="44" s="1"/>
  <c r="K158" i="44"/>
  <c r="M158" i="44" s="1"/>
  <c r="K165" i="40"/>
  <c r="K164" i="40"/>
  <c r="K116" i="44" l="1"/>
  <c r="M154" i="44"/>
  <c r="M153" i="44" s="1"/>
  <c r="L153" i="44"/>
  <c r="L152" i="44" s="1"/>
  <c r="K153" i="44"/>
  <c r="K152" i="44" s="1"/>
  <c r="K164" i="44"/>
  <c r="K145" i="44"/>
  <c r="L116" i="44"/>
  <c r="L164" i="44"/>
  <c r="K92" i="44"/>
  <c r="L145" i="44"/>
  <c r="H126" i="41"/>
  <c r="I118" i="41"/>
  <c r="J118" i="41"/>
  <c r="I126" i="41"/>
  <c r="J126" i="41"/>
  <c r="K146" i="44" l="1"/>
  <c r="K147" i="44" s="1"/>
  <c r="M163" i="44"/>
  <c r="L146" i="44"/>
  <c r="L147" i="44" s="1"/>
  <c r="K169" i="44"/>
  <c r="L169" i="44"/>
  <c r="M161" i="44"/>
  <c r="M167" i="44"/>
  <c r="H24" i="41"/>
  <c r="M164" i="44" l="1"/>
  <c r="M162" i="44"/>
  <c r="H16" i="41"/>
  <c r="M152" i="44" l="1"/>
  <c r="M169" i="44" s="1"/>
  <c r="J125" i="41"/>
  <c r="H40" i="41" l="1"/>
  <c r="K66" i="40"/>
  <c r="J43" i="41" l="1"/>
  <c r="I43" i="41"/>
  <c r="H43" i="41"/>
  <c r="K83" i="40"/>
  <c r="H98" i="41" l="1"/>
  <c r="K93" i="40" l="1"/>
  <c r="K160" i="40" s="1"/>
  <c r="H69" i="41"/>
  <c r="H71" i="41" s="1"/>
  <c r="K95" i="40" l="1"/>
  <c r="J69" i="41"/>
  <c r="I69" i="41"/>
  <c r="K143" i="40" l="1"/>
  <c r="K142" i="40" l="1"/>
  <c r="K123" i="40"/>
  <c r="K122" i="40"/>
  <c r="K118" i="40"/>
  <c r="K115" i="40"/>
  <c r="K114" i="40"/>
  <c r="K161" i="40"/>
  <c r="K104" i="40"/>
  <c r="K110" i="40" s="1"/>
  <c r="K80" i="40"/>
  <c r="K79" i="40"/>
  <c r="K78" i="40"/>
  <c r="K77" i="40"/>
  <c r="K76" i="40"/>
  <c r="K73" i="40"/>
  <c r="K71" i="40"/>
  <c r="K67" i="40"/>
  <c r="K62" i="40"/>
  <c r="K61" i="40"/>
  <c r="K57" i="40"/>
  <c r="K51" i="40"/>
  <c r="K49" i="40"/>
  <c r="K47" i="40"/>
  <c r="K46" i="40"/>
  <c r="K45" i="40"/>
  <c r="K44" i="40"/>
  <c r="K158" i="40"/>
  <c r="K41" i="40"/>
  <c r="K40" i="40"/>
  <c r="K39" i="40"/>
  <c r="K38" i="40"/>
  <c r="K37" i="40"/>
  <c r="K35" i="40"/>
  <c r="K31" i="40"/>
  <c r="K30" i="40"/>
  <c r="K159" i="40"/>
  <c r="K170" i="40"/>
  <c r="K169" i="40"/>
  <c r="K168" i="40"/>
  <c r="K166" i="40"/>
  <c r="K162" i="40"/>
  <c r="K89" i="40" l="1"/>
  <c r="K163" i="40"/>
  <c r="K167" i="40"/>
  <c r="K50" i="40"/>
  <c r="K144" i="40"/>
  <c r="K124" i="40"/>
  <c r="K133" i="40" s="1"/>
  <c r="K147" i="40"/>
  <c r="K148" i="40" l="1"/>
  <c r="H12" i="41" l="1"/>
  <c r="H34" i="41"/>
  <c r="H29" i="41"/>
  <c r="I12" i="41" l="1"/>
  <c r="H122" i="41" l="1"/>
  <c r="J15" i="41"/>
  <c r="I15" i="41"/>
  <c r="H80" i="41" l="1"/>
  <c r="I109" i="41" l="1"/>
  <c r="H109" i="41"/>
  <c r="I108" i="41"/>
  <c r="H108" i="41"/>
  <c r="H94" i="41"/>
  <c r="H92" i="41"/>
  <c r="H91" i="41"/>
  <c r="H87" i="41"/>
  <c r="H86" i="41"/>
  <c r="H84" i="41"/>
  <c r="H83" i="41"/>
  <c r="H81" i="41"/>
  <c r="J74" i="41"/>
  <c r="I74" i="41"/>
  <c r="H74" i="41"/>
  <c r="J70" i="41"/>
  <c r="J71" i="41" s="1"/>
  <c r="I70" i="41"/>
  <c r="I71" i="41" s="1"/>
  <c r="I122" i="41"/>
  <c r="J66" i="41"/>
  <c r="I66" i="41"/>
  <c r="H66" i="41"/>
  <c r="J45" i="41"/>
  <c r="I45" i="41"/>
  <c r="H45" i="41"/>
  <c r="J44" i="41"/>
  <c r="I44" i="41"/>
  <c r="H44" i="41"/>
  <c r="J41" i="41"/>
  <c r="I41" i="41"/>
  <c r="H41" i="41"/>
  <c r="J38" i="41"/>
  <c r="I38" i="41"/>
  <c r="J35" i="41"/>
  <c r="I35" i="41"/>
  <c r="H35" i="41"/>
  <c r="J34" i="41"/>
  <c r="I34" i="41"/>
  <c r="J31" i="41"/>
  <c r="I31" i="41"/>
  <c r="H31" i="41"/>
  <c r="J29" i="41"/>
  <c r="I29" i="41"/>
  <c r="J27" i="41"/>
  <c r="I27" i="41"/>
  <c r="H27" i="41"/>
  <c r="J25" i="41"/>
  <c r="I25" i="41"/>
  <c r="H25" i="41"/>
  <c r="J14" i="41"/>
  <c r="I14" i="41"/>
  <c r="H14" i="41"/>
  <c r="J13" i="41"/>
  <c r="I13" i="41"/>
  <c r="H13" i="41"/>
  <c r="J12" i="41"/>
  <c r="I37" i="41" l="1"/>
  <c r="J37" i="41"/>
  <c r="H37" i="41"/>
  <c r="H32" i="41" l="1"/>
  <c r="I32" i="41" l="1"/>
  <c r="J32" i="41"/>
  <c r="J131" i="41"/>
  <c r="I131" i="41"/>
  <c r="H131" i="41"/>
  <c r="H132" i="41"/>
  <c r="I132" i="41"/>
  <c r="J132" i="41"/>
  <c r="K58" i="40" l="1"/>
  <c r="J79" i="41" l="1"/>
  <c r="J65" i="41"/>
  <c r="J24" i="41"/>
  <c r="J124" i="41" l="1"/>
  <c r="J122" i="41"/>
  <c r="I123" i="41"/>
  <c r="J120" i="41"/>
  <c r="I121" i="41"/>
  <c r="I120" i="41"/>
  <c r="I129" i="41"/>
  <c r="I124" i="41"/>
  <c r="H124" i="41"/>
  <c r="H130" i="41"/>
  <c r="H129" i="41"/>
  <c r="H125" i="41"/>
  <c r="H123" i="41"/>
  <c r="H121" i="41"/>
  <c r="H120" i="41"/>
  <c r="H107" i="41"/>
  <c r="H119" i="41" l="1"/>
  <c r="H118" i="41" s="1"/>
  <c r="H128" i="41"/>
  <c r="H127" i="41"/>
  <c r="H95" i="41"/>
  <c r="H110" i="41"/>
  <c r="I107" i="41"/>
  <c r="J107" i="41"/>
  <c r="H93" i="41"/>
  <c r="H85" i="41"/>
  <c r="H88" i="41"/>
  <c r="H82" i="41"/>
  <c r="I79" i="41"/>
  <c r="H79" i="41"/>
  <c r="I65" i="41"/>
  <c r="H65" i="41"/>
  <c r="H67" i="41"/>
  <c r="H42" i="41"/>
  <c r="H30" i="41"/>
  <c r="H28" i="41"/>
  <c r="H26" i="41"/>
  <c r="I24" i="41"/>
  <c r="H72" i="41" l="1"/>
  <c r="H111" i="41"/>
  <c r="H96" i="41"/>
  <c r="H89" i="41"/>
  <c r="J130" i="41"/>
  <c r="I130" i="41"/>
  <c r="I128" i="41" s="1"/>
  <c r="J129" i="41"/>
  <c r="J127" i="41"/>
  <c r="I127" i="41"/>
  <c r="J123" i="41"/>
  <c r="J121" i="41"/>
  <c r="J119" i="41" s="1"/>
  <c r="J110" i="41"/>
  <c r="J111" i="41" s="1"/>
  <c r="I110" i="41"/>
  <c r="I111" i="41" s="1"/>
  <c r="J93" i="41"/>
  <c r="J96" i="41" s="1"/>
  <c r="I93" i="41"/>
  <c r="I96" i="41" s="1"/>
  <c r="J85" i="41"/>
  <c r="I85" i="41"/>
  <c r="J82" i="41"/>
  <c r="I82" i="41"/>
  <c r="J67" i="41"/>
  <c r="I67" i="41"/>
  <c r="J42" i="41"/>
  <c r="I42" i="41"/>
  <c r="J40" i="41"/>
  <c r="I40" i="41"/>
  <c r="J30" i="41"/>
  <c r="I30" i="41"/>
  <c r="J28" i="41"/>
  <c r="I28" i="41"/>
  <c r="J26" i="41"/>
  <c r="I26" i="41"/>
  <c r="I125" i="41" l="1"/>
  <c r="I119" i="41" s="1"/>
  <c r="I72" i="41"/>
  <c r="J89" i="41"/>
  <c r="J128" i="41"/>
  <c r="J72" i="41"/>
  <c r="H133" i="41"/>
  <c r="H112" i="41"/>
  <c r="H113" i="41" s="1"/>
  <c r="I89" i="41"/>
  <c r="J112" i="41" l="1"/>
  <c r="J113" i="41" s="1"/>
  <c r="J133" i="41"/>
  <c r="I112" i="41"/>
  <c r="I113" i="41" s="1"/>
  <c r="I133" i="41"/>
  <c r="K113" i="40" l="1"/>
  <c r="K119" i="40" l="1"/>
  <c r="K157" i="40" l="1"/>
  <c r="K156" i="40" l="1"/>
  <c r="K155" i="40" s="1"/>
  <c r="K171" i="40" s="1"/>
  <c r="K63" i="40"/>
  <c r="K116" i="40" l="1"/>
  <c r="K52" i="40" l="1"/>
  <c r="K120" i="40" l="1"/>
  <c r="K91" i="40"/>
  <c r="K96" i="40" s="1"/>
  <c r="K68" i="40"/>
  <c r="K149" i="40" l="1"/>
  <c r="K150" i="40" l="1"/>
</calcChain>
</file>

<file path=xl/comments1.xml><?xml version="1.0" encoding="utf-8"?>
<comments xmlns="http://schemas.openxmlformats.org/spreadsheetml/2006/main">
  <authors>
    <author>Audra Cepiene</author>
  </authors>
  <commentList>
    <comment ref="D31" authorId="0">
      <text>
        <r>
          <rPr>
            <sz val="9"/>
            <color indexed="81"/>
            <rFont val="Tahoma"/>
            <family val="2"/>
            <charset val="186"/>
          </rPr>
          <t xml:space="preserve">Gali sudaryti iki  dviejų Lietuvos statistikos departamento paskutiniojo paskelbto Lietuvos ūkio vidutinio mėnesinio darbo užmokesčio dydžių sumą (2355,7 Lt), skaičiuota 1,5 proc.
</t>
        </r>
      </text>
    </comment>
    <comment ref="K61" authorId="0">
      <text>
        <r>
          <rPr>
            <sz val="9"/>
            <color indexed="81"/>
            <rFont val="Tahoma"/>
            <family val="2"/>
            <charset val="186"/>
          </rPr>
          <t xml:space="preserve">Stoginių darbai:
tarp pastatų Taikos pr. 99 ir 101 būtina pašalinti stoginės perdengimo plokštes ir kolonas laikančias plokštes. Stogo plotas apie 30 kv. metrų;
tarp pastatų Taikos pr. 107 ir 109 būtina pašalinti stoginės perdengimo plokštes, kolonas laikančias plokštes. Stogo plotas apie 30 kv. metrų.
</t>
        </r>
      </text>
    </comment>
    <comment ref="K64" authorId="0">
      <text>
        <r>
          <rPr>
            <sz val="9"/>
            <color indexed="81"/>
            <rFont val="Tahoma"/>
            <family val="2"/>
            <charset val="186"/>
          </rPr>
          <t xml:space="preserve">Strėvos g. 5, prižiūrimos teritorijos plotas apie 0,8-1 hetaras;
I. Simonaitytės g. 29A, teritorijos plotas apie 0,08 hektaro;
Senosios Smiltelės g. 6A, teritorijos plotas apie 0,20 hektaro.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F2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3.4.3.1 priemonė. </t>
        </r>
        <r>
          <rPr>
            <sz val="9"/>
            <color indexed="81"/>
            <rFont val="Tahoma"/>
            <family val="2"/>
            <charset val="186"/>
          </rPr>
          <t xml:space="preserve">
Sukurti darbuotojų kvalifikacijos kėlimo ir skatinimo sistemą</t>
        </r>
      </text>
    </comment>
    <comment ref="L32" authorId="0">
      <text>
        <r>
          <rPr>
            <sz val="9"/>
            <color indexed="81"/>
            <rFont val="Tahoma"/>
            <family val="2"/>
            <charset val="186"/>
          </rPr>
          <t>1990-1995 m. Klaipėdos miesto tarybos 25-čio paminėjimo renginys, savivaldos diena</t>
        </r>
      </text>
    </comment>
    <comment ref="L33" authorId="0">
      <text>
        <r>
          <rPr>
            <sz val="9"/>
            <color indexed="81"/>
            <rFont val="Tahoma"/>
            <family val="2"/>
            <charset val="186"/>
          </rPr>
          <t>1990-1995 m. Klaipėdos miesto tarybos 25-čio paminėjimo renginys, savivaldos diena</t>
        </r>
      </text>
    </comment>
    <comment ref="E57" authorId="0">
      <text>
        <r>
          <rPr>
            <sz val="9"/>
            <color indexed="81"/>
            <rFont val="Tahoma"/>
            <family val="2"/>
            <charset val="186"/>
          </rPr>
          <t xml:space="preserve">Gali sudaryti iki  dviejų Lietuvos statistikos departamento paskutiniojo paskelbto Lietuvos ūkio vidutinio mėnesinio darbo užmokesčio dydžių sumą (2355,7 Lt), skaičiuota 1,5 proc.
</t>
        </r>
      </text>
    </comment>
    <comment ref="L62" authorId="0">
      <text>
        <r>
          <rPr>
            <sz val="9"/>
            <color indexed="81"/>
            <rFont val="Tahoma"/>
            <family val="2"/>
            <charset val="186"/>
          </rPr>
          <t xml:space="preserve">
Dalyvavimas miesto partnerio – Manheimo (Vokietija) „BermudasShorts“ filmų festivalyje (Kelionės Klaipėda–Frankfurtas–Meinheimas– Frankfurtas–Klaipėda išlaidos; Filmo kūrimo ir subtitravimo dalinis finansavimas) - 9,8 tūkst. Lt 
Kylio ir Klaipėdos miestų bei uostų bendradarbiavimo stiprinimas - 6 tūkst. Lt</t>
        </r>
      </text>
    </comment>
    <comment ref="L85" authorId="0">
      <text>
        <r>
          <rPr>
            <sz val="9"/>
            <color indexed="81"/>
            <rFont val="Tahoma"/>
            <family val="2"/>
            <charset val="186"/>
          </rPr>
          <t xml:space="preserve">Stoginių darbai:
tarp pastatų Taikos pr. 99 ir 101 būtina pašalinti stoginės perdengimo plokštes ir kolonas laikančias plokštes. Stogo plotas apie 30 kv. metrų;
tarp pastatų Taikos pr. 107 ir 109 būtina pašalinti stoginės perdengimo plokštes, kolonas laikančias plokštes. Stogo plotas apie 30 kv. metrų.
</t>
        </r>
      </text>
    </comment>
    <comment ref="L107" authorId="0">
      <text>
        <r>
          <rPr>
            <sz val="9"/>
            <color indexed="81"/>
            <rFont val="Tahoma"/>
            <family val="2"/>
            <charset val="186"/>
          </rPr>
          <t>280,1 (SB)/62,9 (VB)</t>
        </r>
      </text>
    </comment>
    <comment ref="L141" authorId="0">
      <text>
        <r>
          <rPr>
            <sz val="9"/>
            <color indexed="81"/>
            <rFont val="Tahoma"/>
            <family val="2"/>
            <charset val="186"/>
          </rPr>
          <t xml:space="preserve">Pridėta 6 tūkst už dviejų durų angų išmušimą pagal sąmatą
</t>
        </r>
      </text>
    </comment>
  </commentList>
</comments>
</file>

<file path=xl/comments3.xml><?xml version="1.0" encoding="utf-8"?>
<comments xmlns="http://schemas.openxmlformats.org/spreadsheetml/2006/main">
  <authors>
    <author>Audra Cepiene</author>
  </authors>
  <commentList>
    <comment ref="F23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3.4.3.1 priemonė. </t>
        </r>
        <r>
          <rPr>
            <sz val="9"/>
            <color indexed="81"/>
            <rFont val="Tahoma"/>
            <family val="2"/>
            <charset val="186"/>
          </rPr>
          <t xml:space="preserve">
Sukurti darbuotojų kvalifikacijos kėlimo ir skatinimo sistemą</t>
        </r>
      </text>
    </comment>
    <comment ref="E53" authorId="0">
      <text>
        <r>
          <rPr>
            <sz val="9"/>
            <color indexed="81"/>
            <rFont val="Tahoma"/>
            <family val="2"/>
            <charset val="186"/>
          </rPr>
          <t xml:space="preserve">Gali sudaryti iki  dviejų Lietuvos statistikos departamento paskutiniojo paskelbto Lietuvos ūkio vidutinio mėnesinio darbo užmokesčio dydžių sumą (2355,7 Lt), skaičiuota 1,5 proc.
</t>
        </r>
      </text>
    </comment>
  </commentList>
</comments>
</file>

<file path=xl/sharedStrings.xml><?xml version="1.0" encoding="utf-8"?>
<sst xmlns="http://schemas.openxmlformats.org/spreadsheetml/2006/main" count="1365" uniqueCount="373">
  <si>
    <t>Uždavinio kodas</t>
  </si>
  <si>
    <t>Priemonės kodas</t>
  </si>
  <si>
    <t>Priemonės požymis</t>
  </si>
  <si>
    <t>Asignavimų valdytojo kodas</t>
  </si>
  <si>
    <t>Finansavimo šaltinis</t>
  </si>
  <si>
    <t>01</t>
  </si>
  <si>
    <t>02</t>
  </si>
  <si>
    <t>03</t>
  </si>
  <si>
    <t>04</t>
  </si>
  <si>
    <t>SB</t>
  </si>
  <si>
    <t>PF</t>
  </si>
  <si>
    <t>ES</t>
  </si>
  <si>
    <t>Iš viso:</t>
  </si>
  <si>
    <t>Iš viso uždaviniui:</t>
  </si>
  <si>
    <t>Iš viso programai:</t>
  </si>
  <si>
    <t>Iš viso tikslui:</t>
  </si>
  <si>
    <t>Finansavimo šaltiniai</t>
  </si>
  <si>
    <t>Pavadinimas</t>
  </si>
  <si>
    <t>Finansavimo šaltinių suvestinė</t>
  </si>
  <si>
    <t>SAVIVALDYBĖS  LĖŠOS, IŠ VISO:</t>
  </si>
  <si>
    <t>KITI ŠALTINIAI, IŠ VISO:</t>
  </si>
  <si>
    <t>IŠ VISO:</t>
  </si>
  <si>
    <t>Paskolų grąžinimas ir palūkanų mokėjimas</t>
  </si>
  <si>
    <t>Projekto „Klaipėdos miesto savivaldybės administracijos darbo organizavimo gerinimas tobulinant organizacinę struktūrą, finansinių išteklių ir veiklos valdymo procesus“ įgyvendinimas</t>
  </si>
  <si>
    <t>Strateginis tikslas 01. Didinti miesto konkurencingumą, kryptingai vystant infrastruktūrą ir sudarant palankias sąlygas verslui</t>
  </si>
  <si>
    <t xml:space="preserve">Savivaldybės biudžetas, iš jo: </t>
  </si>
  <si>
    <t>05</t>
  </si>
  <si>
    <t>10</t>
  </si>
  <si>
    <t>06</t>
  </si>
  <si>
    <t>07</t>
  </si>
  <si>
    <t>08</t>
  </si>
  <si>
    <t>09</t>
  </si>
  <si>
    <t>11</t>
  </si>
  <si>
    <t>12</t>
  </si>
  <si>
    <t>13</t>
  </si>
  <si>
    <t>Tobulinti savivaldybės administracinių paslaugų teikimą, taikant pažangius vadybos principus</t>
  </si>
  <si>
    <t xml:space="preserve">Informacinių technologijų palaikymas ir plėtojimas Savivaldybės administracijoje </t>
  </si>
  <si>
    <t>Dalyvavimas organizuojant rinkimus</t>
  </si>
  <si>
    <t>22</t>
  </si>
  <si>
    <t>KPP</t>
  </si>
  <si>
    <r>
      <t>Kelių priežiūros ir plėtros programos lėšos</t>
    </r>
    <r>
      <rPr>
        <b/>
        <sz val="10"/>
        <rFont val="Times New Roman"/>
        <family val="1"/>
        <charset val="186"/>
      </rPr>
      <t xml:space="preserve"> KPP</t>
    </r>
  </si>
  <si>
    <t>SB(VB)</t>
  </si>
  <si>
    <t>Savivaldybės tarybos finansinio, ūkinio bei materialinio aptarnavimo užtikrinimas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</si>
  <si>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</si>
  <si>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Kurti savivaldybės valdymo sistemą, patogią verslui ir gyventojams</t>
  </si>
  <si>
    <t>Savivaldybei priklausančių patalpų eksploatacinių ir kitų išlaidų padengimas</t>
  </si>
  <si>
    <t>Organizuoti savivaldybės veiklos bendrųjų funkcijų vykdymą</t>
  </si>
  <si>
    <t>1</t>
  </si>
  <si>
    <t>5</t>
  </si>
  <si>
    <t xml:space="preserve">Savivaldybei priklausančių statinių esamos techninės būklės įvertinimo paslaugų įsigijimas 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</si>
  <si>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</si>
  <si>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</si>
  <si>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</si>
  <si>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 xml:space="preserve"> TIKSLŲ, UŽDAVINIŲ, PRIEMONIŲ IR PRIEMONIŲ IŠLAIDŲ SUVESTINĖ</t>
  </si>
  <si>
    <r>
      <t xml:space="preserve">Pajamų įmokos už patalpų nuomą </t>
    </r>
    <r>
      <rPr>
        <b/>
        <sz val="10"/>
        <rFont val="Times New Roman"/>
        <family val="1"/>
        <charset val="186"/>
      </rPr>
      <t>SB(SP)</t>
    </r>
  </si>
  <si>
    <t>SB(SP)</t>
  </si>
  <si>
    <t>03 Savivaldybės valdymo programa</t>
  </si>
  <si>
    <t>Projekto „Klaipėdos miesto savivaldybės administracijos darbuotojų ir savivaldybės tarybos narių kvalifikacijos tobulinimas, II etapas“ įgyvendinimas</t>
  </si>
  <si>
    <t>Gerinti gyventojų aptarnavimo ir darbuotojų darbo sąlygas Savivaldybės administracijoje</t>
  </si>
  <si>
    <t>Diegti Savivaldybės administracijoje modernias informacines sistemas ir plėsti elektroninių paslaugų spektrą</t>
  </si>
  <si>
    <t>Objektų rengimas privatizavimui, privatizavimo programų rengimas, objektų privatizavimo organizavimas</t>
  </si>
  <si>
    <t>Produkto kriterijaus</t>
  </si>
  <si>
    <t>2015-ieji metai</t>
  </si>
  <si>
    <t>Mokymų dalyvių skaičius</t>
  </si>
  <si>
    <t>Namų administratorių, teikiančių paslaugas, skaičius</t>
  </si>
  <si>
    <t>Teisės skyrius</t>
  </si>
  <si>
    <t>Dokumentų valdymo skyrius</t>
  </si>
  <si>
    <t>Prisijungimų skaičius prie GRT sistemos, tūkst. kartų</t>
  </si>
  <si>
    <t>I</t>
  </si>
  <si>
    <t>Personalo skyrius</t>
  </si>
  <si>
    <t>Strateginio planavimo skyrius</t>
  </si>
  <si>
    <t>Viešosios tvarkos skyrius</t>
  </si>
  <si>
    <t>Savivaldybės tarybos sekretoriato darbuotojų skaičius</t>
  </si>
  <si>
    <t>Pastatų, kuriuose yra savivaldybei priklausančios negyvenamosios patalpos, bendro naudojimo objektų remonto išlaidų padengimas</t>
  </si>
  <si>
    <t>Savivaldybės administracijos veiklos užtikrinimas:</t>
  </si>
  <si>
    <t>Savivaldybės administracijos direktoriaus rezervas</t>
  </si>
  <si>
    <t>2016-ųjų metų lėšų projektas</t>
  </si>
  <si>
    <t>Asignavimų valdytojų kodų klasifikatorius*</t>
  </si>
  <si>
    <t xml:space="preserve">                              Pavadinimas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</si>
  <si>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</si>
  <si>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</si>
  <si>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</si>
  <si>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</si>
  <si>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</si>
  <si>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</si>
  <si>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</si>
  <si>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</si>
  <si>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</si>
  <si>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</si>
  <si>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</si>
  <si>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</si>
  <si>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>* patvirtinta Klaipėdos miesto savivaldybės administracijos direktoriaus 2011-02-24 įsakymu Nr. AD1-384</t>
  </si>
  <si>
    <t>Ūkio skyrius</t>
  </si>
  <si>
    <t>Per ataskaitinį laikotarpį užbaigtų bylų skaičius</t>
  </si>
  <si>
    <t>Išsiųstų laiškų skaičius, tūkst.</t>
  </si>
  <si>
    <t>Iš viso priemonei:</t>
  </si>
  <si>
    <t>Atlikta inžinerinių tinklų matavimų, km</t>
  </si>
  <si>
    <t>Perduota inžinerinių tinklų, km</t>
  </si>
  <si>
    <t>2016-ieji metai</t>
  </si>
  <si>
    <t>Pasirašytų paskolų sutarčių skaičius</t>
  </si>
  <si>
    <t>P3.4.3.1</t>
  </si>
  <si>
    <t>Viešųjų ryšių paslaugų, skirtų savivaldybės veiklai viešinti ir įvaizdžio strategijai sukurti ir įgyvendinti, įsigijimas</t>
  </si>
  <si>
    <t>P3.4.2.2.</t>
  </si>
  <si>
    <t>Administracinio pastato, esančio Liepų g. 7, Klaipėdoje, atnaujinimas (modernizavimas), sumažinant energijos suvartojimo sąnaudas</t>
  </si>
  <si>
    <t>LRVB</t>
  </si>
  <si>
    <t>SB(P)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</si>
  <si>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</si>
  <si>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t xml:space="preserve">Rinkodaros ir reprezentacinių  priemonių vykdymas </t>
  </si>
  <si>
    <t>Lietuvos savivaldybių asociacija (LSA)</t>
  </si>
  <si>
    <t>P3.4.1.1,P3.4.2.1, P3.4.1.4</t>
  </si>
  <si>
    <t>Kontrolės ir audito tarnybos finansinio, ūkinio bei materialinio aptarnavimo užtikrinimas</t>
  </si>
  <si>
    <t>Viešosios tvarkos skyriaus naudojamų transporto priemonių išlaikymas</t>
  </si>
  <si>
    <t>Dalyvio mokestis už narystę Lietuvos savivaldybių asociacijoje  (LSA)</t>
  </si>
  <si>
    <t>FTD Apskaitos skyrius</t>
  </si>
  <si>
    <t>FTD Mokesčių skyrius</t>
  </si>
  <si>
    <t>IED Tarptautinių ryšių, verslo plėtros ir turizmo skyrius</t>
  </si>
  <si>
    <t>FTD Finansų sk.</t>
  </si>
  <si>
    <t>FTD Turto skyrius</t>
  </si>
  <si>
    <t>IED Tarptautinių ryšių, verslo plėtros ir turizmo sk.</t>
  </si>
  <si>
    <t>IED Projektų skyrius</t>
  </si>
  <si>
    <t>Informavimo ir e.paslaugų skyrius</t>
  </si>
  <si>
    <t>SB(VR)</t>
  </si>
  <si>
    <r>
      <t xml:space="preserve">Savivaldybės biudžeto rinkliavos lėšos </t>
    </r>
    <r>
      <rPr>
        <b/>
        <sz val="10"/>
        <rFont val="Times New Roman"/>
        <family val="1"/>
        <charset val="186"/>
      </rPr>
      <t>SB(VR)</t>
    </r>
  </si>
  <si>
    <t>Nupirkta spaudos ploto   dienraščiuose, psl.</t>
  </si>
  <si>
    <t>VALDYMO PROGRAMOS (NR. 3)</t>
  </si>
  <si>
    <t>P3.4.1.1.</t>
  </si>
  <si>
    <t>Ūkio tarnyba</t>
  </si>
  <si>
    <t>Savivaldybės administracijos reikmėms naudojamų pastatų ir patalpų einamasis remontas:</t>
  </si>
  <si>
    <t>Savivaldybės tarybos sekretoriato finansinio, ūkinio bei materialinio aptarnavimo užtikrinimas</t>
  </si>
  <si>
    <t>Savivaldybei nuosavybės teise priklausančio ir patikėjimo teise valdomo turto valdymas, naudojimas ir disponavimas:</t>
  </si>
  <si>
    <t>Dalyvavimas vietinių ir tarptautinių organizacijų veikloje:</t>
  </si>
  <si>
    <t>Savivaldybės administracijos darbuotojų skaičius</t>
  </si>
  <si>
    <t>Perkeltų paslaugų skaičius, vnt.</t>
  </si>
  <si>
    <t>Savivaldybės tarybos narių skaičius</t>
  </si>
  <si>
    <t>Kontrolės ir audito tarnybos darbuotojų skaičius</t>
  </si>
  <si>
    <t xml:space="preserve">Eksploatuojamų kompiuterių skaičius, vnt. </t>
  </si>
  <si>
    <t>Korespondencijos siuntimo paštu organizavimas, spaudinių prenumerata</t>
  </si>
  <si>
    <t>Viešųjų ryšių plėtojimas:</t>
  </si>
  <si>
    <r>
      <t xml:space="preserve">Savivaldybės biudžeto privatizavimo fondo lėšos </t>
    </r>
    <r>
      <rPr>
        <b/>
        <sz val="10"/>
        <rFont val="Times New Roman"/>
        <family val="1"/>
        <charset val="186"/>
      </rPr>
      <t>SB(PF)</t>
    </r>
  </si>
  <si>
    <t>Išmokos seniūnaičiams</t>
  </si>
  <si>
    <t>Prisijungimų skaičius prie Registrų centro sistemos, tūkst. kartų</t>
  </si>
  <si>
    <t>IED Licencijų, leidimų ir vartotojų teisių apsaugos skyrius</t>
  </si>
  <si>
    <t>Parengtas techninis projektas, vnt.</t>
  </si>
  <si>
    <t>Valstybės deleguotų funkcijų vykdymas:</t>
  </si>
  <si>
    <t>Žemės ūkio priemonių vykdymas</t>
  </si>
  <si>
    <t>Darbo rinkos politikos priemonių vykdymas</t>
  </si>
  <si>
    <t>Vykdoma sutartis su Klaipėdos rajono savivaldybe, vnt.</t>
  </si>
  <si>
    <t>Įdarbinta asmenų, vnt.</t>
  </si>
  <si>
    <t>Mero reprezentacinių priemonių vykdymas (Mero fondo naudojimas)</t>
  </si>
  <si>
    <t>Nekilnojamojo turto matavimai ir  teisinė registracija</t>
  </si>
  <si>
    <t>Automobilių statymo aikštelės prie „Švyturio“ arenos apšvietimo išlaidų dengimas ir energetinių išteklių išlaidų kompensavimas UAB „Klaipėdos arena“</t>
  </si>
  <si>
    <t>Projekto „Interaktyvių elektroninių paslaugų plėtra ir prieinamumas“ įgyvendinimas</t>
  </si>
  <si>
    <t>Projekto „Centralizuotas savivaldybių paslaugų perkėlimas į elektroninę erdvę“ įgyvendinimas</t>
  </si>
  <si>
    <t>Dalyvavimas projekte „Besikeičiantys miestai: bendradarbiavimas miestų plėtros srityje“</t>
  </si>
  <si>
    <t>Pastato Laukininkų g. 19A fasado einamasis remontas</t>
  </si>
  <si>
    <t>Įsigyta IT įrangos, vnt.</t>
  </si>
  <si>
    <t>Įrengta skaitmeninių e. kioskų, vnt.</t>
  </si>
  <si>
    <t>Veiklos plano tikslo kodas</t>
  </si>
  <si>
    <t>Papriemonės kodas</t>
  </si>
  <si>
    <t>Vykdytojas (skyrius / asmuo)</t>
  </si>
  <si>
    <t>2015-ųjų metų asignavimų planas</t>
  </si>
  <si>
    <t>2017-ųjų metų lėšų projektas</t>
  </si>
  <si>
    <t>2016-ųjų m. lėšų poreikis</t>
  </si>
  <si>
    <t>2017-ųjų m. lėšų poreikis</t>
  </si>
  <si>
    <t>Savivaldybės administracijos veiklos užtikrinimas (pastatų eksploatacija, materialinis aprūpinimas)</t>
  </si>
  <si>
    <t>SB(SPL)</t>
  </si>
  <si>
    <t>SB(L)</t>
  </si>
  <si>
    <t>2017-ieji metai</t>
  </si>
  <si>
    <t>Daugiabučių gyvenamųjų namų žemės nuomos mokesčio paskirstymo ir administravimo paslaugos pirkimas</t>
  </si>
  <si>
    <t>Pateiktų suvest. duomenų apie nekilnojamojo turto vertes, proc.</t>
  </si>
  <si>
    <t>Atlikta apklausų, tyrimų, vnt.</t>
  </si>
  <si>
    <t>Informacijos sklaida žiniasklaidos priemonėse, savivaldybės skelbimų publikavimas</t>
  </si>
  <si>
    <t>Įsigytų paslaugų skaičius, vnt.</t>
  </si>
  <si>
    <t>9/40</t>
  </si>
  <si>
    <t>10/45</t>
  </si>
  <si>
    <t>Turimos programinės įrangos priežiūra ir konsultavimas</t>
  </si>
  <si>
    <t>Programinės įrangos naudojimo licencijų nuoma</t>
  </si>
  <si>
    <t>Pastato Liepų g. 7 I aukšto bei rūsio patalpų einamasis remontas</t>
  </si>
  <si>
    <t>Pastato Liepų g. 11  patalpų einamasis remontas (parketo atnaujinimas, laminuotos grindų dangos atnaujinimas, kabinetų remontas)</t>
  </si>
  <si>
    <t>Pastato Liepų g. 11  fasado remontas</t>
  </si>
  <si>
    <t>Pagal poreikį įsigytų aprangos komplektų skaičius, vnt.</t>
  </si>
  <si>
    <t>1/31</t>
  </si>
  <si>
    <t>Apmokėjimas už advokatų ir antstolių paslaugas</t>
  </si>
  <si>
    <t xml:space="preserve">Įdiegta projektų valdymo informacinė sistema, vnt. </t>
  </si>
  <si>
    <t>Atlikti kelių ir aikštelių matavimai, km</t>
  </si>
  <si>
    <t>Remontuojamų objektų kiekis, vnt.</t>
  </si>
  <si>
    <t>Savivaldybės kontroliuojamų įmonių įstatinio kapitalo didinimas, perduodant inžinerinius tinklus funkcijoms vykdyti</t>
  </si>
  <si>
    <t xml:space="preserve">Parengta projektų, vnt. </t>
  </si>
  <si>
    <t>Privatizuota objektų, vnt.</t>
  </si>
  <si>
    <t xml:space="preserve">Savivaldybės nekilnojamojo turto  (negyvenamoji paskirtis) remontas </t>
  </si>
  <si>
    <t>Turto valdymo dokumentų rengimas (galimybių studijos, ekspertizės ir kt.)</t>
  </si>
  <si>
    <t>Likviduota įmonių, vnt.</t>
  </si>
  <si>
    <t xml:space="preserve">Nerentabiliai veikiančių įmonių likvidavimas </t>
  </si>
  <si>
    <t xml:space="preserve">Dalyvavimas tarptautinių organizacijų,  miestų partnerių organizuojamuose tarptautiniuose renginiuose </t>
  </si>
  <si>
    <t>Savivaldybės nenaudojamų (neeksploatuojamų) statinių   nugriovimas ir jų inžinerinių tinklų techninės būklės palaikymas (nugriovimas)</t>
  </si>
  <si>
    <t>Parengtos baseino operatoriaus parinkimo konkurso salygos ir galimybių studija</t>
  </si>
  <si>
    <t>Privatizuota gyvenamųjų patalpų ir jų priklausinių, vnt.</t>
  </si>
  <si>
    <t>Įrengtas LED ekranas</t>
  </si>
  <si>
    <t>Atlikti pastato modernizavimo darbai, užbaigtumas, proc.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</si>
  <si>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</si>
  <si>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t>Informavimo ir e. paslaugų skyrius</t>
  </si>
  <si>
    <t>Pastato Liepų g. 11 stogo remontas</t>
  </si>
  <si>
    <t>Kiti finansavimo šaltiniai Kt</t>
  </si>
  <si>
    <t xml:space="preserve">MŪD </t>
  </si>
  <si>
    <t>2/20</t>
  </si>
  <si>
    <t>1/20</t>
  </si>
  <si>
    <t xml:space="preserve">Dalyvio mokestis už narystę   tarptautinių organizacijų veikloje  (Cruise Baltic – CB, EUROCITIES, Union of the Baltic Cities – UBC, Baltic Sail,  European Cities Against Drugs – ECAD, World Health Organization – WHO,  Kommunnes Internasjonale Miljøorganisasjon – KIMO)   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</si>
  <si>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</si>
  <si>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2015 m. asignavimų planas</t>
  </si>
  <si>
    <t xml:space="preserve">                              1-10</t>
  </si>
  <si>
    <t>Organizuota renginių, vnt.</t>
  </si>
  <si>
    <t>2</t>
  </si>
  <si>
    <t>Apmokėta ieškinių, vnt.</t>
  </si>
  <si>
    <t>Įsigyta atminimo ženklų, vnt</t>
  </si>
  <si>
    <t>Kompiuterinė ir organizacinė technika</t>
  </si>
  <si>
    <t>Kompiuterinė ir organizacinė technika Liepų g. 7</t>
  </si>
  <si>
    <t>Licencijų pirkimas</t>
  </si>
  <si>
    <t>Žemės nuomos mokesčio skaičiavimo informacinės sistemos MASIS naujos versijos pirkimas</t>
  </si>
  <si>
    <t>Išnuomota IT įrangos</t>
  </si>
  <si>
    <t>Įsigyta licencijų, vnt.</t>
  </si>
  <si>
    <t>Įsigyta IS</t>
  </si>
  <si>
    <t>Išnuomota  programinės įrangos licencijų, vnt.</t>
  </si>
  <si>
    <t>Kompiuterinės ir organizacinės technikos bei licencijų įsigijimas:</t>
  </si>
  <si>
    <t>Kompiuterinės ir organizacinės technikos eksploatavimas:</t>
  </si>
  <si>
    <t>Teismo išlaidų apmokėjimas</t>
  </si>
  <si>
    <t>Mokymų (valstybės tarnautojų įvadiniai mokymai, specifiniai mokymai atestatams ir licencijoms įgyti) organizavimas</t>
  </si>
  <si>
    <r>
      <t xml:space="preserve">Viešosios tvarkos skyriaus materialinis aprūpinimas </t>
    </r>
    <r>
      <rPr>
        <sz val="10"/>
        <rFont val="Times New Roman"/>
        <family val="1"/>
        <charset val="186"/>
      </rPr>
      <t xml:space="preserve">(pašto, kanceliarinių prekių bei tarnybinės aprangos įsigijimas) </t>
    </r>
  </si>
  <si>
    <t>VIKT paslaugų  (internetinis ryšys, kompiuterinių duomenų perdavimas) įsigijimas</t>
  </si>
  <si>
    <t>Techninis aptarnavimas (spausdintuvų, biuro įrangos remonto darbai, profilaktinė priežiūra) pagal poreikį ir faktą</t>
  </si>
  <si>
    <t>Pastato Kanto g. 11 (Vaiko teisių apsaugos tarnyba) patalpų einamasis remontas, elektros instaliacijos modernizavimas</t>
  </si>
  <si>
    <t>Pastato Laukininkų g. 19A (Socialinės paramos skyrius) fasado einamasis remontas</t>
  </si>
  <si>
    <t>Informacinių technologijų palaikymas ir plėtojimas Savivaldybės administracijoje</t>
  </si>
  <si>
    <t>Kompiuterinės ir organizacinės technikos bei licencijų įsigijimas</t>
  </si>
  <si>
    <t>Kompiuterinės ir organizacinės technikos eksploatavimas</t>
  </si>
  <si>
    <t>11/125</t>
  </si>
  <si>
    <t>/180</t>
  </si>
  <si>
    <t>/250</t>
  </si>
  <si>
    <r>
      <rPr>
        <b/>
        <sz val="10"/>
        <rFont val="Times New Roman"/>
        <family val="1"/>
        <charset val="186"/>
      </rPr>
      <t>Priemonių, mažinančių administracinę naštą juridiniams ir fiziniams asmenims, taikymas</t>
    </r>
    <r>
      <rPr>
        <sz val="10"/>
        <rFont val="Times New Roman"/>
        <family val="1"/>
        <charset val="186"/>
      </rPr>
      <t xml:space="preserve"> (Licencijų ir leidimų išdavimo, proceso valdymo ir kontrolės sistemos sukūrimas)</t>
    </r>
  </si>
  <si>
    <t>Perkeltų į elektroninę erdvę paslaugų skaičius, vnt.</t>
  </si>
  <si>
    <t>Įrengtas LED ekranas, vnt.</t>
  </si>
  <si>
    <t>Savivaldybės administracijos darbuotojų etatų skaičius</t>
  </si>
  <si>
    <t>Per ataskaitinį laikotarpį užbaigtų bylų (teismuose) skaičius</t>
  </si>
  <si>
    <t>Parengtos baseino operatoriaus parinkimo konkurso salygos ir galimybių studija, vnt.</t>
  </si>
  <si>
    <t>Planas</t>
  </si>
  <si>
    <t xml:space="preserve">Eksploatuojama programa / IS vartotojų skaičius </t>
  </si>
  <si>
    <t>Renginių, kuriuose dalyvauta, skaičius</t>
  </si>
  <si>
    <t>Tarptautinių organizacijų, kurių narė yra Klaipėdos miesto savivaldybė,  skaičius</t>
  </si>
  <si>
    <t>Organizuota mokymų temų, skaičius / mokymų dalyvių skaičius</t>
  </si>
  <si>
    <t>Teisiškai įregistruotų objektų skaičius vnt.</t>
  </si>
  <si>
    <t>Atlikta kelių ir aikštelių matavimų, km</t>
  </si>
  <si>
    <t>Prižiūrimų objektų skaičius, vnt.</t>
  </si>
  <si>
    <t>Eksploatuojama žibintų, apšviečiančių aikšteles, skaičius</t>
  </si>
  <si>
    <t>Parengta UAB „Senasis turgus“ veiklos gerinimo galimybių studija, vnt.</t>
  </si>
  <si>
    <t>Suremontuotos patalpos Daukanto g. 24 ir Herkaus Manto g. 47, vnt.</t>
  </si>
  <si>
    <t>Nugriauta statinių, vnt. / prižiūrima inžinerinių tinklų, km</t>
  </si>
  <si>
    <t>Įvertinta pastatų, skaičius</t>
  </si>
  <si>
    <t>Įsigyta ar išnuomota IT įrangos, vnt.</t>
  </si>
  <si>
    <t>Konferencijų, kuriose dalyvauta, skaičius</t>
  </si>
  <si>
    <r>
      <t>Organizuota renginių (1990</t>
    </r>
    <r>
      <rPr>
        <sz val="10"/>
        <rFont val="Calibri"/>
        <family val="2"/>
        <charset val="186"/>
      </rPr>
      <t>–</t>
    </r>
    <r>
      <rPr>
        <sz val="10"/>
        <rFont val="Times New Roman"/>
        <family val="1"/>
        <charset val="186"/>
      </rPr>
      <t>1995 m. Klaipėdos miesto tarybos 25-mečio paminėjimo renginys, Savivaldos diena), vnt.</t>
    </r>
  </si>
  <si>
    <r>
      <t>Suremontuota stogo ploto (Liepų g. 11), m</t>
    </r>
    <r>
      <rPr>
        <sz val="10"/>
        <rFont val="Calibri"/>
        <family val="2"/>
        <charset val="186"/>
      </rPr>
      <t>²</t>
    </r>
  </si>
  <si>
    <r>
      <t>Suremontuota patalpų pastate Liepų g. 7, m</t>
    </r>
    <r>
      <rPr>
        <sz val="10"/>
        <rFont val="Calibri"/>
        <family val="2"/>
        <charset val="186"/>
      </rPr>
      <t>²</t>
    </r>
  </si>
  <si>
    <r>
      <t>Suremontuota fasado ploto,  m</t>
    </r>
    <r>
      <rPr>
        <sz val="10"/>
        <rFont val="Calibri"/>
        <family val="2"/>
        <charset val="186"/>
      </rPr>
      <t>²</t>
    </r>
  </si>
  <si>
    <r>
      <t>Suremontuota parketo ploto, m</t>
    </r>
    <r>
      <rPr>
        <sz val="10"/>
        <rFont val="Calibri"/>
        <family val="2"/>
        <charset val="186"/>
      </rPr>
      <t>²</t>
    </r>
  </si>
  <si>
    <r>
      <t>Pakeista laminuotos grindų dangos ploto, m</t>
    </r>
    <r>
      <rPr>
        <sz val="10"/>
        <rFont val="Calibri"/>
        <family val="2"/>
        <charset val="186"/>
      </rPr>
      <t>²</t>
    </r>
  </si>
  <si>
    <r>
      <t>Suremontuota kabinetų ploto, m</t>
    </r>
    <r>
      <rPr>
        <sz val="10"/>
        <rFont val="Calibri"/>
        <family val="2"/>
        <charset val="186"/>
      </rPr>
      <t>²</t>
    </r>
  </si>
  <si>
    <r>
      <t>Suremontuota patalpų ploto, m</t>
    </r>
    <r>
      <rPr>
        <sz val="10"/>
        <rFont val="Calibri"/>
        <family val="2"/>
        <charset val="186"/>
      </rPr>
      <t>²</t>
    </r>
  </si>
  <si>
    <r>
      <t>Suremontuota fasado ploto (Laukininkų g. 19A), m</t>
    </r>
    <r>
      <rPr>
        <sz val="10"/>
        <rFont val="Calibri"/>
        <family val="2"/>
        <charset val="186"/>
      </rPr>
      <t>²</t>
    </r>
  </si>
  <si>
    <t xml:space="preserve">Dalyvio mokestis už narystę  tarptautinių organizacijų veikloje  (Cruise Baltic – CB, EUROCITIES, Union of the Baltic Cities – UBC, Baltic Sail,  European Cities Against Drugs – ECAD, World Health Organization – WHO,  Kommunnes Internasjonale Miljøorganisasjon – KIMO)   </t>
  </si>
  <si>
    <t>Gyvenamųjų patalpų ir jų priklausinių, taip pat pagalbinės paskirties pastatų, jų dalių privatizavimo dokumentų rengimas</t>
  </si>
  <si>
    <t>Savivaldybės nenaudojamų (neeksploatuojamų) statinių  nugriovimas ir jų inžinerinių tinklų techninės būklės palaikymas (nugriovimas)</t>
  </si>
  <si>
    <t>Pastato I. Kanto g. 11  patalpų einamasis remontas, elektros instaliacijos modernizavimas</t>
  </si>
  <si>
    <t>Eur</t>
  </si>
  <si>
    <t>Organizuota mokymų temų, skaičius / Mokymų dalyvių skaičius, vnt.</t>
  </si>
  <si>
    <t>Įsigyta suvenyrinių knygų fotoalbumų, vnt.</t>
  </si>
  <si>
    <t>Eksploatuojama ir remontuojama automobilių, skaičius</t>
  </si>
  <si>
    <t>Aprūpintų seniūnaičių skaičius</t>
  </si>
  <si>
    <t>Tarptautinių organizacijų, kurių narė yra Klaipėdos miesto savivaldybė, skaičius</t>
  </si>
  <si>
    <t>Teisiškai įregistruotų objektų skaičius, vnt.</t>
  </si>
  <si>
    <t>Parengta UAB „Senasis turgus“ veiklos gerinimo galimybių studija</t>
  </si>
  <si>
    <t>Suremontuoti Daukanto g. 24 ir Herkaus Manto g. 47 objektai, vnt.</t>
  </si>
  <si>
    <t>Nugriauta statinių, vnt. / Prižiūrima inžinerinių tinklų, km</t>
  </si>
  <si>
    <t>Suremontuota stogo ploto (Liepų g. 11), m²</t>
  </si>
  <si>
    <t>Suremontuota fasado ploto,  m²</t>
  </si>
  <si>
    <t>Suremontuota parketo ploto, m²</t>
  </si>
  <si>
    <t>Pakeista laminuotos grindų dangos ploto, m²</t>
  </si>
  <si>
    <t>Suremontuota kabinetų ploto, m²</t>
  </si>
  <si>
    <t>Suremontuota patalpų ploto, m²</t>
  </si>
  <si>
    <t>Suremontuota fasado ploto (Laukininkų g. 19A), m²</t>
  </si>
  <si>
    <t>Gyventojų apklausos, nuomonių tyrimai</t>
  </si>
  <si>
    <t>Atstovavimo teismuose ir teismų sprendimų vykdymo organizavimas bei teismo išlaidų apmokėjimas:</t>
  </si>
  <si>
    <t>VšĮ „Klaipėdos šventės“ vietinės rinkliavos administravimo apmokėjimas (15 % nuo surinktos rinkliavos)</t>
  </si>
  <si>
    <t>Naudojimasis „Regitros“, Registrų centro, Gyventojų registro tarnybos informacinėmis duomenų bazėmis</t>
  </si>
  <si>
    <t>Administracinių teisės aktų pažeidimų protokolų valdymo sistemos įdiegimas ir eksploatavimas</t>
  </si>
  <si>
    <t>Nekilnojamojo turto matavimai ir teisinė registracija</t>
  </si>
  <si>
    <t>Eksploatacinių medžiagų (spausdintuvų kasetės, rašalai ir dažai), kompiuterinių dalių ir priedų įsigijimas</t>
  </si>
  <si>
    <t>2015-ųjų metų asignavimų planas*</t>
  </si>
  <si>
    <r>
      <t>2015 M. KLAIPĖDOS MIESTO SAVIVALDYBĖS ADMINISTRACIJOS</t>
    </r>
    <r>
      <rPr>
        <b/>
        <sz val="11"/>
        <rFont val="Times New Roman"/>
        <family val="1"/>
        <charset val="186"/>
      </rPr>
      <t xml:space="preserve">                      
VALDYMO PROGRAMOS (NR. 03)</t>
    </r>
  </si>
  <si>
    <t>Apskaitos kodas</t>
  </si>
  <si>
    <t>Indėlio kriterijaus</t>
  </si>
  <si>
    <t>P.3.4.3.1</t>
  </si>
  <si>
    <t>Statybos leidimų ir statinių priežiūros skyrius</t>
  </si>
  <si>
    <t>Teisės    skyrius</t>
  </si>
  <si>
    <t>P3.4.2.2</t>
  </si>
  <si>
    <t>P3.4.1.1</t>
  </si>
  <si>
    <t>Įvykdytų rinkodaros ir reprezentacinių priemonių, skaičius</t>
  </si>
  <si>
    <t>Nupirkta spaudos ploto dienraščiuose, psl.</t>
  </si>
  <si>
    <r>
      <t xml:space="preserve">2015–2017 M. KLAIPĖDOS MIESTO SAVIVALDYBĖS </t>
    </r>
    <r>
      <rPr>
        <b/>
        <sz val="12"/>
        <rFont val="Times New Roman"/>
        <family val="1"/>
        <charset val="186"/>
      </rPr>
      <t xml:space="preserve">                       
VALDYMO PROGRAMOS (NR. 03)</t>
    </r>
  </si>
  <si>
    <t xml:space="preserve">Atnaujinta Turgaus g. 21 pastato siena, vnt. </t>
  </si>
  <si>
    <t>Savivaldybės administracijos veiklos užtikrinimas</t>
  </si>
  <si>
    <t>Teritorijų prie nenaudojamų savivaldybės pastatų tvarkymas</t>
  </si>
  <si>
    <t>Prižiūrimos teritorijos plotas, ha</t>
  </si>
  <si>
    <t>1,28</t>
  </si>
  <si>
    <t>Demontuota ir remontuota stoginių konstrukcijų Vingio g. ir Taikos pr., m2</t>
  </si>
  <si>
    <t>Savivaldybės administracijos veiklos užtikrinimas (darbo užmokestis, socialinio draudimo įmokos)</t>
  </si>
  <si>
    <t>Kompensacijų administravimas</t>
  </si>
  <si>
    <t>03.01010105</t>
  </si>
  <si>
    <t>03.01010123</t>
  </si>
  <si>
    <t>03.01010133</t>
  </si>
  <si>
    <t>03.01010136</t>
  </si>
  <si>
    <t>03.010401</t>
  </si>
  <si>
    <t>03.01010101</t>
  </si>
  <si>
    <t>03.010102</t>
  </si>
  <si>
    <t>03.010103</t>
  </si>
  <si>
    <t>03.00</t>
  </si>
  <si>
    <t>03.05</t>
  </si>
  <si>
    <t>03.010110</t>
  </si>
  <si>
    <t>03.0101013719</t>
  </si>
  <si>
    <t xml:space="preserve"> 03.020101</t>
  </si>
  <si>
    <t>03.010109</t>
  </si>
  <si>
    <t>03.020001</t>
  </si>
  <si>
    <t>03.030101</t>
  </si>
  <si>
    <t>03.030105</t>
  </si>
  <si>
    <t xml:space="preserve">03.03010201 </t>
  </si>
  <si>
    <t>03.0101013706</t>
  </si>
  <si>
    <t>03.020101</t>
  </si>
  <si>
    <t xml:space="preserve"> 03.010201</t>
  </si>
  <si>
    <t>03.010204</t>
  </si>
  <si>
    <t>03.010205</t>
  </si>
  <si>
    <t>03.010307</t>
  </si>
  <si>
    <t>03.010306</t>
  </si>
  <si>
    <t>03.010504</t>
  </si>
  <si>
    <t>03.010502</t>
  </si>
  <si>
    <t>03.010301</t>
  </si>
  <si>
    <t>03.04010101, 03.04010102</t>
  </si>
  <si>
    <t>03.01010131</t>
  </si>
  <si>
    <t>03.01010130</t>
  </si>
  <si>
    <t>03.01010104</t>
  </si>
  <si>
    <t>SB(Lap)</t>
  </si>
  <si>
    <r>
      <t xml:space="preserve">Programų lėšų likučių apyvartinės lėšos </t>
    </r>
    <r>
      <rPr>
        <b/>
        <sz val="10"/>
        <rFont val="Times New Roman"/>
        <family val="1"/>
        <charset val="186"/>
      </rPr>
      <t>SB(Lap)</t>
    </r>
  </si>
  <si>
    <t>SB(VRL)</t>
  </si>
  <si>
    <r>
      <t xml:space="preserve">Programų lėšų likučių apyvartinės lėšos </t>
    </r>
    <r>
      <rPr>
        <b/>
        <sz val="10"/>
        <rFont val="Times New Roman"/>
        <family val="1"/>
        <charset val="186"/>
      </rPr>
      <t>SB(L)</t>
    </r>
  </si>
  <si>
    <r>
      <t xml:space="preserve">Vietinės rinkliavos lėšų likutis </t>
    </r>
    <r>
      <rPr>
        <b/>
        <sz val="10"/>
        <rFont val="Times New Roman"/>
        <family val="1"/>
        <charset val="186"/>
      </rPr>
      <t>SB(VRL)</t>
    </r>
  </si>
  <si>
    <r>
      <t xml:space="preserve">Pajamų įmokų už patalpų nuomą likutis </t>
    </r>
    <r>
      <rPr>
        <b/>
        <sz val="10"/>
        <rFont val="Times New Roman"/>
        <family val="1"/>
        <charset val="186"/>
      </rPr>
      <t>SB(SPL)</t>
    </r>
  </si>
  <si>
    <t>VALDYMO PROGRAMOS (NR. 03)</t>
  </si>
  <si>
    <t>Įvykdytų rinkodaros ir reprezentacinių priemonių skaičius</t>
  </si>
  <si>
    <t>Skirtumas</t>
  </si>
  <si>
    <t>IED Statybos ir infrastruktūros plėtros skyrius</t>
  </si>
  <si>
    <t>MŪD Miesto tvarkymo skyrius</t>
  </si>
  <si>
    <t>Lyginamasis variantas</t>
  </si>
  <si>
    <r>
      <t>Kelių priežiūros ir plėtros programos lėšos</t>
    </r>
    <r>
      <rPr>
        <b/>
        <sz val="10"/>
        <rFont val="Times New Roman"/>
        <family val="1"/>
        <charset val="186"/>
      </rPr>
      <t xml:space="preserve"> SB(KPP)</t>
    </r>
  </si>
  <si>
    <t>SB(KPP)</t>
  </si>
  <si>
    <t>IED Statybos ir infrastruktūros plėtros sk.</t>
  </si>
  <si>
    <t>PATVIRTINTA
Klaipėdos miesto savivaldybės administracijos direktoriaus 2015 m. vasario 27 d. įsakymu Nr. AD1-533</t>
  </si>
  <si>
    <t>Klaipėdos miesto integruotų investicijų teritorijos vietos veiklos grupės strategijos parengimas</t>
  </si>
  <si>
    <t>Įsteigta asociacija, vnt.</t>
  </si>
  <si>
    <t>Įvygdyta gyventojų apklausa, vnt.</t>
  </si>
  <si>
    <t>03010308</t>
  </si>
  <si>
    <t>Pastato Liepų g. 11  patalpų einamasis remontas (parketo atnaujinimas, laminuotos grindų dangos atnaujinimas, tarybos posėdžių salės, kabinetų remontas)</t>
  </si>
  <si>
    <t xml:space="preserve">Projekto "Lietuvos Respublikos ir Norvegijos karalystės institucijų bendradarbiavimas perteikiant žinias ir gerąją patirtį administracinio – finansinio valdymo bei korupcijos mažinimo ir prevencijos srityje Lietuvos Respublikos valstybės ir savivaldybių institucijoms" įgyvendinimas </t>
  </si>
  <si>
    <t>03.01030501</t>
  </si>
  <si>
    <t>* pagal Klaipėdos miesto savivaldybės tarybos 2015-11-26 sprendimą Nr. T2-322</t>
  </si>
  <si>
    <t>Siūlomas keisti 2015-ųjų metų asignavimų planas*</t>
  </si>
  <si>
    <t xml:space="preserve">(Klaipėdos miesto savivaldybės administracijos direktoriaus 2015 m. gruodžio 3 d. įsakymo Nr. AD1-3560 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</si>
</sst>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t_-;\-* #,##0.00\ _L_t_-;_-* &quot;-&quot;??\ _L_t_-;_-@_-"/>
    <numFmt numFmtId="164" formatCode="0.0"/>
    <numFmt numFmtId="165" formatCode="#,##0.0"/>
  </numFmts>
  <fonts count="36">
    <font>
      <sz val="10"/>
      <name val="Arial"/>
      <charset val="186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Arial"/>
      <family val="2"/>
      <charset val="186"/>
    </font>
    <font>
      <b/>
      <sz val="8"/>
      <name val="Times New Roman"/>
      <family val="1"/>
    </font>
    <font>
      <b/>
      <sz val="10"/>
      <name val="Arial"/>
      <family val="2"/>
      <charset val="186"/>
    </font>
    <font>
      <sz val="12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name val="Arial"/>
      <family val="2"/>
      <charset val="186"/>
    </font>
    <font>
      <sz val="10"/>
      <color theme="3" tint="0.39997558519241921"/>
      <name val="Times New Roman"/>
      <family val="1"/>
      <charset val="186"/>
    </font>
    <font>
      <sz val="10"/>
      <name val="Calibri"/>
      <family val="2"/>
      <charset val="186"/>
    </font>
    <font>
      <sz val="7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z val="7"/>
      <name val="Arial"/>
      <family val="2"/>
      <charset val="186"/>
    </font>
    <font>
      <b/>
      <i/>
      <sz val="12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3" fillId="0" borderId="0"/>
    <xf numFmtId="0" fontId="15" fillId="0" borderId="0"/>
    <xf numFmtId="0" fontId="13" fillId="0" borderId="0"/>
    <xf numFmtId="43" fontId="1" fillId="0" borderId="0" applyFont="0" applyFill="0" applyBorder="0" applyAlignment="0" applyProtection="0"/>
    <xf numFmtId="0" fontId="22" fillId="0" borderId="0"/>
    <xf numFmtId="0" fontId="14" fillId="0" borderId="0"/>
  </cellStyleXfs>
  <cellXfs count="1507">
    <xf numFmtId="0" fontId="0" fillId="0" borderId="0" xfId="0"/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164" fontId="10" fillId="0" borderId="0" xfId="0" applyNumberFormat="1" applyFont="1" applyAlignment="1">
      <alignment vertical="top"/>
    </xf>
    <xf numFmtId="164" fontId="10" fillId="0" borderId="0" xfId="0" applyNumberFormat="1" applyFont="1" applyBorder="1" applyAlignment="1">
      <alignment vertical="top"/>
    </xf>
    <xf numFmtId="49" fontId="11" fillId="0" borderId="0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49" fontId="11" fillId="2" borderId="42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Alignment="1">
      <alignment vertical="top"/>
    </xf>
    <xf numFmtId="164" fontId="9" fillId="0" borderId="0" xfId="0" applyNumberFormat="1" applyFont="1" applyBorder="1" applyAlignment="1">
      <alignment vertical="top"/>
    </xf>
    <xf numFmtId="0" fontId="9" fillId="0" borderId="12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56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2" borderId="57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164" fontId="11" fillId="3" borderId="0" xfId="0" applyNumberFormat="1" applyFont="1" applyFill="1" applyBorder="1" applyAlignment="1">
      <alignment horizontal="center" vertical="top"/>
    </xf>
    <xf numFmtId="0" fontId="9" fillId="0" borderId="25" xfId="0" applyFont="1" applyBorder="1" applyAlignment="1">
      <alignment vertical="top"/>
    </xf>
    <xf numFmtId="0" fontId="9" fillId="0" borderId="30" xfId="0" applyFont="1" applyBorder="1" applyAlignment="1">
      <alignment vertical="top"/>
    </xf>
    <xf numFmtId="0" fontId="9" fillId="0" borderId="25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164" fontId="9" fillId="3" borderId="0" xfId="0" applyNumberFormat="1" applyFont="1" applyFill="1" applyBorder="1" applyAlignment="1">
      <alignment vertical="top"/>
    </xf>
    <xf numFmtId="0" fontId="11" fillId="3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9" fillId="0" borderId="26" xfId="0" applyNumberFormat="1" applyFont="1" applyBorder="1" applyAlignment="1">
      <alignment horizontal="center" vertical="top"/>
    </xf>
    <xf numFmtId="0" fontId="9" fillId="0" borderId="27" xfId="0" applyNumberFormat="1" applyFont="1" applyBorder="1" applyAlignment="1">
      <alignment horizontal="center" vertical="top"/>
    </xf>
    <xf numFmtId="0" fontId="9" fillId="0" borderId="61" xfId="0" applyNumberFormat="1" applyFont="1" applyBorder="1" applyAlignment="1">
      <alignment horizontal="center" vertical="top"/>
    </xf>
    <xf numFmtId="0" fontId="9" fillId="0" borderId="29" xfId="0" applyNumberFormat="1" applyFont="1" applyBorder="1" applyAlignment="1">
      <alignment horizontal="center" vertical="top"/>
    </xf>
    <xf numFmtId="0" fontId="9" fillId="0" borderId="36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9" fillId="3" borderId="0" xfId="0" applyNumberFormat="1" applyFont="1" applyFill="1" applyBorder="1" applyAlignment="1">
      <alignment horizontal="center" vertical="top"/>
    </xf>
    <xf numFmtId="49" fontId="11" fillId="2" borderId="40" xfId="0" applyNumberFormat="1" applyFont="1" applyFill="1" applyBorder="1" applyAlignment="1">
      <alignment vertical="top"/>
    </xf>
    <xf numFmtId="49" fontId="11" fillId="2" borderId="44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23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4" borderId="6" xfId="0" applyFont="1" applyFill="1" applyBorder="1" applyAlignment="1">
      <alignment horizontal="center" vertical="top"/>
    </xf>
    <xf numFmtId="0" fontId="7" fillId="0" borderId="44" xfId="0" applyFont="1" applyFill="1" applyBorder="1" applyAlignment="1">
      <alignment vertical="top" wrapText="1"/>
    </xf>
    <xf numFmtId="49" fontId="9" fillId="0" borderId="44" xfId="0" applyNumberFormat="1" applyFont="1" applyBorder="1" applyAlignment="1">
      <alignment vertical="top"/>
    </xf>
    <xf numFmtId="0" fontId="9" fillId="4" borderId="16" xfId="0" applyNumberFormat="1" applyFont="1" applyFill="1" applyBorder="1" applyAlignment="1">
      <alignment horizontal="center" vertical="top"/>
    </xf>
    <xf numFmtId="0" fontId="9" fillId="4" borderId="54" xfId="0" applyNumberFormat="1" applyFont="1" applyFill="1" applyBorder="1" applyAlignment="1">
      <alignment horizontal="center" vertical="top"/>
    </xf>
    <xf numFmtId="49" fontId="11" fillId="7" borderId="24" xfId="0" applyNumberFormat="1" applyFont="1" applyFill="1" applyBorder="1" applyAlignment="1">
      <alignment horizontal="center" vertical="top"/>
    </xf>
    <xf numFmtId="0" fontId="18" fillId="0" borderId="0" xfId="0" applyFont="1"/>
    <xf numFmtId="0" fontId="18" fillId="0" borderId="38" xfId="0" applyFont="1" applyBorder="1" applyAlignment="1">
      <alignment horizontal="center" vertical="top" wrapText="1"/>
    </xf>
    <xf numFmtId="0" fontId="18" fillId="0" borderId="38" xfId="0" applyFont="1" applyBorder="1" applyAlignment="1">
      <alignment vertical="top" wrapText="1"/>
    </xf>
    <xf numFmtId="0" fontId="9" fillId="0" borderId="35" xfId="0" applyNumberFormat="1" applyFont="1" applyBorder="1" applyAlignment="1">
      <alignment horizontal="center" vertical="top"/>
    </xf>
    <xf numFmtId="0" fontId="9" fillId="0" borderId="34" xfId="0" applyNumberFormat="1" applyFont="1" applyBorder="1" applyAlignment="1">
      <alignment horizontal="center" vertical="top"/>
    </xf>
    <xf numFmtId="0" fontId="9" fillId="3" borderId="0" xfId="0" applyFont="1" applyFill="1" applyAlignment="1">
      <alignment vertical="top"/>
    </xf>
    <xf numFmtId="0" fontId="9" fillId="4" borderId="1" xfId="0" applyFont="1" applyFill="1" applyBorder="1" applyAlignment="1">
      <alignment horizontal="center" vertical="top"/>
    </xf>
    <xf numFmtId="0" fontId="9" fillId="0" borderId="46" xfId="0" applyFont="1" applyBorder="1" applyAlignment="1">
      <alignment vertical="top" wrapText="1"/>
    </xf>
    <xf numFmtId="0" fontId="9" fillId="0" borderId="50" xfId="0" applyNumberFormat="1" applyFont="1" applyBorder="1" applyAlignment="1">
      <alignment horizontal="center" vertical="top"/>
    </xf>
    <xf numFmtId="0" fontId="9" fillId="0" borderId="49" xfId="0" applyNumberFormat="1" applyFont="1" applyBorder="1" applyAlignment="1">
      <alignment horizontal="center" vertical="top"/>
    </xf>
    <xf numFmtId="0" fontId="9" fillId="0" borderId="59" xfId="0" applyFont="1" applyBorder="1" applyAlignment="1">
      <alignment vertical="top" wrapText="1"/>
    </xf>
    <xf numFmtId="0" fontId="9" fillId="0" borderId="51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9" fillId="4" borderId="19" xfId="0" applyNumberFormat="1" applyFont="1" applyFill="1" applyBorder="1" applyAlignment="1">
      <alignment horizontal="center" vertical="top"/>
    </xf>
    <xf numFmtId="0" fontId="9" fillId="4" borderId="44" xfId="0" applyNumberFormat="1" applyFont="1" applyFill="1" applyBorder="1" applyAlignment="1">
      <alignment horizontal="center" vertical="top"/>
    </xf>
    <xf numFmtId="0" fontId="9" fillId="4" borderId="39" xfId="0" applyFont="1" applyFill="1" applyBorder="1" applyAlignment="1">
      <alignment horizontal="left" vertical="top" wrapText="1"/>
    </xf>
    <xf numFmtId="0" fontId="9" fillId="4" borderId="38" xfId="0" applyNumberFormat="1" applyFont="1" applyFill="1" applyBorder="1" applyAlignment="1">
      <alignment horizontal="center" vertical="top"/>
    </xf>
    <xf numFmtId="0" fontId="9" fillId="0" borderId="34" xfId="0" applyFont="1" applyBorder="1" applyAlignment="1">
      <alignment horizontal="center" vertical="top" wrapText="1"/>
    </xf>
    <xf numFmtId="49" fontId="11" fillId="0" borderId="44" xfId="0" applyNumberFormat="1" applyFont="1" applyFill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 wrapText="1"/>
    </xf>
    <xf numFmtId="0" fontId="9" fillId="4" borderId="26" xfId="0" applyNumberFormat="1" applyFont="1" applyFill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0" fontId="9" fillId="5" borderId="44" xfId="0" applyFont="1" applyFill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49" fontId="11" fillId="2" borderId="17" xfId="0" applyNumberFormat="1" applyFont="1" applyFill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9" fillId="4" borderId="27" xfId="0" applyNumberFormat="1" applyFont="1" applyFill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center" vertical="top" wrapText="1"/>
    </xf>
    <xf numFmtId="49" fontId="11" fillId="4" borderId="44" xfId="0" applyNumberFormat="1" applyFont="1" applyFill="1" applyBorder="1" applyAlignment="1">
      <alignment horizontal="center" vertical="top" wrapText="1"/>
    </xf>
    <xf numFmtId="49" fontId="11" fillId="4" borderId="31" xfId="0" applyNumberFormat="1" applyFont="1" applyFill="1" applyBorder="1" applyAlignment="1">
      <alignment horizontal="center" vertical="top" wrapText="1"/>
    </xf>
    <xf numFmtId="0" fontId="9" fillId="4" borderId="66" xfId="0" applyFont="1" applyFill="1" applyBorder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0" fontId="9" fillId="4" borderId="61" xfId="0" applyNumberFormat="1" applyFont="1" applyFill="1" applyBorder="1" applyAlignment="1">
      <alignment horizontal="center" vertical="top"/>
    </xf>
    <xf numFmtId="0" fontId="9" fillId="0" borderId="54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0" fontId="9" fillId="0" borderId="44" xfId="0" applyNumberFormat="1" applyFont="1" applyBorder="1" applyAlignment="1">
      <alignment horizontal="center" vertical="top"/>
    </xf>
    <xf numFmtId="0" fontId="9" fillId="0" borderId="53" xfId="0" applyNumberFormat="1" applyFont="1" applyBorder="1" applyAlignment="1">
      <alignment horizontal="center" vertical="top"/>
    </xf>
    <xf numFmtId="49" fontId="11" fillId="2" borderId="65" xfId="0" applyNumberFormat="1" applyFont="1" applyFill="1" applyBorder="1" applyAlignment="1">
      <alignment horizontal="center" vertical="top"/>
    </xf>
    <xf numFmtId="49" fontId="11" fillId="2" borderId="76" xfId="0" applyNumberFormat="1" applyFont="1" applyFill="1" applyBorder="1" applyAlignment="1">
      <alignment horizontal="center" vertical="top"/>
    </xf>
    <xf numFmtId="164" fontId="25" fillId="4" borderId="0" xfId="0" applyNumberFormat="1" applyFont="1" applyFill="1" applyAlignment="1">
      <alignment vertical="top"/>
    </xf>
    <xf numFmtId="49" fontId="11" fillId="2" borderId="65" xfId="0" applyNumberFormat="1" applyFont="1" applyFill="1" applyBorder="1" applyAlignment="1">
      <alignment vertical="top"/>
    </xf>
    <xf numFmtId="49" fontId="11" fillId="2" borderId="75" xfId="0" applyNumberFormat="1" applyFont="1" applyFill="1" applyBorder="1" applyAlignment="1">
      <alignment vertical="top"/>
    </xf>
    <xf numFmtId="49" fontId="11" fillId="4" borderId="0" xfId="0" applyNumberFormat="1" applyFont="1" applyFill="1" applyBorder="1" applyAlignment="1">
      <alignment vertical="top"/>
    </xf>
    <xf numFmtId="49" fontId="11" fillId="4" borderId="22" xfId="0" applyNumberFormat="1" applyFont="1" applyFill="1" applyBorder="1" applyAlignment="1">
      <alignment vertical="top"/>
    </xf>
    <xf numFmtId="0" fontId="9" fillId="4" borderId="38" xfId="0" applyFont="1" applyFill="1" applyBorder="1" applyAlignment="1">
      <alignment horizontal="center" vertical="top"/>
    </xf>
    <xf numFmtId="49" fontId="11" fillId="2" borderId="50" xfId="0" applyNumberFormat="1" applyFont="1" applyFill="1" applyBorder="1" applyAlignment="1">
      <alignment horizontal="left" vertical="top"/>
    </xf>
    <xf numFmtId="0" fontId="11" fillId="8" borderId="5" xfId="0" applyFont="1" applyFill="1" applyBorder="1" applyAlignment="1">
      <alignment horizontal="right" vertical="top" wrapText="1"/>
    </xf>
    <xf numFmtId="0" fontId="11" fillId="8" borderId="10" xfId="0" applyFont="1" applyFill="1" applyBorder="1" applyAlignment="1">
      <alignment horizontal="right" vertical="top" wrapText="1"/>
    </xf>
    <xf numFmtId="0" fontId="11" fillId="8" borderId="4" xfId="0" applyFont="1" applyFill="1" applyBorder="1" applyAlignment="1">
      <alignment horizontal="right" vertical="top" wrapText="1"/>
    </xf>
    <xf numFmtId="0" fontId="11" fillId="8" borderId="56" xfId="0" applyFont="1" applyFill="1" applyBorder="1" applyAlignment="1">
      <alignment horizontal="center" vertical="top" wrapText="1"/>
    </xf>
    <xf numFmtId="0" fontId="16" fillId="8" borderId="5" xfId="0" applyFont="1" applyFill="1" applyBorder="1" applyAlignment="1">
      <alignment horizontal="center" vertical="top"/>
    </xf>
    <xf numFmtId="0" fontId="9" fillId="5" borderId="30" xfId="0" applyFont="1" applyFill="1" applyBorder="1" applyAlignment="1">
      <alignment vertical="top"/>
    </xf>
    <xf numFmtId="0" fontId="9" fillId="5" borderId="29" xfId="0" applyNumberFormat="1" applyFont="1" applyFill="1" applyBorder="1" applyAlignment="1">
      <alignment horizontal="center" vertical="top"/>
    </xf>
    <xf numFmtId="0" fontId="9" fillId="5" borderId="36" xfId="0" applyNumberFormat="1" applyFont="1" applyFill="1" applyBorder="1" applyAlignment="1">
      <alignment horizontal="center" vertical="top"/>
    </xf>
    <xf numFmtId="0" fontId="9" fillId="0" borderId="20" xfId="0" applyFont="1" applyBorder="1" applyAlignment="1">
      <alignment vertical="top"/>
    </xf>
    <xf numFmtId="0" fontId="10" fillId="0" borderId="31" xfId="0" applyNumberFormat="1" applyFont="1" applyBorder="1" applyAlignment="1">
      <alignment horizontal="center" vertical="top"/>
    </xf>
    <xf numFmtId="0" fontId="10" fillId="0" borderId="32" xfId="0" applyNumberFormat="1" applyFont="1" applyBorder="1" applyAlignment="1">
      <alignment horizontal="center" vertical="top"/>
    </xf>
    <xf numFmtId="0" fontId="9" fillId="5" borderId="13" xfId="0" applyFont="1" applyFill="1" applyBorder="1" applyAlignment="1">
      <alignment vertical="top"/>
    </xf>
    <xf numFmtId="0" fontId="9" fillId="5" borderId="70" xfId="0" applyNumberFormat="1" applyFont="1" applyFill="1" applyBorder="1" applyAlignment="1">
      <alignment horizontal="center" vertical="top"/>
    </xf>
    <xf numFmtId="0" fontId="9" fillId="4" borderId="53" xfId="0" applyNumberFormat="1" applyFont="1" applyFill="1" applyBorder="1" applyAlignment="1">
      <alignment horizontal="center" vertical="top"/>
    </xf>
    <xf numFmtId="0" fontId="6" fillId="0" borderId="58" xfId="0" applyFont="1" applyFill="1" applyBorder="1" applyAlignment="1">
      <alignment horizontal="center" vertical="center" textRotation="90"/>
    </xf>
    <xf numFmtId="49" fontId="11" fillId="0" borderId="50" xfId="0" applyNumberFormat="1" applyFont="1" applyFill="1" applyBorder="1" applyAlignment="1">
      <alignment horizontal="center" vertical="top"/>
    </xf>
    <xf numFmtId="0" fontId="11" fillId="8" borderId="5" xfId="0" applyFont="1" applyFill="1" applyBorder="1" applyAlignment="1">
      <alignment horizontal="center" vertical="top"/>
    </xf>
    <xf numFmtId="0" fontId="9" fillId="4" borderId="8" xfId="0" applyFont="1" applyFill="1" applyBorder="1" applyAlignment="1">
      <alignment horizontal="center" vertical="top"/>
    </xf>
    <xf numFmtId="0" fontId="9" fillId="0" borderId="66" xfId="0" applyFont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top"/>
    </xf>
    <xf numFmtId="0" fontId="9" fillId="0" borderId="76" xfId="0" applyFont="1" applyBorder="1" applyAlignment="1">
      <alignment vertical="top" wrapText="1"/>
    </xf>
    <xf numFmtId="0" fontId="9" fillId="0" borderId="40" xfId="0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/>
    </xf>
    <xf numFmtId="0" fontId="9" fillId="4" borderId="58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vertical="top" wrapText="1"/>
    </xf>
    <xf numFmtId="0" fontId="11" fillId="0" borderId="53" xfId="4" applyNumberFormat="1" applyFont="1" applyBorder="1" applyAlignment="1">
      <alignment horizontal="center" vertical="top"/>
    </xf>
    <xf numFmtId="0" fontId="11" fillId="0" borderId="35" xfId="4" applyNumberFormat="1" applyFont="1" applyBorder="1" applyAlignment="1">
      <alignment horizontal="center" vertical="top"/>
    </xf>
    <xf numFmtId="0" fontId="9" fillId="4" borderId="34" xfId="0" applyFont="1" applyFill="1" applyBorder="1" applyAlignment="1">
      <alignment horizontal="center" vertical="top"/>
    </xf>
    <xf numFmtId="0" fontId="9" fillId="4" borderId="35" xfId="0" applyNumberFormat="1" applyFont="1" applyFill="1" applyBorder="1" applyAlignment="1">
      <alignment horizontal="center" vertical="top"/>
    </xf>
    <xf numFmtId="0" fontId="5" fillId="4" borderId="40" xfId="0" applyFont="1" applyFill="1" applyBorder="1" applyAlignment="1">
      <alignment horizontal="center" vertical="top" wrapText="1"/>
    </xf>
    <xf numFmtId="0" fontId="12" fillId="4" borderId="40" xfId="0" applyFont="1" applyFill="1" applyBorder="1" applyAlignment="1">
      <alignment horizontal="center" vertical="top" wrapText="1"/>
    </xf>
    <xf numFmtId="0" fontId="12" fillId="4" borderId="41" xfId="0" applyFont="1" applyFill="1" applyBorder="1" applyAlignment="1">
      <alignment horizontal="center" vertical="top" wrapText="1"/>
    </xf>
    <xf numFmtId="0" fontId="7" fillId="0" borderId="61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vertical="top" wrapText="1"/>
    </xf>
    <xf numFmtId="0" fontId="9" fillId="0" borderId="44" xfId="0" applyFont="1" applyFill="1" applyBorder="1" applyAlignment="1">
      <alignment vertical="top" wrapText="1"/>
    </xf>
    <xf numFmtId="0" fontId="9" fillId="4" borderId="64" xfId="0" applyFont="1" applyFill="1" applyBorder="1" applyAlignment="1">
      <alignment vertical="top" wrapText="1"/>
    </xf>
    <xf numFmtId="0" fontId="9" fillId="5" borderId="23" xfId="0" applyNumberFormat="1" applyFont="1" applyFill="1" applyBorder="1" applyAlignment="1">
      <alignment horizontal="center" vertical="top"/>
    </xf>
    <xf numFmtId="0" fontId="9" fillId="0" borderId="3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top"/>
    </xf>
    <xf numFmtId="49" fontId="11" fillId="4" borderId="52" xfId="0" applyNumberFormat="1" applyFont="1" applyFill="1" applyBorder="1" applyAlignment="1">
      <alignment horizontal="center" vertical="top"/>
    </xf>
    <xf numFmtId="0" fontId="11" fillId="0" borderId="44" xfId="4" applyNumberFormat="1" applyFont="1" applyBorder="1" applyAlignment="1">
      <alignment horizontal="center" vertical="top"/>
    </xf>
    <xf numFmtId="49" fontId="11" fillId="9" borderId="8" xfId="0" applyNumberFormat="1" applyFont="1" applyFill="1" applyBorder="1" applyAlignment="1">
      <alignment horizontal="left" vertical="top" wrapText="1"/>
    </xf>
    <xf numFmtId="49" fontId="11" fillId="9" borderId="39" xfId="0" applyNumberFormat="1" applyFont="1" applyFill="1" applyBorder="1" applyAlignment="1">
      <alignment horizontal="left" vertical="top"/>
    </xf>
    <xf numFmtId="49" fontId="11" fillId="9" borderId="28" xfId="0" applyNumberFormat="1" applyFont="1" applyFill="1" applyBorder="1" applyAlignment="1">
      <alignment vertical="top"/>
    </xf>
    <xf numFmtId="0" fontId="9" fillId="9" borderId="7" xfId="0" applyFont="1" applyFill="1" applyBorder="1" applyAlignment="1">
      <alignment vertical="top"/>
    </xf>
    <xf numFmtId="49" fontId="11" fillId="9" borderId="7" xfId="0" applyNumberFormat="1" applyFont="1" applyFill="1" applyBorder="1" applyAlignment="1">
      <alignment horizontal="center" vertical="top"/>
    </xf>
    <xf numFmtId="49" fontId="11" fillId="9" borderId="13" xfId="0" applyNumberFormat="1" applyFont="1" applyFill="1" applyBorder="1" applyAlignment="1">
      <alignment horizontal="center" vertical="top"/>
    </xf>
    <xf numFmtId="49" fontId="11" fillId="9" borderId="20" xfId="0" applyNumberFormat="1" applyFont="1" applyFill="1" applyBorder="1" applyAlignment="1">
      <alignment vertical="top"/>
    </xf>
    <xf numFmtId="49" fontId="11" fillId="9" borderId="21" xfId="0" applyNumberFormat="1" applyFont="1" applyFill="1" applyBorder="1" applyAlignment="1">
      <alignment vertical="top"/>
    </xf>
    <xf numFmtId="49" fontId="11" fillId="9" borderId="24" xfId="0" applyNumberFormat="1" applyFont="1" applyFill="1" applyBorder="1" applyAlignment="1">
      <alignment horizontal="center" vertical="top"/>
    </xf>
    <xf numFmtId="0" fontId="9" fillId="0" borderId="72" xfId="0" applyFont="1" applyBorder="1" applyAlignment="1">
      <alignment vertical="top" wrapText="1"/>
    </xf>
    <xf numFmtId="0" fontId="9" fillId="4" borderId="51" xfId="0" applyNumberFormat="1" applyFont="1" applyFill="1" applyBorder="1" applyAlignment="1">
      <alignment horizontal="center" vertical="top"/>
    </xf>
    <xf numFmtId="0" fontId="9" fillId="4" borderId="46" xfId="0" applyFont="1" applyFill="1" applyBorder="1" applyAlignment="1">
      <alignment vertical="top" wrapText="1"/>
    </xf>
    <xf numFmtId="49" fontId="11" fillId="10" borderId="44" xfId="0" applyNumberFormat="1" applyFont="1" applyFill="1" applyBorder="1" applyAlignment="1">
      <alignment vertical="top"/>
    </xf>
    <xf numFmtId="0" fontId="9" fillId="10" borderId="0" xfId="0" applyFont="1" applyFill="1" applyBorder="1" applyAlignment="1">
      <alignment vertical="top"/>
    </xf>
    <xf numFmtId="49" fontId="11" fillId="10" borderId="18" xfId="0" applyNumberFormat="1" applyFont="1" applyFill="1" applyBorder="1" applyAlignment="1">
      <alignment vertical="top"/>
    </xf>
    <xf numFmtId="49" fontId="11" fillId="10" borderId="23" xfId="0" applyNumberFormat="1" applyFont="1" applyFill="1" applyBorder="1" applyAlignment="1">
      <alignment vertical="top"/>
    </xf>
    <xf numFmtId="0" fontId="9" fillId="10" borderId="32" xfId="0" applyNumberFormat="1" applyFont="1" applyFill="1" applyBorder="1" applyAlignment="1">
      <alignment horizontal="center" vertical="top"/>
    </xf>
    <xf numFmtId="49" fontId="9" fillId="4" borderId="53" xfId="0" applyNumberFormat="1" applyFont="1" applyFill="1" applyBorder="1" applyAlignment="1">
      <alignment horizontal="center" vertical="top" wrapText="1"/>
    </xf>
    <xf numFmtId="49" fontId="11" fillId="10" borderId="65" xfId="0" applyNumberFormat="1" applyFont="1" applyFill="1" applyBorder="1" applyAlignment="1">
      <alignment horizontal="center" vertical="top"/>
    </xf>
    <xf numFmtId="49" fontId="11" fillId="10" borderId="40" xfId="0" applyNumberFormat="1" applyFont="1" applyFill="1" applyBorder="1" applyAlignment="1">
      <alignment vertical="top"/>
    </xf>
    <xf numFmtId="49" fontId="11" fillId="10" borderId="65" xfId="0" applyNumberFormat="1" applyFont="1" applyFill="1" applyBorder="1" applyAlignment="1">
      <alignment vertical="top"/>
    </xf>
    <xf numFmtId="49" fontId="11" fillId="4" borderId="46" xfId="0" applyNumberFormat="1" applyFont="1" applyFill="1" applyBorder="1" applyAlignment="1">
      <alignment vertical="top"/>
    </xf>
    <xf numFmtId="49" fontId="11" fillId="4" borderId="59" xfId="0" applyNumberFormat="1" applyFont="1" applyFill="1" applyBorder="1" applyAlignment="1">
      <alignment horizontal="center" vertical="top"/>
    </xf>
    <xf numFmtId="0" fontId="3" fillId="10" borderId="13" xfId="0" applyFont="1" applyFill="1" applyBorder="1" applyAlignment="1">
      <alignment horizontal="left" vertical="top" wrapText="1"/>
    </xf>
    <xf numFmtId="0" fontId="12" fillId="10" borderId="70" xfId="0" applyNumberFormat="1" applyFont="1" applyFill="1" applyBorder="1" applyAlignment="1">
      <alignment horizontal="center" vertical="top"/>
    </xf>
    <xf numFmtId="0" fontId="9" fillId="0" borderId="21" xfId="0" applyFont="1" applyBorder="1" applyAlignment="1">
      <alignment vertical="top"/>
    </xf>
    <xf numFmtId="0" fontId="11" fillId="4" borderId="26" xfId="0" applyFont="1" applyFill="1" applyBorder="1" applyAlignment="1">
      <alignment vertical="top" wrapText="1"/>
    </xf>
    <xf numFmtId="49" fontId="11" fillId="0" borderId="40" xfId="0" applyNumberFormat="1" applyFont="1" applyFill="1" applyBorder="1" applyAlignment="1">
      <alignment horizontal="center" vertical="top"/>
    </xf>
    <xf numFmtId="0" fontId="4" fillId="8" borderId="5" xfId="0" applyFont="1" applyFill="1" applyBorder="1" applyAlignment="1">
      <alignment horizontal="center" vertical="top"/>
    </xf>
    <xf numFmtId="0" fontId="4" fillId="8" borderId="5" xfId="0" applyFont="1" applyFill="1" applyBorder="1" applyAlignment="1">
      <alignment horizontal="right" vertical="top" wrapText="1"/>
    </xf>
    <xf numFmtId="0" fontId="7" fillId="0" borderId="38" xfId="0" applyFont="1" applyFill="1" applyBorder="1" applyAlignment="1">
      <alignment horizontal="center" vertical="center" textRotation="90" wrapText="1"/>
    </xf>
    <xf numFmtId="49" fontId="11" fillId="0" borderId="50" xfId="0" applyNumberFormat="1" applyFont="1" applyBorder="1" applyAlignment="1">
      <alignment horizontal="center" vertical="top"/>
    </xf>
    <xf numFmtId="0" fontId="9" fillId="4" borderId="28" xfId="0" applyFont="1" applyFill="1" applyBorder="1" applyAlignment="1">
      <alignment horizontal="left" vertical="top" wrapText="1"/>
    </xf>
    <xf numFmtId="49" fontId="9" fillId="4" borderId="61" xfId="0" applyNumberFormat="1" applyFont="1" applyFill="1" applyBorder="1" applyAlignment="1">
      <alignment horizontal="center" vertical="top" wrapText="1"/>
    </xf>
    <xf numFmtId="0" fontId="9" fillId="0" borderId="78" xfId="0" applyFont="1" applyBorder="1" applyAlignment="1">
      <alignment horizontal="center" vertical="top"/>
    </xf>
    <xf numFmtId="49" fontId="9" fillId="4" borderId="85" xfId="0" applyNumberFormat="1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/>
    </xf>
    <xf numFmtId="0" fontId="9" fillId="0" borderId="72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center" vertical="center"/>
    </xf>
    <xf numFmtId="0" fontId="9" fillId="0" borderId="87" xfId="0" applyFont="1" applyBorder="1" applyAlignment="1">
      <alignment horizontal="center" vertical="top"/>
    </xf>
    <xf numFmtId="0" fontId="9" fillId="0" borderId="90" xfId="0" applyFont="1" applyFill="1" applyBorder="1" applyAlignment="1">
      <alignment horizontal="left" vertical="top" wrapText="1"/>
    </xf>
    <xf numFmtId="0" fontId="9" fillId="0" borderId="85" xfId="0" applyFont="1" applyFill="1" applyBorder="1" applyAlignment="1">
      <alignment horizontal="center" vertical="top"/>
    </xf>
    <xf numFmtId="0" fontId="9" fillId="0" borderId="89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 textRotation="90" wrapText="1"/>
    </xf>
    <xf numFmtId="0" fontId="9" fillId="4" borderId="59" xfId="0" applyFont="1" applyFill="1" applyBorder="1" applyAlignment="1">
      <alignment vertical="top" wrapText="1"/>
    </xf>
    <xf numFmtId="0" fontId="9" fillId="0" borderId="83" xfId="0" applyFont="1" applyBorder="1" applyAlignment="1">
      <alignment vertical="top"/>
    </xf>
    <xf numFmtId="0" fontId="9" fillId="0" borderId="80" xfId="0" applyNumberFormat="1" applyFont="1" applyBorder="1" applyAlignment="1">
      <alignment horizontal="center" vertical="top"/>
    </xf>
    <xf numFmtId="0" fontId="9" fillId="0" borderId="82" xfId="0" applyNumberFormat="1" applyFont="1" applyBorder="1" applyAlignment="1">
      <alignment horizontal="center" vertical="top"/>
    </xf>
    <xf numFmtId="164" fontId="9" fillId="4" borderId="15" xfId="0" applyNumberFormat="1" applyFont="1" applyFill="1" applyBorder="1" applyAlignment="1">
      <alignment vertical="top"/>
    </xf>
    <xf numFmtId="0" fontId="9" fillId="4" borderId="85" xfId="0" applyFont="1" applyFill="1" applyBorder="1" applyAlignment="1">
      <alignment horizontal="center" vertical="top"/>
    </xf>
    <xf numFmtId="0" fontId="9" fillId="4" borderId="89" xfId="0" applyFont="1" applyFill="1" applyBorder="1" applyAlignment="1">
      <alignment horizontal="center" vertical="top"/>
    </xf>
    <xf numFmtId="0" fontId="9" fillId="4" borderId="88" xfId="0" applyFont="1" applyFill="1" applyBorder="1" applyAlignment="1">
      <alignment horizontal="left" vertical="top" wrapText="1"/>
    </xf>
    <xf numFmtId="0" fontId="9" fillId="4" borderId="25" xfId="0" applyFont="1" applyFill="1" applyBorder="1" applyAlignment="1">
      <alignment horizontal="left" vertical="top" wrapText="1"/>
    </xf>
    <xf numFmtId="0" fontId="9" fillId="4" borderId="26" xfId="0" applyFont="1" applyFill="1" applyBorder="1" applyAlignment="1">
      <alignment horizontal="center" vertical="top"/>
    </xf>
    <xf numFmtId="0" fontId="9" fillId="4" borderId="85" xfId="0" applyFont="1" applyFill="1" applyBorder="1" applyAlignment="1">
      <alignment vertical="top" wrapText="1"/>
    </xf>
    <xf numFmtId="0" fontId="5" fillId="4" borderId="34" xfId="0" applyFont="1" applyFill="1" applyBorder="1" applyAlignment="1">
      <alignment horizontal="center" vertical="top" wrapText="1"/>
    </xf>
    <xf numFmtId="0" fontId="12" fillId="4" borderId="34" xfId="0" applyFont="1" applyFill="1" applyBorder="1" applyAlignment="1">
      <alignment horizontal="center" vertical="top" wrapText="1"/>
    </xf>
    <xf numFmtId="0" fontId="12" fillId="4" borderId="35" xfId="0" applyFont="1" applyFill="1" applyBorder="1" applyAlignment="1">
      <alignment horizontal="center" vertical="top" wrapText="1"/>
    </xf>
    <xf numFmtId="0" fontId="5" fillId="4" borderId="31" xfId="0" applyFont="1" applyFill="1" applyBorder="1" applyAlignment="1">
      <alignment horizontal="center" vertical="top" wrapText="1"/>
    </xf>
    <xf numFmtId="0" fontId="12" fillId="4" borderId="31" xfId="0" applyFont="1" applyFill="1" applyBorder="1" applyAlignment="1">
      <alignment horizontal="center" vertical="top" wrapText="1"/>
    </xf>
    <xf numFmtId="0" fontId="12" fillId="4" borderId="32" xfId="0" applyFont="1" applyFill="1" applyBorder="1" applyAlignment="1">
      <alignment horizontal="center" vertical="top" wrapText="1"/>
    </xf>
    <xf numFmtId="0" fontId="9" fillId="4" borderId="99" xfId="0" applyNumberFormat="1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4" borderId="52" xfId="0" applyFont="1" applyFill="1" applyBorder="1" applyAlignment="1">
      <alignment horizontal="center" vertical="top"/>
    </xf>
    <xf numFmtId="0" fontId="9" fillId="4" borderId="85" xfId="0" applyNumberFormat="1" applyFont="1" applyFill="1" applyBorder="1" applyAlignment="1">
      <alignment horizontal="center" vertical="top"/>
    </xf>
    <xf numFmtId="0" fontId="9" fillId="4" borderId="89" xfId="0" applyNumberFormat="1" applyFont="1" applyFill="1" applyBorder="1" applyAlignment="1">
      <alignment horizontal="center" vertical="top"/>
    </xf>
    <xf numFmtId="49" fontId="9" fillId="4" borderId="34" xfId="0" applyNumberFormat="1" applyFont="1" applyFill="1" applyBorder="1" applyAlignment="1">
      <alignment horizontal="center" vertical="top"/>
    </xf>
    <xf numFmtId="49" fontId="9" fillId="4" borderId="44" xfId="0" applyNumberFormat="1" applyFont="1" applyFill="1" applyBorder="1" applyAlignment="1">
      <alignment horizontal="center" vertical="top"/>
    </xf>
    <xf numFmtId="0" fontId="9" fillId="0" borderId="85" xfId="0" applyNumberFormat="1" applyFont="1" applyBorder="1" applyAlignment="1">
      <alignment horizontal="center" vertical="top"/>
    </xf>
    <xf numFmtId="0" fontId="9" fillId="0" borderId="89" xfId="0" applyNumberFormat="1" applyFont="1" applyBorder="1" applyAlignment="1">
      <alignment horizontal="center" vertical="top"/>
    </xf>
    <xf numFmtId="49" fontId="9" fillId="4" borderId="61" xfId="0" applyNumberFormat="1" applyFont="1" applyFill="1" applyBorder="1" applyAlignment="1">
      <alignment horizontal="center" vertical="top"/>
    </xf>
    <xf numFmtId="0" fontId="9" fillId="4" borderId="34" xfId="0" applyFont="1" applyFill="1" applyBorder="1" applyAlignment="1">
      <alignment vertical="top" wrapText="1"/>
    </xf>
    <xf numFmtId="0" fontId="9" fillId="4" borderId="33" xfId="0" applyFont="1" applyFill="1" applyBorder="1" applyAlignment="1">
      <alignment horizontal="left" vertical="top" wrapText="1"/>
    </xf>
    <xf numFmtId="0" fontId="9" fillId="4" borderId="34" xfId="0" applyNumberFormat="1" applyFont="1" applyFill="1" applyBorder="1" applyAlignment="1">
      <alignment horizontal="center" vertical="top"/>
    </xf>
    <xf numFmtId="49" fontId="11" fillId="0" borderId="51" xfId="0" applyNumberFormat="1" applyFont="1" applyFill="1" applyBorder="1" applyAlignment="1">
      <alignment horizontal="center" vertical="top"/>
    </xf>
    <xf numFmtId="49" fontId="9" fillId="0" borderId="34" xfId="0" applyNumberFormat="1" applyFont="1" applyFill="1" applyBorder="1" applyAlignment="1">
      <alignment horizontal="center" vertical="top"/>
    </xf>
    <xf numFmtId="49" fontId="11" fillId="0" borderId="34" xfId="0" applyNumberFormat="1" applyFont="1" applyFill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61" xfId="0" applyFont="1" applyBorder="1" applyAlignment="1">
      <alignment horizontal="center" vertical="top"/>
    </xf>
    <xf numFmtId="49" fontId="9" fillId="0" borderId="35" xfId="0" applyNumberFormat="1" applyFont="1" applyBorder="1" applyAlignment="1">
      <alignment horizontal="center" vertical="top" wrapText="1"/>
    </xf>
    <xf numFmtId="0" fontId="9" fillId="0" borderId="102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9" fillId="0" borderId="83" xfId="0" applyFont="1" applyBorder="1" applyAlignment="1">
      <alignment vertical="top" wrapText="1"/>
    </xf>
    <xf numFmtId="0" fontId="9" fillId="0" borderId="81" xfId="0" applyNumberFormat="1" applyFont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49" fontId="9" fillId="0" borderId="40" xfId="0" applyNumberFormat="1" applyFont="1" applyBorder="1" applyAlignment="1">
      <alignment horizontal="center" vertical="top" wrapText="1"/>
    </xf>
    <xf numFmtId="49" fontId="11" fillId="0" borderId="40" xfId="0" applyNumberFormat="1" applyFont="1" applyBorder="1" applyAlignment="1">
      <alignment horizontal="center" vertical="top" wrapText="1"/>
    </xf>
    <xf numFmtId="49" fontId="11" fillId="0" borderId="44" xfId="0" applyNumberFormat="1" applyFont="1" applyBorder="1" applyAlignment="1">
      <alignment horizontal="center" vertical="top" wrapText="1"/>
    </xf>
    <xf numFmtId="49" fontId="11" fillId="0" borderId="34" xfId="0" applyNumberFormat="1" applyFont="1" applyBorder="1" applyAlignment="1">
      <alignment horizontal="center" vertical="top" wrapText="1"/>
    </xf>
    <xf numFmtId="0" fontId="11" fillId="4" borderId="38" xfId="0" applyFont="1" applyFill="1" applyBorder="1" applyAlignment="1">
      <alignment vertical="top"/>
    </xf>
    <xf numFmtId="0" fontId="7" fillId="4" borderId="51" xfId="0" applyFont="1" applyFill="1" applyBorder="1" applyAlignment="1">
      <alignment horizontal="center" vertical="top" wrapText="1"/>
    </xf>
    <xf numFmtId="49" fontId="9" fillId="4" borderId="51" xfId="0" applyNumberFormat="1" applyFont="1" applyFill="1" applyBorder="1" applyAlignment="1">
      <alignment horizontal="center" vertical="top"/>
    </xf>
    <xf numFmtId="0" fontId="11" fillId="4" borderId="51" xfId="4" applyNumberFormat="1" applyFont="1" applyFill="1" applyBorder="1" applyAlignment="1">
      <alignment horizontal="center" vertical="top"/>
    </xf>
    <xf numFmtId="164" fontId="9" fillId="4" borderId="1" xfId="0" applyNumberFormat="1" applyFont="1" applyFill="1" applyBorder="1" applyAlignment="1">
      <alignment vertical="top"/>
    </xf>
    <xf numFmtId="0" fontId="9" fillId="0" borderId="44" xfId="0" applyFont="1" applyBorder="1" applyAlignment="1">
      <alignment horizontal="center" vertical="top" wrapText="1"/>
    </xf>
    <xf numFmtId="0" fontId="9" fillId="0" borderId="65" xfId="0" applyFont="1" applyBorder="1" applyAlignment="1">
      <alignment vertical="top" wrapText="1"/>
    </xf>
    <xf numFmtId="0" fontId="9" fillId="0" borderId="100" xfId="0" applyFont="1" applyBorder="1" applyAlignment="1">
      <alignment horizontal="left" vertical="top" wrapText="1"/>
    </xf>
    <xf numFmtId="0" fontId="9" fillId="0" borderId="91" xfId="0" applyFont="1" applyBorder="1" applyAlignment="1">
      <alignment horizontal="center" vertical="top"/>
    </xf>
    <xf numFmtId="0" fontId="9" fillId="0" borderId="89" xfId="0" applyFont="1" applyBorder="1" applyAlignment="1">
      <alignment horizontal="center" vertical="top"/>
    </xf>
    <xf numFmtId="49" fontId="11" fillId="10" borderId="40" xfId="0" applyNumberFormat="1" applyFont="1" applyFill="1" applyBorder="1" applyAlignment="1">
      <alignment horizontal="center" vertical="top"/>
    </xf>
    <xf numFmtId="49" fontId="9" fillId="0" borderId="50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vertical="top"/>
    </xf>
    <xf numFmtId="0" fontId="9" fillId="0" borderId="77" xfId="0" applyFont="1" applyBorder="1" applyAlignment="1">
      <alignment horizontal="center" vertical="top"/>
    </xf>
    <xf numFmtId="0" fontId="9" fillId="0" borderId="79" xfId="0" applyFont="1" applyBorder="1" applyAlignment="1">
      <alignment horizontal="left" vertical="top" wrapText="1"/>
    </xf>
    <xf numFmtId="0" fontId="5" fillId="4" borderId="34" xfId="0" applyFont="1" applyFill="1" applyBorder="1" applyAlignment="1">
      <alignment horizontal="left" vertical="top" wrapText="1"/>
    </xf>
    <xf numFmtId="49" fontId="11" fillId="0" borderId="80" xfId="0" applyNumberFormat="1" applyFont="1" applyBorder="1" applyAlignment="1">
      <alignment horizontal="center" vertical="top"/>
    </xf>
    <xf numFmtId="0" fontId="9" fillId="4" borderId="81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vertical="top"/>
    </xf>
    <xf numFmtId="0" fontId="9" fillId="0" borderId="29" xfId="0" applyFont="1" applyBorder="1" applyAlignment="1">
      <alignment horizontal="center" vertical="center" textRotation="90" shrinkToFit="1"/>
    </xf>
    <xf numFmtId="0" fontId="9" fillId="0" borderId="36" xfId="0" applyFont="1" applyBorder="1" applyAlignment="1">
      <alignment horizontal="center" vertical="center" textRotation="90" shrinkToFit="1"/>
    </xf>
    <xf numFmtId="0" fontId="5" fillId="0" borderId="54" xfId="0" applyNumberFormat="1" applyFont="1" applyBorder="1" applyAlignment="1">
      <alignment horizontal="center" vertical="top"/>
    </xf>
    <xf numFmtId="0" fontId="5" fillId="4" borderId="33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center" vertical="top" wrapText="1"/>
    </xf>
    <xf numFmtId="0" fontId="12" fillId="4" borderId="54" xfId="0" applyFont="1" applyFill="1" applyBorder="1" applyAlignment="1">
      <alignment horizontal="center" vertical="top" wrapText="1"/>
    </xf>
    <xf numFmtId="49" fontId="5" fillId="4" borderId="16" xfId="0" applyNumberFormat="1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horizontal="center" vertical="top"/>
    </xf>
    <xf numFmtId="164" fontId="9" fillId="0" borderId="12" xfId="0" applyNumberFormat="1" applyFont="1" applyFill="1" applyBorder="1" applyAlignment="1">
      <alignment horizontal="center" vertical="top"/>
    </xf>
    <xf numFmtId="0" fontId="5" fillId="0" borderId="52" xfId="0" applyNumberFormat="1" applyFont="1" applyBorder="1" applyAlignment="1">
      <alignment horizontal="center" vertical="top"/>
    </xf>
    <xf numFmtId="0" fontId="5" fillId="4" borderId="44" xfId="0" applyFont="1" applyFill="1" applyBorder="1" applyAlignment="1">
      <alignment horizontal="center" vertical="top" wrapText="1"/>
    </xf>
    <xf numFmtId="0" fontId="12" fillId="4" borderId="44" xfId="0" applyFont="1" applyFill="1" applyBorder="1" applyAlignment="1">
      <alignment horizontal="center" vertical="top" wrapText="1"/>
    </xf>
    <xf numFmtId="0" fontId="12" fillId="4" borderId="53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left" vertical="top" wrapText="1"/>
    </xf>
    <xf numFmtId="0" fontId="12" fillId="4" borderId="7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/>
    </xf>
    <xf numFmtId="0" fontId="9" fillId="0" borderId="70" xfId="0" applyNumberFormat="1" applyFont="1" applyBorder="1" applyAlignment="1">
      <alignment horizontal="center" vertical="top"/>
    </xf>
    <xf numFmtId="0" fontId="9" fillId="4" borderId="21" xfId="0" applyFont="1" applyFill="1" applyBorder="1" applyAlignment="1">
      <alignment vertical="top" wrapText="1"/>
    </xf>
    <xf numFmtId="0" fontId="9" fillId="0" borderId="44" xfId="0" applyFont="1" applyBorder="1" applyAlignment="1">
      <alignment vertical="top"/>
    </xf>
    <xf numFmtId="0" fontId="9" fillId="4" borderId="90" xfId="0" applyFont="1" applyFill="1" applyBorder="1" applyAlignment="1">
      <alignment vertical="top" wrapText="1"/>
    </xf>
    <xf numFmtId="0" fontId="26" fillId="10" borderId="23" xfId="0" applyFont="1" applyFill="1" applyBorder="1" applyAlignment="1"/>
    <xf numFmtId="0" fontId="9" fillId="0" borderId="15" xfId="0" applyFont="1" applyFill="1" applyBorder="1" applyAlignment="1">
      <alignment horizontal="center" vertical="top" wrapText="1"/>
    </xf>
    <xf numFmtId="49" fontId="11" fillId="4" borderId="51" xfId="0" applyNumberFormat="1" applyFont="1" applyFill="1" applyBorder="1" applyAlignment="1">
      <alignment horizontal="center" vertical="top"/>
    </xf>
    <xf numFmtId="49" fontId="11" fillId="4" borderId="51" xfId="0" applyNumberFormat="1" applyFont="1" applyFill="1" applyBorder="1" applyAlignment="1">
      <alignment vertical="top"/>
    </xf>
    <xf numFmtId="49" fontId="11" fillId="9" borderId="33" xfId="0" applyNumberFormat="1" applyFont="1" applyFill="1" applyBorder="1" applyAlignment="1">
      <alignment vertical="top"/>
    </xf>
    <xf numFmtId="49" fontId="11" fillId="2" borderId="34" xfId="0" applyNumberFormat="1" applyFont="1" applyFill="1" applyBorder="1" applyAlignment="1">
      <alignment vertical="top"/>
    </xf>
    <xf numFmtId="49" fontId="11" fillId="9" borderId="20" xfId="0" applyNumberFormat="1" applyFont="1" applyFill="1" applyBorder="1" applyAlignment="1">
      <alignment horizontal="center" vertical="top"/>
    </xf>
    <xf numFmtId="49" fontId="11" fillId="9" borderId="21" xfId="0" applyNumberFormat="1" applyFont="1" applyFill="1" applyBorder="1" applyAlignment="1">
      <alignment horizontal="center" vertical="top"/>
    </xf>
    <xf numFmtId="49" fontId="11" fillId="2" borderId="40" xfId="0" applyNumberFormat="1" applyFont="1" applyFill="1" applyBorder="1" applyAlignment="1">
      <alignment horizontal="center" vertical="top"/>
    </xf>
    <xf numFmtId="49" fontId="11" fillId="2" borderId="31" xfId="0" applyNumberFormat="1" applyFont="1" applyFill="1" applyBorder="1" applyAlignment="1">
      <alignment horizontal="center" vertical="top"/>
    </xf>
    <xf numFmtId="49" fontId="11" fillId="9" borderId="28" xfId="0" applyNumberFormat="1" applyFont="1" applyFill="1" applyBorder="1" applyAlignment="1">
      <alignment horizontal="center" vertical="top"/>
    </xf>
    <xf numFmtId="49" fontId="11" fillId="2" borderId="44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9" fillId="4" borderId="40" xfId="0" applyNumberFormat="1" applyFont="1" applyFill="1" applyBorder="1" applyAlignment="1">
      <alignment horizontal="center" vertical="top"/>
    </xf>
    <xf numFmtId="0" fontId="9" fillId="4" borderId="31" xfId="0" applyNumberFormat="1" applyFont="1" applyFill="1" applyBorder="1" applyAlignment="1">
      <alignment horizontal="center" vertical="top"/>
    </xf>
    <xf numFmtId="0" fontId="9" fillId="4" borderId="41" xfId="0" applyNumberFormat="1" applyFont="1" applyFill="1" applyBorder="1" applyAlignment="1">
      <alignment horizontal="center" vertical="top"/>
    </xf>
    <xf numFmtId="0" fontId="9" fillId="4" borderId="32" xfId="0" applyNumberFormat="1" applyFont="1" applyFill="1" applyBorder="1" applyAlignment="1">
      <alignment horizontal="center" vertical="top"/>
    </xf>
    <xf numFmtId="0" fontId="9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4" borderId="16" xfId="0" applyFont="1" applyFill="1" applyBorder="1" applyAlignment="1">
      <alignment vertical="top" wrapText="1"/>
    </xf>
    <xf numFmtId="0" fontId="9" fillId="4" borderId="38" xfId="0" applyFont="1" applyFill="1" applyBorder="1" applyAlignment="1">
      <alignment vertical="top" wrapText="1"/>
    </xf>
    <xf numFmtId="0" fontId="9" fillId="0" borderId="41" xfId="0" applyNumberFormat="1" applyFont="1" applyBorder="1" applyAlignment="1">
      <alignment horizontal="center" vertical="top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49" fontId="11" fillId="4" borderId="44" xfId="0" applyNumberFormat="1" applyFont="1" applyFill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center" vertical="top"/>
    </xf>
    <xf numFmtId="49" fontId="11" fillId="4" borderId="44" xfId="0" applyNumberFormat="1" applyFont="1" applyFill="1" applyBorder="1" applyAlignment="1">
      <alignment vertical="top"/>
    </xf>
    <xf numFmtId="49" fontId="11" fillId="4" borderId="18" xfId="0" applyNumberFormat="1" applyFont="1" applyFill="1" applyBorder="1" applyAlignment="1">
      <alignment vertical="top"/>
    </xf>
    <xf numFmtId="49" fontId="11" fillId="4" borderId="19" xfId="0" applyNumberFormat="1" applyFont="1" applyFill="1" applyBorder="1" applyAlignment="1">
      <alignment vertical="top"/>
    </xf>
    <xf numFmtId="164" fontId="9" fillId="4" borderId="44" xfId="0" applyNumberFormat="1" applyFont="1" applyFill="1" applyBorder="1" applyAlignment="1">
      <alignment horizontal="center" vertical="center" textRotation="90" wrapText="1"/>
    </xf>
    <xf numFmtId="164" fontId="9" fillId="4" borderId="53" xfId="0" applyNumberFormat="1" applyFont="1" applyFill="1" applyBorder="1" applyAlignment="1">
      <alignment horizontal="center" vertical="center" textRotation="90" wrapText="1"/>
    </xf>
    <xf numFmtId="49" fontId="11" fillId="4" borderId="76" xfId="0" applyNumberFormat="1" applyFont="1" applyFill="1" applyBorder="1" applyAlignment="1">
      <alignment horizontal="center" vertical="top"/>
    </xf>
    <xf numFmtId="49" fontId="11" fillId="4" borderId="65" xfId="0" applyNumberFormat="1" applyFont="1" applyFill="1" applyBorder="1" applyAlignment="1">
      <alignment horizontal="center" vertical="top"/>
    </xf>
    <xf numFmtId="49" fontId="11" fillId="4" borderId="23" xfId="0" applyNumberFormat="1" applyFont="1" applyFill="1" applyBorder="1" applyAlignment="1">
      <alignment vertical="top"/>
    </xf>
    <xf numFmtId="0" fontId="3" fillId="0" borderId="94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left" vertical="top" wrapText="1"/>
    </xf>
    <xf numFmtId="0" fontId="12" fillId="4" borderId="31" xfId="0" applyNumberFormat="1" applyFont="1" applyFill="1" applyBorder="1" applyAlignment="1">
      <alignment horizontal="center" vertical="top"/>
    </xf>
    <xf numFmtId="0" fontId="12" fillId="4" borderId="32" xfId="0" applyNumberFormat="1" applyFont="1" applyFill="1" applyBorder="1" applyAlignment="1">
      <alignment horizontal="center" vertical="top"/>
    </xf>
    <xf numFmtId="49" fontId="11" fillId="4" borderId="40" xfId="0" applyNumberFormat="1" applyFont="1" applyFill="1" applyBorder="1" applyAlignment="1">
      <alignment vertical="top"/>
    </xf>
    <xf numFmtId="49" fontId="11" fillId="4" borderId="65" xfId="0" applyNumberFormat="1" applyFont="1" applyFill="1" applyBorder="1" applyAlignment="1">
      <alignment vertical="top"/>
    </xf>
    <xf numFmtId="49" fontId="11" fillId="0" borderId="61" xfId="0" applyNumberFormat="1" applyFont="1" applyFill="1" applyBorder="1" applyAlignment="1">
      <alignment horizontal="center" vertical="top"/>
    </xf>
    <xf numFmtId="49" fontId="11" fillId="0" borderId="54" xfId="0" applyNumberFormat="1" applyFont="1" applyFill="1" applyBorder="1" applyAlignment="1">
      <alignment horizontal="center" vertical="top"/>
    </xf>
    <xf numFmtId="0" fontId="11" fillId="8" borderId="56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 vertical="top"/>
    </xf>
    <xf numFmtId="0" fontId="9" fillId="0" borderId="35" xfId="0" applyFont="1" applyFill="1" applyBorder="1" applyAlignment="1">
      <alignment horizontal="center" vertical="top"/>
    </xf>
    <xf numFmtId="0" fontId="26" fillId="4" borderId="31" xfId="0" applyFont="1" applyFill="1" applyBorder="1" applyAlignment="1"/>
    <xf numFmtId="49" fontId="11" fillId="4" borderId="31" xfId="0" applyNumberFormat="1" applyFont="1" applyFill="1" applyBorder="1" applyAlignment="1">
      <alignment vertical="top"/>
    </xf>
    <xf numFmtId="49" fontId="11" fillId="4" borderId="32" xfId="0" applyNumberFormat="1" applyFont="1" applyFill="1" applyBorder="1" applyAlignment="1">
      <alignment vertical="top"/>
    </xf>
    <xf numFmtId="0" fontId="9" fillId="0" borderId="88" xfId="0" applyFont="1" applyBorder="1" applyAlignment="1">
      <alignment vertical="top" wrapText="1"/>
    </xf>
    <xf numFmtId="0" fontId="25" fillId="0" borderId="0" xfId="0" applyFont="1" applyAlignment="1">
      <alignment vertical="top"/>
    </xf>
    <xf numFmtId="0" fontId="6" fillId="0" borderId="0" xfId="0" applyFont="1" applyFill="1" applyBorder="1" applyAlignment="1">
      <alignment horizontal="center" vertical="center" textRotation="90"/>
    </xf>
    <xf numFmtId="49" fontId="9" fillId="0" borderId="19" xfId="0" applyNumberFormat="1" applyFont="1" applyBorder="1" applyAlignment="1">
      <alignment horizontal="center" vertical="top"/>
    </xf>
    <xf numFmtId="0" fontId="6" fillId="0" borderId="4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49" fontId="9" fillId="4" borderId="38" xfId="0" applyNumberFormat="1" applyFont="1" applyFill="1" applyBorder="1" applyAlignment="1">
      <alignment horizontal="center" vertical="top"/>
    </xf>
    <xf numFmtId="49" fontId="11" fillId="9" borderId="20" xfId="0" applyNumberFormat="1" applyFont="1" applyFill="1" applyBorder="1" applyAlignment="1">
      <alignment horizontal="center" vertical="top"/>
    </xf>
    <xf numFmtId="49" fontId="11" fillId="9" borderId="21" xfId="0" applyNumberFormat="1" applyFont="1" applyFill="1" applyBorder="1" applyAlignment="1">
      <alignment horizontal="center" vertical="top"/>
    </xf>
    <xf numFmtId="49" fontId="11" fillId="2" borderId="40" xfId="0" applyNumberFormat="1" applyFont="1" applyFill="1" applyBorder="1" applyAlignment="1">
      <alignment horizontal="center" vertical="top"/>
    </xf>
    <xf numFmtId="49" fontId="11" fillId="2" borderId="31" xfId="0" applyNumberFormat="1" applyFont="1" applyFill="1" applyBorder="1" applyAlignment="1">
      <alignment horizontal="center" vertical="top"/>
    </xf>
    <xf numFmtId="49" fontId="11" fillId="4" borderId="17" xfId="0" applyNumberFormat="1" applyFont="1" applyFill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 vertical="top"/>
    </xf>
    <xf numFmtId="49" fontId="11" fillId="9" borderId="28" xfId="0" applyNumberFormat="1" applyFont="1" applyFill="1" applyBorder="1" applyAlignment="1">
      <alignment horizontal="center" vertical="top"/>
    </xf>
    <xf numFmtId="49" fontId="11" fillId="2" borderId="44" xfId="0" applyNumberFormat="1" applyFont="1" applyFill="1" applyBorder="1" applyAlignment="1">
      <alignment horizontal="center" vertical="top"/>
    </xf>
    <xf numFmtId="0" fontId="9" fillId="4" borderId="38" xfId="0" applyFont="1" applyFill="1" applyBorder="1" applyAlignment="1">
      <alignment vertical="top" wrapText="1"/>
    </xf>
    <xf numFmtId="0" fontId="9" fillId="4" borderId="18" xfId="0" applyFont="1" applyFill="1" applyBorder="1" applyAlignment="1">
      <alignment horizontal="center" vertical="top"/>
    </xf>
    <xf numFmtId="0" fontId="9" fillId="0" borderId="85" xfId="0" applyFont="1" applyBorder="1" applyAlignment="1">
      <alignment horizontal="center" vertical="top" wrapText="1"/>
    </xf>
    <xf numFmtId="0" fontId="9" fillId="0" borderId="81" xfId="0" applyFont="1" applyBorder="1" applyAlignment="1">
      <alignment horizontal="center" vertical="top"/>
    </xf>
    <xf numFmtId="0" fontId="9" fillId="0" borderId="98" xfId="0" applyFont="1" applyBorder="1" applyAlignment="1">
      <alignment horizontal="center" vertical="top"/>
    </xf>
    <xf numFmtId="0" fontId="9" fillId="0" borderId="96" xfId="0" applyFont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49" fontId="7" fillId="4" borderId="34" xfId="0" applyNumberFormat="1" applyFont="1" applyFill="1" applyBorder="1" applyAlignment="1">
      <alignment horizontal="center" vertical="top"/>
    </xf>
    <xf numFmtId="49" fontId="7" fillId="4" borderId="35" xfId="0" applyNumberFormat="1" applyFont="1" applyFill="1" applyBorder="1" applyAlignment="1">
      <alignment horizontal="center" vertical="top"/>
    </xf>
    <xf numFmtId="49" fontId="9" fillId="0" borderId="61" xfId="0" applyNumberFormat="1" applyFont="1" applyBorder="1" applyAlignment="1">
      <alignment horizontal="center" vertical="top"/>
    </xf>
    <xf numFmtId="0" fontId="9" fillId="4" borderId="38" xfId="0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horizontal="center" vertical="top" wrapText="1"/>
    </xf>
    <xf numFmtId="0" fontId="9" fillId="4" borderId="38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vertical="top" wrapText="1"/>
    </xf>
    <xf numFmtId="0" fontId="9" fillId="0" borderId="90" xfId="0" applyFont="1" applyBorder="1" applyAlignment="1">
      <alignment vertical="top" wrapText="1"/>
    </xf>
    <xf numFmtId="0" fontId="9" fillId="4" borderId="88" xfId="0" applyFont="1" applyFill="1" applyBorder="1" applyAlignment="1">
      <alignment vertical="top" wrapText="1"/>
    </xf>
    <xf numFmtId="49" fontId="9" fillId="4" borderId="91" xfId="0" applyNumberFormat="1" applyFont="1" applyFill="1" applyBorder="1" applyAlignment="1">
      <alignment horizontal="center" vertical="top"/>
    </xf>
    <xf numFmtId="49" fontId="9" fillId="4" borderId="89" xfId="0" applyNumberFormat="1" applyFont="1" applyFill="1" applyBorder="1" applyAlignment="1">
      <alignment horizontal="center" vertical="top"/>
    </xf>
    <xf numFmtId="0" fontId="9" fillId="0" borderId="59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center" vertical="top"/>
    </xf>
    <xf numFmtId="0" fontId="7" fillId="0" borderId="6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center" textRotation="90"/>
    </xf>
    <xf numFmtId="0" fontId="6" fillId="0" borderId="71" xfId="0" applyFont="1" applyFill="1" applyBorder="1" applyAlignment="1">
      <alignment horizontal="center" vertical="center" textRotation="90"/>
    </xf>
    <xf numFmtId="0" fontId="7" fillId="0" borderId="76" xfId="0" applyFont="1" applyFill="1" applyBorder="1" applyAlignment="1">
      <alignment vertical="top" wrapText="1"/>
    </xf>
    <xf numFmtId="0" fontId="7" fillId="0" borderId="65" xfId="0" applyFont="1" applyFill="1" applyBorder="1" applyAlignment="1">
      <alignment vertical="top" wrapText="1"/>
    </xf>
    <xf numFmtId="49" fontId="11" fillId="2" borderId="19" xfId="0" applyNumberFormat="1" applyFont="1" applyFill="1" applyBorder="1" applyAlignment="1">
      <alignment vertical="top"/>
    </xf>
    <xf numFmtId="49" fontId="11" fillId="10" borderId="19" xfId="0" applyNumberFormat="1" applyFont="1" applyFill="1" applyBorder="1" applyAlignment="1">
      <alignment vertical="top"/>
    </xf>
    <xf numFmtId="0" fontId="9" fillId="4" borderId="107" xfId="0" applyFont="1" applyFill="1" applyBorder="1" applyAlignment="1">
      <alignment horizontal="center" vertical="top"/>
    </xf>
    <xf numFmtId="0" fontId="9" fillId="4" borderId="90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vertical="top"/>
    </xf>
    <xf numFmtId="49" fontId="9" fillId="0" borderId="19" xfId="0" applyNumberFormat="1" applyFont="1" applyFill="1" applyBorder="1" applyAlignment="1">
      <alignment horizontal="center" vertical="top" wrapText="1"/>
    </xf>
    <xf numFmtId="49" fontId="9" fillId="0" borderId="51" xfId="0" applyNumberFormat="1" applyFont="1" applyFill="1" applyBorder="1" applyAlignment="1">
      <alignment horizontal="center" vertical="top" wrapText="1"/>
    </xf>
    <xf numFmtId="0" fontId="9" fillId="0" borderId="104" xfId="0" applyNumberFormat="1" applyFont="1" applyBorder="1" applyAlignment="1">
      <alignment horizontal="center" vertical="top"/>
    </xf>
    <xf numFmtId="0" fontId="9" fillId="4" borderId="112" xfId="0" applyFont="1" applyFill="1" applyBorder="1" applyAlignment="1">
      <alignment horizontal="left" vertical="top" wrapText="1"/>
    </xf>
    <xf numFmtId="0" fontId="9" fillId="0" borderId="108" xfId="0" applyNumberFormat="1" applyFont="1" applyBorder="1" applyAlignment="1">
      <alignment horizontal="center" vertical="top"/>
    </xf>
    <xf numFmtId="0" fontId="9" fillId="4" borderId="110" xfId="0" applyFont="1" applyFill="1" applyBorder="1" applyAlignment="1">
      <alignment horizontal="center" vertical="top"/>
    </xf>
    <xf numFmtId="0" fontId="9" fillId="4" borderId="7" xfId="0" applyFont="1" applyFill="1" applyBorder="1" applyAlignment="1">
      <alignment horizontal="center" vertical="top"/>
    </xf>
    <xf numFmtId="0" fontId="9" fillId="4" borderId="84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 wrapText="1"/>
    </xf>
    <xf numFmtId="0" fontId="9" fillId="4" borderId="90" xfId="0" applyFont="1" applyFill="1" applyBorder="1" applyAlignment="1">
      <alignment vertical="top"/>
    </xf>
    <xf numFmtId="0" fontId="3" fillId="10" borderId="23" xfId="0" applyFont="1" applyFill="1" applyBorder="1" applyAlignment="1">
      <alignment horizontal="left" vertical="top" wrapText="1"/>
    </xf>
    <xf numFmtId="0" fontId="9" fillId="4" borderId="76" xfId="0" applyFont="1" applyFill="1" applyBorder="1" applyAlignment="1">
      <alignment vertical="top"/>
    </xf>
    <xf numFmtId="49" fontId="9" fillId="0" borderId="16" xfId="0" applyNumberFormat="1" applyFont="1" applyFill="1" applyBorder="1" applyAlignment="1">
      <alignment horizontal="center" vertical="top"/>
    </xf>
    <xf numFmtId="0" fontId="9" fillId="0" borderId="56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vertical="top"/>
    </xf>
    <xf numFmtId="0" fontId="9" fillId="4" borderId="72" xfId="0" applyFont="1" applyFill="1" applyBorder="1" applyAlignment="1">
      <alignment vertical="top"/>
    </xf>
    <xf numFmtId="0" fontId="9" fillId="0" borderId="54" xfId="0" applyFont="1" applyBorder="1" applyAlignment="1">
      <alignment vertical="top"/>
    </xf>
    <xf numFmtId="0" fontId="9" fillId="4" borderId="65" xfId="0" applyFont="1" applyFill="1" applyBorder="1" applyAlignment="1">
      <alignment horizontal="left" vertical="top" wrapText="1"/>
    </xf>
    <xf numFmtId="0" fontId="9" fillId="0" borderId="85" xfId="0" applyFont="1" applyBorder="1" applyAlignment="1">
      <alignment vertical="top"/>
    </xf>
    <xf numFmtId="0" fontId="9" fillId="4" borderId="91" xfId="0" applyFont="1" applyFill="1" applyBorder="1" applyAlignment="1">
      <alignment horizontal="center" vertical="top"/>
    </xf>
    <xf numFmtId="0" fontId="9" fillId="0" borderId="89" xfId="0" applyFont="1" applyBorder="1" applyAlignment="1">
      <alignment vertical="top"/>
    </xf>
    <xf numFmtId="0" fontId="11" fillId="4" borderId="16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4" borderId="46" xfId="0" applyFont="1" applyFill="1" applyBorder="1" applyAlignment="1">
      <alignment vertical="top"/>
    </xf>
    <xf numFmtId="0" fontId="11" fillId="4" borderId="44" xfId="0" applyFont="1" applyFill="1" applyBorder="1" applyAlignment="1">
      <alignment vertical="top" wrapText="1"/>
    </xf>
    <xf numFmtId="49" fontId="11" fillId="4" borderId="19" xfId="0" applyNumberFormat="1" applyFont="1" applyFill="1" applyBorder="1" applyAlignment="1">
      <alignment horizontal="center" vertical="top"/>
    </xf>
    <xf numFmtId="49" fontId="11" fillId="2" borderId="44" xfId="0" applyNumberFormat="1" applyFont="1" applyFill="1" applyBorder="1" applyAlignment="1">
      <alignment horizontal="center" vertical="top"/>
    </xf>
    <xf numFmtId="49" fontId="11" fillId="9" borderId="28" xfId="0" applyNumberFormat="1" applyFont="1" applyFill="1" applyBorder="1" applyAlignment="1">
      <alignment horizontal="center" vertical="top"/>
    </xf>
    <xf numFmtId="0" fontId="9" fillId="4" borderId="45" xfId="0" applyFont="1" applyFill="1" applyBorder="1" applyAlignment="1">
      <alignment horizontal="left" vertical="top" wrapText="1"/>
    </xf>
    <xf numFmtId="0" fontId="9" fillId="4" borderId="20" xfId="0" applyFont="1" applyFill="1" applyBorder="1" applyAlignment="1">
      <alignment vertical="top"/>
    </xf>
    <xf numFmtId="0" fontId="9" fillId="4" borderId="17" xfId="0" applyFont="1" applyFill="1" applyBorder="1" applyAlignment="1">
      <alignment horizontal="center" vertical="top"/>
    </xf>
    <xf numFmtId="0" fontId="9" fillId="0" borderId="40" xfId="0" applyFont="1" applyBorder="1" applyAlignment="1">
      <alignment vertical="top"/>
    </xf>
    <xf numFmtId="0" fontId="9" fillId="0" borderId="41" xfId="0" applyFont="1" applyBorder="1" applyAlignment="1">
      <alignment vertical="top"/>
    </xf>
    <xf numFmtId="0" fontId="9" fillId="4" borderId="97" xfId="0" applyFont="1" applyFill="1" applyBorder="1" applyAlignment="1">
      <alignment horizontal="left" vertical="top" wrapText="1"/>
    </xf>
    <xf numFmtId="0" fontId="9" fillId="4" borderId="95" xfId="0" applyFont="1" applyFill="1" applyBorder="1" applyAlignment="1">
      <alignment horizontal="center" vertical="top"/>
    </xf>
    <xf numFmtId="0" fontId="9" fillId="0" borderId="98" xfId="0" applyFont="1" applyBorder="1" applyAlignment="1">
      <alignment vertical="top"/>
    </xf>
    <xf numFmtId="0" fontId="9" fillId="0" borderId="96" xfId="0" applyFont="1" applyBorder="1" applyAlignment="1">
      <alignment vertical="top"/>
    </xf>
    <xf numFmtId="0" fontId="9" fillId="4" borderId="50" xfId="0" applyFont="1" applyFill="1" applyBorder="1" applyAlignment="1">
      <alignment horizontal="center" vertical="top"/>
    </xf>
    <xf numFmtId="0" fontId="9" fillId="0" borderId="38" xfId="0" applyFont="1" applyBorder="1" applyAlignment="1">
      <alignment vertical="top"/>
    </xf>
    <xf numFmtId="0" fontId="9" fillId="0" borderId="61" xfId="0" applyFont="1" applyBorder="1" applyAlignment="1">
      <alignment vertical="top"/>
    </xf>
    <xf numFmtId="0" fontId="4" fillId="8" borderId="10" xfId="0" applyFont="1" applyFill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vertical="top" wrapText="1"/>
    </xf>
    <xf numFmtId="49" fontId="9" fillId="4" borderId="111" xfId="0" applyNumberFormat="1" applyFont="1" applyFill="1" applyBorder="1" applyAlignment="1">
      <alignment horizontal="center" vertical="top"/>
    </xf>
    <xf numFmtId="49" fontId="9" fillId="4" borderId="107" xfId="0" applyNumberFormat="1" applyFont="1" applyFill="1" applyBorder="1" applyAlignment="1">
      <alignment horizontal="center" vertical="top"/>
    </xf>
    <xf numFmtId="0" fontId="7" fillId="0" borderId="93" xfId="0" applyFont="1" applyFill="1" applyBorder="1" applyAlignment="1">
      <alignment horizontal="center" vertical="top"/>
    </xf>
    <xf numFmtId="0" fontId="7" fillId="0" borderId="108" xfId="0" applyFont="1" applyFill="1" applyBorder="1" applyAlignment="1">
      <alignment horizontal="center" vertical="top"/>
    </xf>
    <xf numFmtId="3" fontId="9" fillId="0" borderId="2" xfId="0" applyNumberFormat="1" applyFont="1" applyBorder="1" applyAlignment="1">
      <alignment horizontal="right" vertical="top"/>
    </xf>
    <xf numFmtId="3" fontId="9" fillId="0" borderId="77" xfId="0" applyNumberFormat="1" applyFont="1" applyBorder="1" applyAlignment="1">
      <alignment horizontal="right" vertical="top"/>
    </xf>
    <xf numFmtId="3" fontId="9" fillId="4" borderId="15" xfId="0" applyNumberFormat="1" applyFont="1" applyFill="1" applyBorder="1" applyAlignment="1">
      <alignment horizontal="right" vertical="top"/>
    </xf>
    <xf numFmtId="3" fontId="9" fillId="4" borderId="22" xfId="0" applyNumberFormat="1" applyFont="1" applyFill="1" applyBorder="1" applyAlignment="1">
      <alignment horizontal="right" vertical="top"/>
    </xf>
    <xf numFmtId="3" fontId="9" fillId="4" borderId="4" xfId="0" applyNumberFormat="1" applyFont="1" applyFill="1" applyBorder="1" applyAlignment="1">
      <alignment horizontal="right" vertical="top"/>
    </xf>
    <xf numFmtId="3" fontId="9" fillId="4" borderId="55" xfId="0" applyNumberFormat="1" applyFont="1" applyFill="1" applyBorder="1" applyAlignment="1">
      <alignment horizontal="right" vertical="top"/>
    </xf>
    <xf numFmtId="3" fontId="9" fillId="4" borderId="1" xfId="0" applyNumberFormat="1" applyFont="1" applyFill="1" applyBorder="1" applyAlignment="1">
      <alignment horizontal="right" vertical="top"/>
    </xf>
    <xf numFmtId="3" fontId="9" fillId="4" borderId="60" xfId="0" applyNumberFormat="1" applyFont="1" applyFill="1" applyBorder="1" applyAlignment="1">
      <alignment horizontal="right" vertical="top"/>
    </xf>
    <xf numFmtId="3" fontId="11" fillId="2" borderId="24" xfId="0" applyNumberFormat="1" applyFont="1" applyFill="1" applyBorder="1" applyAlignment="1">
      <alignment vertical="top"/>
    </xf>
    <xf numFmtId="3" fontId="11" fillId="2" borderId="3" xfId="0" applyNumberFormat="1" applyFont="1" applyFill="1" applyBorder="1" applyAlignment="1">
      <alignment vertical="top"/>
    </xf>
    <xf numFmtId="3" fontId="11" fillId="2" borderId="101" xfId="0" applyNumberFormat="1" applyFont="1" applyFill="1" applyBorder="1" applyAlignment="1">
      <alignment vertical="top"/>
    </xf>
    <xf numFmtId="0" fontId="9" fillId="0" borderId="23" xfId="0" applyFont="1" applyBorder="1" applyAlignment="1">
      <alignment horizontal="right" vertical="top"/>
    </xf>
    <xf numFmtId="0" fontId="9" fillId="0" borderId="65" xfId="0" applyFont="1" applyFill="1" applyBorder="1" applyAlignment="1">
      <alignment horizontal="left" vertical="top" wrapText="1"/>
    </xf>
    <xf numFmtId="0" fontId="9" fillId="0" borderId="44" xfId="0" applyFont="1" applyFill="1" applyBorder="1" applyAlignment="1">
      <alignment horizontal="center" vertical="top"/>
    </xf>
    <xf numFmtId="0" fontId="9" fillId="0" borderId="53" xfId="0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left" vertical="top" wrapText="1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7" fillId="0" borderId="38" xfId="0" applyFont="1" applyFill="1" applyBorder="1" applyAlignment="1">
      <alignment horizontal="center" vertical="top" wrapText="1"/>
    </xf>
    <xf numFmtId="0" fontId="5" fillId="0" borderId="32" xfId="0" applyNumberFormat="1" applyFont="1" applyBorder="1" applyAlignment="1">
      <alignment horizontal="center" vertical="top"/>
    </xf>
    <xf numFmtId="3" fontId="9" fillId="8" borderId="86" xfId="0" applyNumberFormat="1" applyFont="1" applyFill="1" applyBorder="1" applyAlignment="1">
      <alignment horizontal="right" vertical="top"/>
    </xf>
    <xf numFmtId="3" fontId="9" fillId="0" borderId="92" xfId="0" applyNumberFormat="1" applyFont="1" applyBorder="1" applyAlignment="1">
      <alignment horizontal="right" vertical="top"/>
    </xf>
    <xf numFmtId="3" fontId="9" fillId="0" borderId="86" xfId="0" applyNumberFormat="1" applyFont="1" applyBorder="1" applyAlignment="1">
      <alignment horizontal="right" vertical="top"/>
    </xf>
    <xf numFmtId="3" fontId="9" fillId="8" borderId="2" xfId="0" applyNumberFormat="1" applyFont="1" applyFill="1" applyBorder="1" applyAlignment="1">
      <alignment horizontal="right" vertical="top"/>
    </xf>
    <xf numFmtId="3" fontId="9" fillId="0" borderId="73" xfId="0" applyNumberFormat="1" applyFont="1" applyBorder="1" applyAlignment="1">
      <alignment horizontal="right" vertical="top"/>
    </xf>
    <xf numFmtId="3" fontId="9" fillId="8" borderId="4" xfId="0" applyNumberFormat="1" applyFont="1" applyFill="1" applyBorder="1" applyAlignment="1">
      <alignment horizontal="right" vertical="top"/>
    </xf>
    <xf numFmtId="3" fontId="9" fillId="0" borderId="55" xfId="0" applyNumberFormat="1" applyFont="1" applyBorder="1" applyAlignment="1">
      <alignment horizontal="right" vertical="top"/>
    </xf>
    <xf numFmtId="3" fontId="9" fillId="8" borderId="1" xfId="0" applyNumberFormat="1" applyFont="1" applyFill="1" applyBorder="1" applyAlignment="1">
      <alignment horizontal="right" vertical="top"/>
    </xf>
    <xf numFmtId="3" fontId="9" fillId="4" borderId="66" xfId="0" applyNumberFormat="1" applyFont="1" applyFill="1" applyBorder="1" applyAlignment="1">
      <alignment horizontal="right" vertical="top"/>
    </xf>
    <xf numFmtId="3" fontId="11" fillId="8" borderId="10" xfId="0" applyNumberFormat="1" applyFont="1" applyFill="1" applyBorder="1" applyAlignment="1">
      <alignment horizontal="right" vertical="top"/>
    </xf>
    <xf numFmtId="3" fontId="11" fillId="8" borderId="23" xfId="0" applyNumberFormat="1" applyFont="1" applyFill="1" applyBorder="1" applyAlignment="1">
      <alignment horizontal="right" vertical="top"/>
    </xf>
    <xf numFmtId="3" fontId="9" fillId="8" borderId="34" xfId="0" applyNumberFormat="1" applyFont="1" applyFill="1" applyBorder="1" applyAlignment="1">
      <alignment horizontal="right" vertical="top"/>
    </xf>
    <xf numFmtId="3" fontId="9" fillId="0" borderId="11" xfId="0" applyNumberFormat="1" applyFont="1" applyBorder="1" applyAlignment="1">
      <alignment horizontal="right" vertical="top"/>
    </xf>
    <xf numFmtId="3" fontId="9" fillId="0" borderId="12" xfId="0" applyNumberFormat="1" applyFont="1" applyBorder="1" applyAlignment="1">
      <alignment horizontal="right" vertical="top"/>
    </xf>
    <xf numFmtId="3" fontId="11" fillId="8" borderId="21" xfId="0" applyNumberFormat="1" applyFont="1" applyFill="1" applyBorder="1" applyAlignment="1">
      <alignment horizontal="right" vertical="top"/>
    </xf>
    <xf numFmtId="3" fontId="11" fillId="8" borderId="13" xfId="0" applyNumberFormat="1" applyFont="1" applyFill="1" applyBorder="1" applyAlignment="1">
      <alignment horizontal="right" vertical="top"/>
    </xf>
    <xf numFmtId="3" fontId="7" fillId="0" borderId="12" xfId="0" applyNumberFormat="1" applyFont="1" applyFill="1" applyBorder="1" applyAlignment="1">
      <alignment horizontal="right" vertical="top"/>
    </xf>
    <xf numFmtId="3" fontId="11" fillId="8" borderId="30" xfId="0" applyNumberFormat="1" applyFont="1" applyFill="1" applyBorder="1" applyAlignment="1">
      <alignment horizontal="right" vertical="top"/>
    </xf>
    <xf numFmtId="3" fontId="11" fillId="8" borderId="5" xfId="0" applyNumberFormat="1" applyFont="1" applyFill="1" applyBorder="1" applyAlignment="1">
      <alignment horizontal="right" vertical="top"/>
    </xf>
    <xf numFmtId="3" fontId="9" fillId="8" borderId="46" xfId="0" applyNumberFormat="1" applyFont="1" applyFill="1" applyBorder="1" applyAlignment="1">
      <alignment horizontal="right" vertical="top"/>
    </xf>
    <xf numFmtId="3" fontId="9" fillId="0" borderId="1" xfId="0" applyNumberFormat="1" applyFont="1" applyBorder="1" applyAlignment="1">
      <alignment horizontal="right" vertical="top"/>
    </xf>
    <xf numFmtId="3" fontId="11" fillId="8" borderId="28" xfId="0" applyNumberFormat="1" applyFont="1" applyFill="1" applyBorder="1" applyAlignment="1">
      <alignment horizontal="right" vertical="top"/>
    </xf>
    <xf numFmtId="3" fontId="9" fillId="8" borderId="64" xfId="0" applyNumberFormat="1" applyFont="1" applyFill="1" applyBorder="1" applyAlignment="1">
      <alignment horizontal="right" vertical="top"/>
    </xf>
    <xf numFmtId="3" fontId="9" fillId="8" borderId="79" xfId="0" applyNumberFormat="1" applyFont="1" applyFill="1" applyBorder="1" applyAlignment="1">
      <alignment horizontal="right" vertical="top"/>
    </xf>
    <xf numFmtId="3" fontId="11" fillId="8" borderId="14" xfId="0" applyNumberFormat="1" applyFont="1" applyFill="1" applyBorder="1" applyAlignment="1">
      <alignment horizontal="right" vertical="top"/>
    </xf>
    <xf numFmtId="3" fontId="9" fillId="8" borderId="65" xfId="0" applyNumberFormat="1" applyFont="1" applyFill="1" applyBorder="1" applyAlignment="1">
      <alignment horizontal="right" vertical="top"/>
    </xf>
    <xf numFmtId="3" fontId="9" fillId="0" borderId="15" xfId="0" applyNumberFormat="1" applyFont="1" applyFill="1" applyBorder="1" applyAlignment="1">
      <alignment horizontal="right" vertical="top"/>
    </xf>
    <xf numFmtId="3" fontId="9" fillId="0" borderId="37" xfId="0" applyNumberFormat="1" applyFont="1" applyFill="1" applyBorder="1" applyAlignment="1">
      <alignment horizontal="right" vertical="top"/>
    </xf>
    <xf numFmtId="3" fontId="11" fillId="8" borderId="45" xfId="0" applyNumberFormat="1" applyFont="1" applyFill="1" applyBorder="1" applyAlignment="1">
      <alignment horizontal="right" vertical="top"/>
    </xf>
    <xf numFmtId="3" fontId="9" fillId="0" borderId="12" xfId="0" applyNumberFormat="1" applyFont="1" applyFill="1" applyBorder="1" applyAlignment="1">
      <alignment horizontal="right" vertical="top"/>
    </xf>
    <xf numFmtId="3" fontId="9" fillId="8" borderId="59" xfId="0" applyNumberFormat="1" applyFont="1" applyFill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vertical="top"/>
    </xf>
    <xf numFmtId="3" fontId="9" fillId="0" borderId="4" xfId="0" applyNumberFormat="1" applyFont="1" applyBorder="1" applyAlignment="1">
      <alignment horizontal="right" vertical="top"/>
    </xf>
    <xf numFmtId="3" fontId="9" fillId="0" borderId="1" xfId="0" applyNumberFormat="1" applyFont="1" applyFill="1" applyBorder="1" applyAlignment="1">
      <alignment horizontal="right" vertical="top"/>
    </xf>
    <xf numFmtId="3" fontId="9" fillId="8" borderId="66" xfId="0" applyNumberFormat="1" applyFont="1" applyFill="1" applyBorder="1" applyAlignment="1">
      <alignment horizontal="right" vertical="top"/>
    </xf>
    <xf numFmtId="3" fontId="9" fillId="4" borderId="2" xfId="0" applyNumberFormat="1" applyFont="1" applyFill="1" applyBorder="1" applyAlignment="1">
      <alignment horizontal="right" vertical="top"/>
    </xf>
    <xf numFmtId="3" fontId="11" fillId="8" borderId="71" xfId="0" applyNumberFormat="1" applyFont="1" applyFill="1" applyBorder="1" applyAlignment="1">
      <alignment horizontal="right" vertical="top"/>
    </xf>
    <xf numFmtId="3" fontId="9" fillId="8" borderId="22" xfId="0" applyNumberFormat="1" applyFont="1" applyFill="1" applyBorder="1" applyAlignment="1">
      <alignment horizontal="right" vertical="top"/>
    </xf>
    <xf numFmtId="3" fontId="9" fillId="0" borderId="22" xfId="0" applyNumberFormat="1" applyFont="1" applyBorder="1" applyAlignment="1">
      <alignment horizontal="right" vertical="top"/>
    </xf>
    <xf numFmtId="3" fontId="9" fillId="0" borderId="11" xfId="0" applyNumberFormat="1" applyFont="1" applyFill="1" applyBorder="1" applyAlignment="1">
      <alignment horizontal="right" vertical="top"/>
    </xf>
    <xf numFmtId="3" fontId="9" fillId="4" borderId="8" xfId="0" applyNumberFormat="1" applyFont="1" applyFill="1" applyBorder="1" applyAlignment="1">
      <alignment horizontal="right" vertical="top"/>
    </xf>
    <xf numFmtId="3" fontId="11" fillId="8" borderId="63" xfId="0" applyNumberFormat="1" applyFont="1" applyFill="1" applyBorder="1" applyAlignment="1">
      <alignment horizontal="right" vertical="top"/>
    </xf>
    <xf numFmtId="3" fontId="11" fillId="2" borderId="21" xfId="0" applyNumberFormat="1" applyFont="1" applyFill="1" applyBorder="1" applyAlignment="1">
      <alignment horizontal="right" vertical="top"/>
    </xf>
    <xf numFmtId="3" fontId="7" fillId="8" borderId="33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/>
    </xf>
    <xf numFmtId="3" fontId="6" fillId="8" borderId="21" xfId="0" applyNumberFormat="1" applyFont="1" applyFill="1" applyBorder="1" applyAlignment="1">
      <alignment horizontal="right" vertical="top"/>
    </xf>
    <xf numFmtId="0" fontId="5" fillId="3" borderId="85" xfId="0" applyFont="1" applyFill="1" applyBorder="1" applyAlignment="1">
      <alignment horizontal="center" vertical="top"/>
    </xf>
    <xf numFmtId="0" fontId="5" fillId="3" borderId="89" xfId="0" applyFont="1" applyFill="1" applyBorder="1" applyAlignment="1">
      <alignment horizontal="center" vertical="top"/>
    </xf>
    <xf numFmtId="3" fontId="9" fillId="8" borderId="76" xfId="0" applyNumberFormat="1" applyFont="1" applyFill="1" applyBorder="1" applyAlignment="1">
      <alignment horizontal="right" vertical="top"/>
    </xf>
    <xf numFmtId="3" fontId="9" fillId="8" borderId="65" xfId="0" applyNumberFormat="1" applyFont="1" applyFill="1" applyBorder="1" applyAlignment="1">
      <alignment horizontal="right" vertical="top" wrapText="1"/>
    </xf>
    <xf numFmtId="3" fontId="3" fillId="8" borderId="46" xfId="0" applyNumberFormat="1" applyFont="1" applyFill="1" applyBorder="1" applyAlignment="1">
      <alignment horizontal="right" vertical="top"/>
    </xf>
    <xf numFmtId="3" fontId="3" fillId="4" borderId="12" xfId="0" applyNumberFormat="1" applyFont="1" applyFill="1" applyBorder="1" applyAlignment="1">
      <alignment horizontal="right" vertical="top" wrapText="1"/>
    </xf>
    <xf numFmtId="3" fontId="3" fillId="0" borderId="60" xfId="0" applyNumberFormat="1" applyFont="1" applyFill="1" applyBorder="1" applyAlignment="1">
      <alignment horizontal="right" vertical="top"/>
    </xf>
    <xf numFmtId="3" fontId="3" fillId="4" borderId="1" xfId="0" applyNumberFormat="1" applyFont="1" applyFill="1" applyBorder="1" applyAlignment="1">
      <alignment horizontal="right" vertical="top" wrapText="1"/>
    </xf>
    <xf numFmtId="3" fontId="2" fillId="8" borderId="30" xfId="0" applyNumberFormat="1" applyFont="1" applyFill="1" applyBorder="1" applyAlignment="1">
      <alignment horizontal="right" vertical="center"/>
    </xf>
    <xf numFmtId="3" fontId="2" fillId="8" borderId="5" xfId="0" applyNumberFormat="1" applyFont="1" applyFill="1" applyBorder="1" applyAlignment="1">
      <alignment horizontal="right" vertical="center"/>
    </xf>
    <xf numFmtId="3" fontId="2" fillId="8" borderId="63" xfId="0" applyNumberFormat="1" applyFont="1" applyFill="1" applyBorder="1" applyAlignment="1">
      <alignment horizontal="right" vertical="center"/>
    </xf>
    <xf numFmtId="3" fontId="9" fillId="8" borderId="47" xfId="0" applyNumberFormat="1" applyFont="1" applyFill="1" applyBorder="1" applyAlignment="1">
      <alignment horizontal="right" vertical="top"/>
    </xf>
    <xf numFmtId="3" fontId="3" fillId="0" borderId="74" xfId="0" applyNumberFormat="1" applyFont="1" applyFill="1" applyBorder="1" applyAlignment="1">
      <alignment horizontal="right" vertical="top"/>
    </xf>
    <xf numFmtId="3" fontId="9" fillId="8" borderId="58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 wrapText="1"/>
    </xf>
    <xf numFmtId="3" fontId="2" fillId="8" borderId="14" xfId="0" applyNumberFormat="1" applyFont="1" applyFill="1" applyBorder="1" applyAlignment="1">
      <alignment horizontal="right" vertical="center"/>
    </xf>
    <xf numFmtId="3" fontId="2" fillId="8" borderId="5" xfId="0" applyNumberFormat="1" applyFont="1" applyFill="1" applyBorder="1" applyAlignment="1">
      <alignment horizontal="right" vertical="center" wrapText="1"/>
    </xf>
    <xf numFmtId="3" fontId="2" fillId="8" borderId="62" xfId="0" applyNumberFormat="1" applyFont="1" applyFill="1" applyBorder="1" applyAlignment="1">
      <alignment horizontal="right" vertical="center"/>
    </xf>
    <xf numFmtId="3" fontId="9" fillId="0" borderId="66" xfId="0" applyNumberFormat="1" applyFont="1" applyBorder="1" applyAlignment="1">
      <alignment horizontal="right" vertical="top"/>
    </xf>
    <xf numFmtId="3" fontId="9" fillId="0" borderId="58" xfId="0" applyNumberFormat="1" applyFont="1" applyBorder="1" applyAlignment="1">
      <alignment horizontal="right" vertical="top"/>
    </xf>
    <xf numFmtId="3" fontId="3" fillId="8" borderId="12" xfId="0" applyNumberFormat="1" applyFont="1" applyFill="1" applyBorder="1" applyAlignment="1">
      <alignment horizontal="right" vertical="top"/>
    </xf>
    <xf numFmtId="3" fontId="9" fillId="0" borderId="47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3" fillId="8" borderId="1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top"/>
    </xf>
    <xf numFmtId="3" fontId="11" fillId="8" borderId="48" xfId="0" applyNumberFormat="1" applyFont="1" applyFill="1" applyBorder="1" applyAlignment="1">
      <alignment horizontal="right" vertical="top"/>
    </xf>
    <xf numFmtId="3" fontId="11" fillId="2" borderId="3" xfId="0" applyNumberFormat="1" applyFont="1" applyFill="1" applyBorder="1" applyAlignment="1">
      <alignment horizontal="right" vertical="top"/>
    </xf>
    <xf numFmtId="3" fontId="11" fillId="2" borderId="101" xfId="0" applyNumberFormat="1" applyFont="1" applyFill="1" applyBorder="1" applyAlignment="1">
      <alignment horizontal="right" vertical="top"/>
    </xf>
    <xf numFmtId="3" fontId="11" fillId="2" borderId="24" xfId="0" applyNumberFormat="1" applyFont="1" applyFill="1" applyBorder="1" applyAlignment="1">
      <alignment horizontal="right" vertical="top"/>
    </xf>
    <xf numFmtId="3" fontId="9" fillId="8" borderId="0" xfId="0" applyNumberFormat="1" applyFont="1" applyFill="1" applyBorder="1" applyAlignment="1">
      <alignment horizontal="right" vertical="top"/>
    </xf>
    <xf numFmtId="3" fontId="7" fillId="8" borderId="66" xfId="0" applyNumberFormat="1" applyFont="1" applyFill="1" applyBorder="1" applyAlignment="1">
      <alignment horizontal="right" vertical="top"/>
    </xf>
    <xf numFmtId="3" fontId="9" fillId="4" borderId="2" xfId="0" applyNumberFormat="1" applyFont="1" applyFill="1" applyBorder="1" applyAlignment="1">
      <alignment horizontal="right" vertical="top" wrapText="1"/>
    </xf>
    <xf numFmtId="3" fontId="11" fillId="2" borderId="9" xfId="0" applyNumberFormat="1" applyFont="1" applyFill="1" applyBorder="1" applyAlignment="1">
      <alignment horizontal="right" vertical="top"/>
    </xf>
    <xf numFmtId="3" fontId="11" fillId="9" borderId="9" xfId="0" applyNumberFormat="1" applyFont="1" applyFill="1" applyBorder="1" applyAlignment="1">
      <alignment horizontal="right" vertical="top"/>
    </xf>
    <xf numFmtId="3" fontId="11" fillId="9" borderId="3" xfId="0" applyNumberFormat="1" applyFont="1" applyFill="1" applyBorder="1" applyAlignment="1">
      <alignment horizontal="right" vertical="top"/>
    </xf>
    <xf numFmtId="3" fontId="11" fillId="9" borderId="24" xfId="0" applyNumberFormat="1" applyFont="1" applyFill="1" applyBorder="1" applyAlignment="1">
      <alignment horizontal="right" vertical="top"/>
    </xf>
    <xf numFmtId="3" fontId="11" fillId="7" borderId="9" xfId="0" applyNumberFormat="1" applyFont="1" applyFill="1" applyBorder="1" applyAlignment="1">
      <alignment horizontal="right" vertical="top"/>
    </xf>
    <xf numFmtId="3" fontId="11" fillId="7" borderId="24" xfId="0" applyNumberFormat="1" applyFont="1" applyFill="1" applyBorder="1" applyAlignment="1">
      <alignment horizontal="right" vertical="top"/>
    </xf>
    <xf numFmtId="3" fontId="11" fillId="7" borderId="37" xfId="0" applyNumberFormat="1" applyFont="1" applyFill="1" applyBorder="1" applyAlignment="1">
      <alignment horizontal="right" vertical="top" wrapText="1"/>
    </xf>
    <xf numFmtId="3" fontId="9" fillId="8" borderId="8" xfId="0" applyNumberFormat="1" applyFont="1" applyFill="1" applyBorder="1" applyAlignment="1">
      <alignment horizontal="right" vertical="top" wrapText="1"/>
    </xf>
    <xf numFmtId="3" fontId="9" fillId="8" borderId="2" xfId="0" applyNumberFormat="1" applyFont="1" applyFill="1" applyBorder="1" applyAlignment="1">
      <alignment horizontal="right" vertical="top" wrapText="1"/>
    </xf>
    <xf numFmtId="3" fontId="9" fillId="0" borderId="8" xfId="0" applyNumberFormat="1" applyFont="1" applyFill="1" applyBorder="1" applyAlignment="1">
      <alignment horizontal="right" vertical="top" wrapText="1"/>
    </xf>
    <xf numFmtId="3" fontId="9" fillId="0" borderId="2" xfId="0" applyNumberFormat="1" applyFont="1" applyFill="1" applyBorder="1" applyAlignment="1">
      <alignment horizontal="right" vertical="top" wrapText="1"/>
    </xf>
    <xf numFmtId="3" fontId="11" fillId="7" borderId="7" xfId="0" applyNumberFormat="1" applyFont="1" applyFill="1" applyBorder="1" applyAlignment="1">
      <alignment horizontal="right" vertical="top" wrapText="1"/>
    </xf>
    <xf numFmtId="3" fontId="11" fillId="7" borderId="4" xfId="0" applyNumberFormat="1" applyFont="1" applyFill="1" applyBorder="1" applyAlignment="1">
      <alignment horizontal="right" vertical="top" wrapText="1"/>
    </xf>
    <xf numFmtId="3" fontId="11" fillId="8" borderId="13" xfId="0" applyNumberFormat="1" applyFont="1" applyFill="1" applyBorder="1" applyAlignment="1">
      <alignment horizontal="right" vertical="top" wrapText="1"/>
    </xf>
    <xf numFmtId="3" fontId="11" fillId="8" borderId="10" xfId="0" applyNumberFormat="1" applyFont="1" applyFill="1" applyBorder="1" applyAlignment="1">
      <alignment horizontal="right" vertical="top" wrapText="1"/>
    </xf>
    <xf numFmtId="3" fontId="9" fillId="8" borderId="12" xfId="0" applyNumberFormat="1" applyFont="1" applyFill="1" applyBorder="1" applyAlignment="1">
      <alignment horizontal="right" vertical="top"/>
    </xf>
    <xf numFmtId="0" fontId="11" fillId="0" borderId="41" xfId="4" applyNumberFormat="1" applyFont="1" applyBorder="1" applyAlignment="1">
      <alignment horizontal="center" vertical="top"/>
    </xf>
    <xf numFmtId="0" fontId="9" fillId="4" borderId="38" xfId="0" applyFont="1" applyFill="1" applyBorder="1" applyAlignment="1">
      <alignment vertical="top" wrapText="1"/>
    </xf>
    <xf numFmtId="0" fontId="9" fillId="0" borderId="41" xfId="0" applyNumberFormat="1" applyFont="1" applyBorder="1" applyAlignment="1">
      <alignment horizontal="center" vertical="top"/>
    </xf>
    <xf numFmtId="0" fontId="9" fillId="0" borderId="75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vertical="top"/>
    </xf>
    <xf numFmtId="3" fontId="9" fillId="4" borderId="0" xfId="0" applyNumberFormat="1" applyFont="1" applyFill="1" applyBorder="1" applyAlignment="1">
      <alignment horizontal="right" vertical="top"/>
    </xf>
    <xf numFmtId="0" fontId="9" fillId="4" borderId="4" xfId="0" applyFont="1" applyFill="1" applyBorder="1" applyAlignment="1">
      <alignment horizontal="center" vertical="top"/>
    </xf>
    <xf numFmtId="3" fontId="7" fillId="4" borderId="7" xfId="0" applyNumberFormat="1" applyFont="1" applyFill="1" applyBorder="1" applyAlignment="1">
      <alignment horizontal="right" vertical="top"/>
    </xf>
    <xf numFmtId="3" fontId="7" fillId="4" borderId="4" xfId="0" applyNumberFormat="1" applyFont="1" applyFill="1" applyBorder="1" applyAlignment="1">
      <alignment horizontal="right" vertical="top"/>
    </xf>
    <xf numFmtId="3" fontId="7" fillId="8" borderId="65" xfId="0" applyNumberFormat="1" applyFont="1" applyFill="1" applyBorder="1" applyAlignment="1">
      <alignment horizontal="right" vertical="top"/>
    </xf>
    <xf numFmtId="3" fontId="9" fillId="0" borderId="37" xfId="0" applyNumberFormat="1" applyFont="1" applyBorder="1" applyAlignment="1">
      <alignment horizontal="right" vertical="top"/>
    </xf>
    <xf numFmtId="3" fontId="7" fillId="8" borderId="0" xfId="0" applyNumberFormat="1" applyFont="1" applyFill="1" applyBorder="1" applyAlignment="1">
      <alignment horizontal="right" vertical="top"/>
    </xf>
    <xf numFmtId="0" fontId="9" fillId="4" borderId="98" xfId="0" applyFont="1" applyFill="1" applyBorder="1" applyAlignment="1">
      <alignment vertical="top" wrapText="1"/>
    </xf>
    <xf numFmtId="3" fontId="9" fillId="4" borderId="12" xfId="0" applyNumberFormat="1" applyFont="1" applyFill="1" applyBorder="1" applyAlignment="1">
      <alignment horizontal="right" vertical="top"/>
    </xf>
    <xf numFmtId="3" fontId="11" fillId="8" borderId="43" xfId="0" applyNumberFormat="1" applyFont="1" applyFill="1" applyBorder="1" applyAlignment="1">
      <alignment horizontal="right" vertical="top"/>
    </xf>
    <xf numFmtId="3" fontId="9" fillId="8" borderId="49" xfId="0" applyNumberFormat="1" applyFont="1" applyFill="1" applyBorder="1" applyAlignment="1">
      <alignment horizontal="right" vertical="top"/>
    </xf>
    <xf numFmtId="3" fontId="10" fillId="4" borderId="22" xfId="0" applyNumberFormat="1" applyFont="1" applyFill="1" applyBorder="1" applyAlignment="1">
      <alignment vertical="top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0" fontId="9" fillId="0" borderId="61" xfId="0" applyFont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top" wrapText="1"/>
    </xf>
    <xf numFmtId="0" fontId="11" fillId="8" borderId="14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49" fontId="9" fillId="0" borderId="37" xfId="0" applyNumberFormat="1" applyFont="1" applyFill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4" borderId="113" xfId="0" applyFont="1" applyFill="1" applyBorder="1" applyAlignment="1">
      <alignment horizontal="left" vertical="top" wrapText="1"/>
    </xf>
    <xf numFmtId="0" fontId="9" fillId="0" borderId="113" xfId="0" applyFont="1" applyBorder="1" applyAlignment="1">
      <alignment vertical="top" wrapText="1"/>
    </xf>
    <xf numFmtId="0" fontId="9" fillId="0" borderId="90" xfId="0" applyFont="1" applyFill="1" applyBorder="1" applyAlignment="1">
      <alignment vertical="center" wrapText="1"/>
    </xf>
    <xf numFmtId="0" fontId="9" fillId="4" borderId="59" xfId="0" applyFont="1" applyFill="1" applyBorder="1" applyAlignment="1">
      <alignment horizontal="left" vertical="top" wrapText="1"/>
    </xf>
    <xf numFmtId="0" fontId="9" fillId="10" borderId="75" xfId="0" applyFont="1" applyFill="1" applyBorder="1" applyAlignment="1">
      <alignment vertical="top"/>
    </xf>
    <xf numFmtId="0" fontId="9" fillId="0" borderId="83" xfId="0" applyFont="1" applyBorder="1" applyAlignment="1">
      <alignment horizontal="left" vertical="top" wrapText="1"/>
    </xf>
    <xf numFmtId="0" fontId="5" fillId="0" borderId="46" xfId="0" applyFont="1" applyFill="1" applyBorder="1" applyAlignment="1">
      <alignment horizontal="left" vertical="top" wrapText="1"/>
    </xf>
    <xf numFmtId="0" fontId="9" fillId="0" borderId="64" xfId="0" applyFont="1" applyBorder="1" applyAlignment="1">
      <alignment vertical="top"/>
    </xf>
    <xf numFmtId="0" fontId="9" fillId="0" borderId="63" xfId="0" applyFont="1" applyBorder="1" applyAlignment="1">
      <alignment vertical="top"/>
    </xf>
    <xf numFmtId="164" fontId="9" fillId="4" borderId="46" xfId="0" applyNumberFormat="1" applyFont="1" applyFill="1" applyBorder="1" applyAlignment="1">
      <alignment horizontal="left" vertical="top" wrapText="1"/>
    </xf>
    <xf numFmtId="0" fontId="9" fillId="0" borderId="76" xfId="0" applyFont="1" applyBorder="1" applyAlignment="1">
      <alignment vertical="top"/>
    </xf>
    <xf numFmtId="0" fontId="9" fillId="0" borderId="75" xfId="0" applyFont="1" applyBorder="1" applyAlignment="1">
      <alignment vertical="top"/>
    </xf>
    <xf numFmtId="0" fontId="9" fillId="5" borderId="23" xfId="0" applyFont="1" applyFill="1" applyBorder="1" applyAlignment="1">
      <alignment vertical="top"/>
    </xf>
    <xf numFmtId="49" fontId="9" fillId="0" borderId="50" xfId="0" applyNumberFormat="1" applyFont="1" applyBorder="1" applyAlignment="1">
      <alignment horizontal="center" vertical="top" wrapText="1"/>
    </xf>
    <xf numFmtId="49" fontId="9" fillId="0" borderId="51" xfId="0" applyNumberFormat="1" applyFont="1" applyBorder="1" applyAlignment="1">
      <alignment horizontal="center" vertical="top" wrapText="1"/>
    </xf>
    <xf numFmtId="49" fontId="9" fillId="4" borderId="19" xfId="0" applyNumberFormat="1" applyFont="1" applyFill="1" applyBorder="1" applyAlignment="1">
      <alignment horizontal="center" vertical="top" wrapText="1"/>
    </xf>
    <xf numFmtId="49" fontId="9" fillId="4" borderId="52" xfId="0" applyNumberFormat="1" applyFont="1" applyFill="1" applyBorder="1" applyAlignment="1">
      <alignment horizontal="center" vertical="top" wrapText="1"/>
    </xf>
    <xf numFmtId="49" fontId="9" fillId="4" borderId="50" xfId="0" applyNumberFormat="1" applyFont="1" applyFill="1" applyBorder="1" applyAlignment="1">
      <alignment horizontal="center" vertical="top" wrapText="1"/>
    </xf>
    <xf numFmtId="0" fontId="9" fillId="0" borderId="109" xfId="0" applyFont="1" applyBorder="1" applyAlignment="1">
      <alignment horizontal="center" vertical="top"/>
    </xf>
    <xf numFmtId="0" fontId="9" fillId="0" borderId="86" xfId="0" applyFont="1" applyBorder="1" applyAlignment="1">
      <alignment horizontal="center" vertical="top"/>
    </xf>
    <xf numFmtId="0" fontId="9" fillId="4" borderId="105" xfId="0" applyFont="1" applyFill="1" applyBorder="1" applyAlignment="1">
      <alignment horizontal="center" vertical="top"/>
    </xf>
    <xf numFmtId="0" fontId="9" fillId="4" borderId="109" xfId="0" applyFont="1" applyFill="1" applyBorder="1" applyAlignment="1">
      <alignment horizontal="center" vertical="top"/>
    </xf>
    <xf numFmtId="0" fontId="9" fillId="0" borderId="94" xfId="0" applyFont="1" applyBorder="1" applyAlignment="1">
      <alignment horizontal="center" vertical="top"/>
    </xf>
    <xf numFmtId="0" fontId="11" fillId="4" borderId="0" xfId="0" applyFont="1" applyFill="1" applyBorder="1" applyAlignment="1">
      <alignment horizontal="left" vertical="top" wrapText="1"/>
    </xf>
    <xf numFmtId="0" fontId="9" fillId="4" borderId="83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vertical="top" wrapText="1"/>
    </xf>
    <xf numFmtId="0" fontId="11" fillId="0" borderId="26" xfId="4" applyNumberFormat="1" applyFont="1" applyBorder="1" applyAlignment="1">
      <alignment horizontal="center" vertical="top"/>
    </xf>
    <xf numFmtId="0" fontId="9" fillId="0" borderId="74" xfId="4" applyNumberFormat="1" applyFont="1" applyBorder="1" applyAlignment="1">
      <alignment horizontal="center" vertical="top" wrapText="1"/>
    </xf>
    <xf numFmtId="0" fontId="9" fillId="0" borderId="64" xfId="0" applyFont="1" applyBorder="1" applyAlignment="1">
      <alignment vertical="top" wrapText="1"/>
    </xf>
    <xf numFmtId="0" fontId="9" fillId="4" borderId="55" xfId="4" applyNumberFormat="1" applyFont="1" applyFill="1" applyBorder="1" applyAlignment="1">
      <alignment horizontal="center" vertical="top" wrapText="1"/>
    </xf>
    <xf numFmtId="0" fontId="11" fillId="4" borderId="53" xfId="4" applyNumberFormat="1" applyFont="1" applyFill="1" applyBorder="1" applyAlignment="1">
      <alignment horizontal="center" vertical="top"/>
    </xf>
    <xf numFmtId="0" fontId="11" fillId="10" borderId="71" xfId="0" applyFont="1" applyFill="1" applyBorder="1" applyAlignment="1">
      <alignment horizontal="center" vertical="top" wrapText="1"/>
    </xf>
    <xf numFmtId="0" fontId="11" fillId="10" borderId="43" xfId="0" applyFont="1" applyFill="1" applyBorder="1" applyAlignment="1">
      <alignment horizontal="center" vertical="top" wrapText="1"/>
    </xf>
    <xf numFmtId="0" fontId="11" fillId="10" borderId="14" xfId="0" applyFont="1" applyFill="1" applyBorder="1" applyAlignment="1">
      <alignment horizontal="center" vertical="top"/>
    </xf>
    <xf numFmtId="0" fontId="7" fillId="4" borderId="44" xfId="0" applyFont="1" applyFill="1" applyBorder="1" applyAlignment="1">
      <alignment vertical="top" wrapText="1"/>
    </xf>
    <xf numFmtId="0" fontId="11" fillId="4" borderId="44" xfId="4" applyNumberFormat="1" applyFont="1" applyFill="1" applyBorder="1" applyAlignment="1">
      <alignment horizontal="center" vertical="top"/>
    </xf>
    <xf numFmtId="0" fontId="7" fillId="4" borderId="19" xfId="0" applyFont="1" applyFill="1" applyBorder="1" applyAlignment="1">
      <alignment vertical="top" wrapText="1"/>
    </xf>
    <xf numFmtId="3" fontId="9" fillId="0" borderId="4" xfId="0" applyNumberFormat="1" applyFont="1" applyFill="1" applyBorder="1" applyAlignment="1">
      <alignment horizontal="center" vertical="top"/>
    </xf>
    <xf numFmtId="3" fontId="9" fillId="4" borderId="4" xfId="0" applyNumberFormat="1" applyFont="1" applyFill="1" applyBorder="1" applyAlignment="1">
      <alignment horizontal="center" vertical="top"/>
    </xf>
    <xf numFmtId="3" fontId="9" fillId="4" borderId="77" xfId="0" applyNumberFormat="1" applyFont="1" applyFill="1" applyBorder="1" applyAlignment="1">
      <alignment horizontal="center" vertical="top"/>
    </xf>
    <xf numFmtId="3" fontId="9" fillId="4" borderId="1" xfId="0" applyNumberFormat="1" applyFont="1" applyFill="1" applyBorder="1" applyAlignment="1">
      <alignment horizontal="center" vertical="top"/>
    </xf>
    <xf numFmtId="3" fontId="11" fillId="10" borderId="10" xfId="0" applyNumberFormat="1" applyFont="1" applyFill="1" applyBorder="1" applyAlignment="1">
      <alignment horizontal="center" vertical="top"/>
    </xf>
    <xf numFmtId="3" fontId="11" fillId="8" borderId="10" xfId="0" applyNumberFormat="1" applyFont="1" applyFill="1" applyBorder="1" applyAlignment="1">
      <alignment horizontal="center" vertical="top"/>
    </xf>
    <xf numFmtId="3" fontId="11" fillId="8" borderId="5" xfId="0" applyNumberFormat="1" applyFont="1" applyFill="1" applyBorder="1" applyAlignment="1">
      <alignment horizontal="center" vertical="top"/>
    </xf>
    <xf numFmtId="3" fontId="9" fillId="3" borderId="12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3" fontId="2" fillId="10" borderId="10" xfId="0" applyNumberFormat="1" applyFont="1" applyFill="1" applyBorder="1" applyAlignment="1">
      <alignment horizontal="center" vertical="top"/>
    </xf>
    <xf numFmtId="0" fontId="6" fillId="4" borderId="44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165" fontId="7" fillId="0" borderId="12" xfId="0" applyNumberFormat="1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top" wrapText="1"/>
    </xf>
    <xf numFmtId="3" fontId="9" fillId="0" borderId="26" xfId="0" applyNumberFormat="1" applyFont="1" applyBorder="1" applyAlignment="1">
      <alignment horizontal="center" vertical="top"/>
    </xf>
    <xf numFmtId="3" fontId="9" fillId="0" borderId="38" xfId="0" applyNumberFormat="1" applyFont="1" applyBorder="1" applyAlignment="1">
      <alignment horizontal="center" vertical="top"/>
    </xf>
    <xf numFmtId="3" fontId="11" fillId="9" borderId="24" xfId="0" applyNumberFormat="1" applyFont="1" applyFill="1" applyBorder="1" applyAlignment="1">
      <alignment horizontal="center" vertical="top"/>
    </xf>
    <xf numFmtId="3" fontId="11" fillId="7" borderId="24" xfId="0" applyNumberFormat="1" applyFont="1" applyFill="1" applyBorder="1" applyAlignment="1">
      <alignment horizontal="center" vertical="top"/>
    </xf>
    <xf numFmtId="3" fontId="9" fillId="4" borderId="35" xfId="0" applyNumberFormat="1" applyFont="1" applyFill="1" applyBorder="1" applyAlignment="1">
      <alignment horizontal="center" vertical="top"/>
    </xf>
    <xf numFmtId="3" fontId="11" fillId="8" borderId="63" xfId="0" applyNumberFormat="1" applyFont="1" applyFill="1" applyBorder="1" applyAlignment="1">
      <alignment horizontal="center" vertical="top"/>
    </xf>
    <xf numFmtId="3" fontId="11" fillId="2" borderId="24" xfId="0" applyNumberFormat="1" applyFont="1" applyFill="1" applyBorder="1" applyAlignment="1">
      <alignment horizontal="center" vertical="top"/>
    </xf>
    <xf numFmtId="3" fontId="3" fillId="4" borderId="26" xfId="0" applyNumberFormat="1" applyFont="1" applyFill="1" applyBorder="1" applyAlignment="1">
      <alignment horizontal="center" vertical="top"/>
    </xf>
    <xf numFmtId="3" fontId="3" fillId="4" borderId="34" xfId="0" applyNumberFormat="1" applyFont="1" applyFill="1" applyBorder="1" applyAlignment="1">
      <alignment horizontal="center" vertical="top"/>
    </xf>
    <xf numFmtId="3" fontId="11" fillId="8" borderId="29" xfId="0" applyNumberFormat="1" applyFont="1" applyFill="1" applyBorder="1" applyAlignment="1">
      <alignment horizontal="center" vertical="top"/>
    </xf>
    <xf numFmtId="3" fontId="2" fillId="8" borderId="63" xfId="0" applyNumberFormat="1" applyFont="1" applyFill="1" applyBorder="1" applyAlignment="1">
      <alignment horizontal="center" vertical="center"/>
    </xf>
    <xf numFmtId="3" fontId="2" fillId="8" borderId="29" xfId="0" applyNumberFormat="1" applyFont="1" applyFill="1" applyBorder="1" applyAlignment="1">
      <alignment horizontal="center" vertical="center"/>
    </xf>
    <xf numFmtId="3" fontId="27" fillId="0" borderId="4" xfId="0" applyNumberFormat="1" applyFont="1" applyBorder="1" applyAlignment="1">
      <alignment horizontal="center" vertical="top"/>
    </xf>
    <xf numFmtId="3" fontId="27" fillId="0" borderId="1" xfId="0" applyNumberFormat="1" applyFont="1" applyBorder="1" applyAlignment="1">
      <alignment horizontal="center" vertical="top"/>
    </xf>
    <xf numFmtId="3" fontId="27" fillId="4" borderId="4" xfId="0" applyNumberFormat="1" applyFont="1" applyFill="1" applyBorder="1" applyAlignment="1">
      <alignment horizontal="center" vertical="top"/>
    </xf>
    <xf numFmtId="3" fontId="27" fillId="0" borderId="1" xfId="0" applyNumberFormat="1" applyFont="1" applyFill="1" applyBorder="1" applyAlignment="1">
      <alignment horizontal="center" vertical="top"/>
    </xf>
    <xf numFmtId="3" fontId="9" fillId="0" borderId="2" xfId="0" applyNumberFormat="1" applyFont="1" applyFill="1" applyBorder="1" applyAlignment="1">
      <alignment horizontal="center" vertical="top"/>
    </xf>
    <xf numFmtId="3" fontId="11" fillId="10" borderId="5" xfId="0" applyNumberFormat="1" applyFont="1" applyFill="1" applyBorder="1" applyAlignment="1">
      <alignment horizontal="center" vertical="top"/>
    </xf>
    <xf numFmtId="3" fontId="11" fillId="2" borderId="10" xfId="0" applyNumberFormat="1" applyFont="1" applyFill="1" applyBorder="1" applyAlignment="1">
      <alignment horizontal="center" vertical="top"/>
    </xf>
    <xf numFmtId="3" fontId="11" fillId="10" borderId="56" xfId="0" applyNumberFormat="1" applyFont="1" applyFill="1" applyBorder="1" applyAlignment="1">
      <alignment horizontal="center" vertical="top"/>
    </xf>
    <xf numFmtId="3" fontId="11" fillId="7" borderId="15" xfId="0" applyNumberFormat="1" applyFont="1" applyFill="1" applyBorder="1" applyAlignment="1">
      <alignment horizontal="center" vertical="top" wrapText="1"/>
    </xf>
    <xf numFmtId="3" fontId="9" fillId="8" borderId="2" xfId="0" applyNumberFormat="1" applyFont="1" applyFill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3" fontId="11" fillId="7" borderId="4" xfId="0" applyNumberFormat="1" applyFont="1" applyFill="1" applyBorder="1" applyAlignment="1">
      <alignment horizontal="center" vertical="top" wrapText="1"/>
    </xf>
    <xf numFmtId="3" fontId="11" fillId="8" borderId="10" xfId="0" applyNumberFormat="1" applyFont="1" applyFill="1" applyBorder="1" applyAlignment="1">
      <alignment horizontal="center" vertical="top" wrapText="1"/>
    </xf>
    <xf numFmtId="3" fontId="7" fillId="4" borderId="2" xfId="0" applyNumberFormat="1" applyFont="1" applyFill="1" applyBorder="1" applyAlignment="1">
      <alignment horizontal="center" vertical="top"/>
    </xf>
    <xf numFmtId="3" fontId="7" fillId="4" borderId="56" xfId="0" applyNumberFormat="1" applyFont="1" applyFill="1" applyBorder="1" applyAlignment="1">
      <alignment horizontal="center" vertical="top"/>
    </xf>
    <xf numFmtId="0" fontId="9" fillId="0" borderId="103" xfId="0" applyFont="1" applyFill="1" applyBorder="1" applyAlignment="1">
      <alignment vertical="top" wrapText="1"/>
    </xf>
    <xf numFmtId="49" fontId="9" fillId="4" borderId="5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/>
    </xf>
    <xf numFmtId="0" fontId="7" fillId="4" borderId="65" xfId="0" applyFont="1" applyFill="1" applyBorder="1" applyAlignment="1">
      <alignment vertical="top" wrapText="1"/>
    </xf>
    <xf numFmtId="0" fontId="9" fillId="4" borderId="0" xfId="0" applyFont="1" applyFill="1" applyBorder="1" applyAlignment="1">
      <alignment horizontal="center" vertical="top" wrapText="1"/>
    </xf>
    <xf numFmtId="49" fontId="11" fillId="4" borderId="71" xfId="0" applyNumberFormat="1" applyFont="1" applyFill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 textRotation="90"/>
    </xf>
    <xf numFmtId="1" fontId="12" fillId="0" borderId="66" xfId="0" applyNumberFormat="1" applyFont="1" applyFill="1" applyBorder="1" applyAlignment="1">
      <alignment horizontal="center" vertical="top" textRotation="90" wrapText="1"/>
    </xf>
    <xf numFmtId="0" fontId="6" fillId="0" borderId="80" xfId="0" applyFont="1" applyFill="1" applyBorder="1" applyAlignment="1">
      <alignment horizontal="center" vertical="center" textRotation="90"/>
    </xf>
    <xf numFmtId="49" fontId="11" fillId="0" borderId="81" xfId="0" applyNumberFormat="1" applyFont="1" applyFill="1" applyBorder="1" applyAlignment="1">
      <alignment horizontal="center" vertical="top"/>
    </xf>
    <xf numFmtId="3" fontId="9" fillId="0" borderId="12" xfId="0" applyNumberFormat="1" applyFont="1" applyFill="1" applyBorder="1" applyAlignment="1">
      <alignment horizontal="center" vertical="top"/>
    </xf>
    <xf numFmtId="49" fontId="11" fillId="4" borderId="52" xfId="0" applyNumberFormat="1" applyFont="1" applyFill="1" applyBorder="1" applyAlignment="1">
      <alignment vertical="top"/>
    </xf>
    <xf numFmtId="0" fontId="7" fillId="0" borderId="50" xfId="0" applyFont="1" applyFill="1" applyBorder="1" applyAlignment="1">
      <alignment vertical="top" wrapText="1"/>
    </xf>
    <xf numFmtId="0" fontId="11" fillId="0" borderId="38" xfId="4" applyNumberFormat="1" applyFont="1" applyBorder="1" applyAlignment="1">
      <alignment horizontal="center" vertical="top"/>
    </xf>
    <xf numFmtId="49" fontId="10" fillId="4" borderId="51" xfId="0" applyNumberFormat="1" applyFont="1" applyFill="1" applyBorder="1" applyAlignment="1">
      <alignment vertical="center" textRotation="90"/>
    </xf>
    <xf numFmtId="49" fontId="10" fillId="0" borderId="26" xfId="0" applyNumberFormat="1" applyFont="1" applyBorder="1" applyAlignment="1">
      <alignment vertical="top" textRotation="90"/>
    </xf>
    <xf numFmtId="49" fontId="9" fillId="0" borderId="40" xfId="0" applyNumberFormat="1" applyFont="1" applyFill="1" applyBorder="1" applyAlignment="1">
      <alignment horizontal="center" vertical="top" textRotation="90"/>
    </xf>
    <xf numFmtId="0" fontId="6" fillId="4" borderId="38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6" fillId="4" borderId="3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3" fontId="9" fillId="0" borderId="6" xfId="0" applyNumberFormat="1" applyFont="1" applyFill="1" applyBorder="1" applyAlignment="1">
      <alignment horizontal="right" vertical="top"/>
    </xf>
    <xf numFmtId="0" fontId="11" fillId="0" borderId="26" xfId="0" applyFont="1" applyFill="1" applyBorder="1" applyAlignment="1">
      <alignment vertical="top" wrapText="1"/>
    </xf>
    <xf numFmtId="0" fontId="9" fillId="0" borderId="38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top"/>
    </xf>
    <xf numFmtId="0" fontId="9" fillId="0" borderId="79" xfId="0" applyFont="1" applyBorder="1" applyAlignment="1">
      <alignment vertical="top" wrapText="1"/>
    </xf>
    <xf numFmtId="49" fontId="11" fillId="4" borderId="46" xfId="0" applyNumberFormat="1" applyFont="1" applyFill="1" applyBorder="1" applyAlignment="1">
      <alignment horizontal="center" vertical="top"/>
    </xf>
    <xf numFmtId="0" fontId="26" fillId="0" borderId="51" xfId="0" applyFont="1" applyBorder="1" applyAlignment="1">
      <alignment vertical="center"/>
    </xf>
    <xf numFmtId="49" fontId="11" fillId="4" borderId="72" xfId="0" applyNumberFormat="1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/>
    </xf>
    <xf numFmtId="0" fontId="9" fillId="4" borderId="43" xfId="0" applyFont="1" applyFill="1" applyBorder="1" applyAlignment="1">
      <alignment horizontal="center" vertical="top"/>
    </xf>
    <xf numFmtId="0" fontId="9" fillId="0" borderId="102" xfId="0" applyFont="1" applyBorder="1" applyAlignment="1">
      <alignment vertical="top" wrapText="1"/>
    </xf>
    <xf numFmtId="3" fontId="9" fillId="0" borderId="0" xfId="0" applyNumberFormat="1" applyFont="1" applyAlignment="1">
      <alignment vertical="top"/>
    </xf>
    <xf numFmtId="165" fontId="27" fillId="4" borderId="4" xfId="0" applyNumberFormat="1" applyFont="1" applyFill="1" applyBorder="1" applyAlignment="1">
      <alignment horizontal="center" vertical="top"/>
    </xf>
    <xf numFmtId="0" fontId="25" fillId="4" borderId="32" xfId="0" applyNumberFormat="1" applyFont="1" applyFill="1" applyBorder="1" applyAlignment="1">
      <alignment horizontal="center" vertical="top"/>
    </xf>
    <xf numFmtId="0" fontId="9" fillId="4" borderId="38" xfId="0" applyFont="1" applyFill="1" applyBorder="1" applyAlignment="1">
      <alignment horizontal="left" vertical="top" wrapText="1"/>
    </xf>
    <xf numFmtId="3" fontId="7" fillId="8" borderId="15" xfId="0" applyNumberFormat="1" applyFont="1" applyFill="1" applyBorder="1" applyAlignment="1">
      <alignment horizontal="right" vertical="top"/>
    </xf>
    <xf numFmtId="0" fontId="9" fillId="0" borderId="91" xfId="0" applyNumberFormat="1" applyFont="1" applyBorder="1" applyAlignment="1">
      <alignment horizontal="center" vertical="top"/>
    </xf>
    <xf numFmtId="3" fontId="9" fillId="4" borderId="7" xfId="0" applyNumberFormat="1" applyFont="1" applyFill="1" applyBorder="1" applyAlignment="1">
      <alignment horizontal="right" vertical="top"/>
    </xf>
    <xf numFmtId="49" fontId="9" fillId="0" borderId="53" xfId="0" applyNumberFormat="1" applyFont="1" applyBorder="1" applyAlignment="1">
      <alignment horizontal="center" vertical="top"/>
    </xf>
    <xf numFmtId="3" fontId="9" fillId="0" borderId="8" xfId="0" applyNumberFormat="1" applyFont="1" applyFill="1" applyBorder="1" applyAlignment="1">
      <alignment horizontal="right" vertical="top"/>
    </xf>
    <xf numFmtId="3" fontId="9" fillId="0" borderId="7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vertical="top" wrapText="1"/>
    </xf>
    <xf numFmtId="0" fontId="3" fillId="4" borderId="75" xfId="0" applyFont="1" applyFill="1" applyBorder="1" applyAlignment="1">
      <alignment horizontal="left" vertical="top" wrapText="1"/>
    </xf>
    <xf numFmtId="0" fontId="9" fillId="0" borderId="103" xfId="0" applyFont="1" applyBorder="1" applyAlignment="1">
      <alignment vertical="top" wrapText="1"/>
    </xf>
    <xf numFmtId="49" fontId="9" fillId="4" borderId="19" xfId="0" applyNumberFormat="1" applyFont="1" applyFill="1" applyBorder="1" applyAlignment="1">
      <alignment horizontal="center" vertical="top"/>
    </xf>
    <xf numFmtId="0" fontId="9" fillId="4" borderId="65" xfId="0" applyFont="1" applyFill="1" applyBorder="1" applyAlignment="1">
      <alignment vertical="top" wrapText="1"/>
    </xf>
    <xf numFmtId="0" fontId="9" fillId="4" borderId="38" xfId="0" applyFont="1" applyFill="1" applyBorder="1" applyAlignment="1">
      <alignment vertical="top" wrapText="1"/>
    </xf>
    <xf numFmtId="49" fontId="11" fillId="9" borderId="28" xfId="0" applyNumberFormat="1" applyFont="1" applyFill="1" applyBorder="1" applyAlignment="1">
      <alignment horizontal="center" vertical="top"/>
    </xf>
    <xf numFmtId="49" fontId="11" fillId="9" borderId="21" xfId="0" applyNumberFormat="1" applyFont="1" applyFill="1" applyBorder="1" applyAlignment="1">
      <alignment horizontal="center" vertical="top"/>
    </xf>
    <xf numFmtId="49" fontId="11" fillId="2" borderId="44" xfId="0" applyNumberFormat="1" applyFont="1" applyFill="1" applyBorder="1" applyAlignment="1">
      <alignment horizontal="center" vertical="top"/>
    </xf>
    <xf numFmtId="49" fontId="11" fillId="2" borderId="31" xfId="0" applyNumberFormat="1" applyFont="1" applyFill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 vertical="top"/>
    </xf>
    <xf numFmtId="0" fontId="11" fillId="4" borderId="40" xfId="0" applyFont="1" applyFill="1" applyBorder="1" applyAlignment="1">
      <alignment horizontal="left" vertical="top" wrapText="1"/>
    </xf>
    <xf numFmtId="0" fontId="11" fillId="8" borderId="13" xfId="0" applyFont="1" applyFill="1" applyBorder="1" applyAlignment="1">
      <alignment horizontal="right" vertical="top" wrapText="1"/>
    </xf>
    <xf numFmtId="49" fontId="11" fillId="9" borderId="20" xfId="0" applyNumberFormat="1" applyFont="1" applyFill="1" applyBorder="1" applyAlignment="1">
      <alignment horizontal="center" vertical="top"/>
    </xf>
    <xf numFmtId="0" fontId="9" fillId="4" borderId="38" xfId="0" applyFont="1" applyFill="1" applyBorder="1" applyAlignment="1">
      <alignment horizontal="left" vertical="top" wrapText="1"/>
    </xf>
    <xf numFmtId="49" fontId="11" fillId="0" borderId="41" xfId="0" applyNumberFormat="1" applyFont="1" applyFill="1" applyBorder="1" applyAlignment="1">
      <alignment horizontal="center" vertical="top"/>
    </xf>
    <xf numFmtId="49" fontId="11" fillId="2" borderId="19" xfId="0" applyNumberFormat="1" applyFont="1" applyFill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49" fontId="11" fillId="4" borderId="0" xfId="0" applyNumberFormat="1" applyFont="1" applyFill="1" applyBorder="1" applyAlignment="1">
      <alignment horizontal="center" vertical="top"/>
    </xf>
    <xf numFmtId="3" fontId="9" fillId="4" borderId="12" xfId="0" applyNumberFormat="1" applyFont="1" applyFill="1" applyBorder="1" applyAlignment="1">
      <alignment horizontal="center" vertical="top"/>
    </xf>
    <xf numFmtId="49" fontId="9" fillId="0" borderId="115" xfId="0" applyNumberFormat="1" applyFont="1" applyFill="1" applyBorder="1" applyAlignment="1">
      <alignment horizontal="center" vertical="top"/>
    </xf>
    <xf numFmtId="3" fontId="9" fillId="0" borderId="114" xfId="0" applyNumberFormat="1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>
      <alignment horizontal="center" vertical="top"/>
    </xf>
    <xf numFmtId="0" fontId="9" fillId="0" borderId="28" xfId="0" applyFont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vertical="top"/>
    </xf>
    <xf numFmtId="3" fontId="9" fillId="4" borderId="2" xfId="0" applyNumberFormat="1" applyFont="1" applyFill="1" applyBorder="1" applyAlignment="1">
      <alignment horizontal="center" vertical="top" wrapText="1"/>
    </xf>
    <xf numFmtId="164" fontId="9" fillId="4" borderId="44" xfId="0" applyNumberFormat="1" applyFont="1" applyFill="1" applyBorder="1" applyAlignment="1">
      <alignment horizontal="center" vertical="center" wrapText="1"/>
    </xf>
    <xf numFmtId="164" fontId="9" fillId="4" borderId="53" xfId="0" applyNumberFormat="1" applyFont="1" applyFill="1" applyBorder="1" applyAlignment="1">
      <alignment horizontal="center" vertical="center" wrapText="1"/>
    </xf>
    <xf numFmtId="49" fontId="11" fillId="4" borderId="34" xfId="0" applyNumberFormat="1" applyFont="1" applyFill="1" applyBorder="1" applyAlignment="1">
      <alignment vertical="top"/>
    </xf>
    <xf numFmtId="0" fontId="7" fillId="4" borderId="34" xfId="0" applyFont="1" applyFill="1" applyBorder="1" applyAlignment="1">
      <alignment vertical="top" wrapText="1"/>
    </xf>
    <xf numFmtId="0" fontId="11" fillId="4" borderId="35" xfId="4" applyNumberFormat="1" applyFont="1" applyFill="1" applyBorder="1" applyAlignment="1">
      <alignment horizontal="center" vertical="top"/>
    </xf>
    <xf numFmtId="49" fontId="11" fillId="9" borderId="45" xfId="0" applyNumberFormat="1" applyFont="1" applyFill="1" applyBorder="1" applyAlignment="1">
      <alignment vertical="top"/>
    </xf>
    <xf numFmtId="49" fontId="11" fillId="2" borderId="72" xfId="0" applyNumberFormat="1" applyFont="1" applyFill="1" applyBorder="1" applyAlignment="1">
      <alignment vertical="top"/>
    </xf>
    <xf numFmtId="49" fontId="11" fillId="4" borderId="72" xfId="0" applyNumberFormat="1" applyFont="1" applyFill="1" applyBorder="1" applyAlignment="1">
      <alignment vertical="top"/>
    </xf>
    <xf numFmtId="0" fontId="7" fillId="4" borderId="52" xfId="0" applyFont="1" applyFill="1" applyBorder="1" applyAlignment="1">
      <alignment vertical="top" wrapText="1"/>
    </xf>
    <xf numFmtId="0" fontId="11" fillId="4" borderId="54" xfId="4" applyNumberFormat="1" applyFont="1" applyFill="1" applyBorder="1" applyAlignment="1">
      <alignment horizontal="center" vertical="top"/>
    </xf>
    <xf numFmtId="0" fontId="9" fillId="4" borderId="56" xfId="0" applyFont="1" applyFill="1" applyBorder="1" applyAlignment="1">
      <alignment horizontal="center" vertical="top"/>
    </xf>
    <xf numFmtId="3" fontId="9" fillId="8" borderId="72" xfId="0" applyNumberFormat="1" applyFont="1" applyFill="1" applyBorder="1" applyAlignment="1">
      <alignment horizontal="right" vertical="top"/>
    </xf>
    <xf numFmtId="3" fontId="9" fillId="0" borderId="43" xfId="0" applyNumberFormat="1" applyFont="1" applyFill="1" applyBorder="1" applyAlignment="1">
      <alignment horizontal="right" vertical="top"/>
    </xf>
    <xf numFmtId="3" fontId="9" fillId="0" borderId="56" xfId="0" applyNumberFormat="1" applyFont="1" applyBorder="1" applyAlignment="1">
      <alignment horizontal="right" vertical="top"/>
    </xf>
    <xf numFmtId="3" fontId="9" fillId="4" borderId="8" xfId="0" applyNumberFormat="1" applyFont="1" applyFill="1" applyBorder="1" applyAlignment="1">
      <alignment horizontal="right" vertical="top" wrapText="1"/>
    </xf>
    <xf numFmtId="3" fontId="9" fillId="4" borderId="56" xfId="0" applyNumberFormat="1" applyFont="1" applyFill="1" applyBorder="1" applyAlignment="1">
      <alignment horizontal="center" vertical="top"/>
    </xf>
    <xf numFmtId="3" fontId="9" fillId="4" borderId="109" xfId="0" applyNumberFormat="1" applyFont="1" applyFill="1" applyBorder="1" applyAlignment="1">
      <alignment horizontal="center" vertical="top"/>
    </xf>
    <xf numFmtId="3" fontId="9" fillId="4" borderId="2" xfId="0" applyNumberFormat="1" applyFont="1" applyFill="1" applyBorder="1" applyAlignment="1">
      <alignment horizontal="center" vertical="top"/>
    </xf>
    <xf numFmtId="3" fontId="9" fillId="4" borderId="105" xfId="0" applyNumberFormat="1" applyFont="1" applyFill="1" applyBorder="1" applyAlignment="1">
      <alignment horizontal="center" vertical="top"/>
    </xf>
    <xf numFmtId="3" fontId="9" fillId="4" borderId="86" xfId="0" applyNumberFormat="1" applyFont="1" applyFill="1" applyBorder="1" applyAlignment="1">
      <alignment horizontal="center" vertical="top" wrapText="1"/>
    </xf>
    <xf numFmtId="3" fontId="9" fillId="4" borderId="86" xfId="0" applyNumberFormat="1" applyFont="1" applyFill="1" applyBorder="1" applyAlignment="1">
      <alignment horizontal="center" vertical="top"/>
    </xf>
    <xf numFmtId="3" fontId="9" fillId="4" borderId="94" xfId="0" applyNumberFormat="1" applyFont="1" applyFill="1" applyBorder="1" applyAlignment="1">
      <alignment horizontal="center" vertical="top"/>
    </xf>
    <xf numFmtId="0" fontId="26" fillId="0" borderId="44" xfId="0" applyFont="1" applyBorder="1" applyAlignment="1">
      <alignment vertical="center"/>
    </xf>
    <xf numFmtId="0" fontId="11" fillId="4" borderId="34" xfId="4" applyNumberFormat="1" applyFont="1" applyFill="1" applyBorder="1" applyAlignment="1">
      <alignment horizontal="center" vertical="top"/>
    </xf>
    <xf numFmtId="0" fontId="26" fillId="4" borderId="44" xfId="0" applyFont="1" applyFill="1" applyBorder="1" applyAlignment="1">
      <alignment vertical="center"/>
    </xf>
    <xf numFmtId="0" fontId="26" fillId="4" borderId="19" xfId="0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top" textRotation="90" wrapText="1"/>
    </xf>
    <xf numFmtId="49" fontId="10" fillId="0" borderId="50" xfId="0" applyNumberFormat="1" applyFont="1" applyBorder="1" applyAlignment="1">
      <alignment horizontal="center" vertical="center" textRotation="90" wrapText="1"/>
    </xf>
    <xf numFmtId="49" fontId="10" fillId="0" borderId="50" xfId="0" applyNumberFormat="1" applyFont="1" applyBorder="1" applyAlignment="1">
      <alignment horizontal="center" vertical="top" textRotation="90" wrapText="1"/>
    </xf>
    <xf numFmtId="49" fontId="10" fillId="4" borderId="51" xfId="0" applyNumberFormat="1" applyFont="1" applyFill="1" applyBorder="1" applyAlignment="1">
      <alignment horizontal="center" vertical="center" textRotation="90" wrapText="1"/>
    </xf>
    <xf numFmtId="3" fontId="29" fillId="4" borderId="38" xfId="0" applyNumberFormat="1" applyFont="1" applyFill="1" applyBorder="1" applyAlignment="1">
      <alignment horizontal="center" vertical="top" textRotation="90" wrapText="1"/>
    </xf>
    <xf numFmtId="3" fontId="29" fillId="4" borderId="38" xfId="0" applyNumberFormat="1" applyFont="1" applyFill="1" applyBorder="1" applyAlignment="1">
      <alignment horizontal="center" vertical="top" textRotation="90"/>
    </xf>
    <xf numFmtId="49" fontId="10" fillId="0" borderId="38" xfId="0" applyNumberFormat="1" applyFont="1" applyBorder="1" applyAlignment="1">
      <alignment horizontal="center" vertical="center" textRotation="90" wrapText="1"/>
    </xf>
    <xf numFmtId="49" fontId="10" fillId="4" borderId="34" xfId="0" applyNumberFormat="1" applyFont="1" applyFill="1" applyBorder="1" applyAlignment="1">
      <alignment horizontal="center" vertical="top" textRotation="90" wrapText="1"/>
    </xf>
    <xf numFmtId="0" fontId="9" fillId="4" borderId="77" xfId="0" applyFont="1" applyFill="1" applyBorder="1" applyAlignment="1">
      <alignment horizontal="center" vertical="top"/>
    </xf>
    <xf numFmtId="0" fontId="9" fillId="4" borderId="33" xfId="0" applyFont="1" applyFill="1" applyBorder="1" applyAlignment="1">
      <alignment horizontal="left" vertical="top" wrapText="1"/>
    </xf>
    <xf numFmtId="0" fontId="9" fillId="4" borderId="34" xfId="0" applyFont="1" applyFill="1" applyBorder="1" applyAlignment="1">
      <alignment vertical="top" wrapText="1"/>
    </xf>
    <xf numFmtId="0" fontId="9" fillId="4" borderId="51" xfId="0" applyFont="1" applyFill="1" applyBorder="1" applyAlignment="1">
      <alignment vertical="top" wrapText="1"/>
    </xf>
    <xf numFmtId="0" fontId="9" fillId="4" borderId="16" xfId="0" applyFont="1" applyFill="1" applyBorder="1" applyAlignment="1">
      <alignment vertical="top" wrapText="1"/>
    </xf>
    <xf numFmtId="49" fontId="11" fillId="9" borderId="28" xfId="0" applyNumberFormat="1" applyFont="1" applyFill="1" applyBorder="1" applyAlignment="1">
      <alignment horizontal="center" vertical="top"/>
    </xf>
    <xf numFmtId="49" fontId="11" fillId="9" borderId="21" xfId="0" applyNumberFormat="1" applyFont="1" applyFill="1" applyBorder="1" applyAlignment="1">
      <alignment horizontal="center" vertical="top"/>
    </xf>
    <xf numFmtId="49" fontId="11" fillId="2" borderId="44" xfId="0" applyNumberFormat="1" applyFont="1" applyFill="1" applyBorder="1" applyAlignment="1">
      <alignment horizontal="center" vertical="top"/>
    </xf>
    <xf numFmtId="49" fontId="11" fillId="2" borderId="31" xfId="0" applyNumberFormat="1" applyFont="1" applyFill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 vertical="top"/>
    </xf>
    <xf numFmtId="0" fontId="11" fillId="4" borderId="44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49" fontId="11" fillId="0" borderId="38" xfId="0" applyNumberFormat="1" applyFont="1" applyBorder="1" applyAlignment="1">
      <alignment horizontal="center" vertical="top"/>
    </xf>
    <xf numFmtId="0" fontId="11" fillId="8" borderId="13" xfId="0" applyFont="1" applyFill="1" applyBorder="1" applyAlignment="1">
      <alignment horizontal="right" vertical="top" wrapText="1"/>
    </xf>
    <xf numFmtId="0" fontId="7" fillId="0" borderId="34" xfId="0" applyFont="1" applyFill="1" applyBorder="1" applyAlignment="1">
      <alignment horizontal="center" vertical="center" textRotation="90" wrapText="1"/>
    </xf>
    <xf numFmtId="49" fontId="11" fillId="0" borderId="34" xfId="0" applyNumberFormat="1" applyFont="1" applyBorder="1" applyAlignment="1">
      <alignment horizontal="center" vertical="top"/>
    </xf>
    <xf numFmtId="49" fontId="11" fillId="9" borderId="20" xfId="0" applyNumberFormat="1" applyFont="1" applyFill="1" applyBorder="1" applyAlignment="1">
      <alignment horizontal="center" vertical="top"/>
    </xf>
    <xf numFmtId="49" fontId="11" fillId="2" borderId="40" xfId="0" applyNumberFormat="1" applyFont="1" applyFill="1" applyBorder="1" applyAlignment="1">
      <alignment horizontal="center" vertical="top"/>
    </xf>
    <xf numFmtId="0" fontId="11" fillId="4" borderId="19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center" vertical="center" textRotation="90" wrapText="1"/>
    </xf>
    <xf numFmtId="49" fontId="11" fillId="4" borderId="38" xfId="0" applyNumberFormat="1" applyFont="1" applyFill="1" applyBorder="1" applyAlignment="1">
      <alignment horizontal="center" vertical="top"/>
    </xf>
    <xf numFmtId="0" fontId="7" fillId="0" borderId="46" xfId="0" applyFont="1" applyFill="1" applyBorder="1" applyAlignment="1">
      <alignment horizontal="center" vertical="top" wrapText="1"/>
    </xf>
    <xf numFmtId="0" fontId="11" fillId="4" borderId="40" xfId="0" applyFont="1" applyFill="1" applyBorder="1" applyAlignment="1">
      <alignment vertical="top" wrapText="1"/>
    </xf>
    <xf numFmtId="0" fontId="9" fillId="4" borderId="38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vertical="top" wrapText="1"/>
    </xf>
    <xf numFmtId="0" fontId="9" fillId="4" borderId="34" xfId="0" applyFont="1" applyFill="1" applyBorder="1" applyAlignment="1">
      <alignment horizontal="left" vertical="top" wrapText="1"/>
    </xf>
    <xf numFmtId="49" fontId="11" fillId="4" borderId="44" xfId="0" applyNumberFormat="1" applyFont="1" applyFill="1" applyBorder="1" applyAlignment="1">
      <alignment horizontal="center" vertical="top"/>
    </xf>
    <xf numFmtId="0" fontId="9" fillId="4" borderId="41" xfId="0" applyNumberFormat="1" applyFont="1" applyFill="1" applyBorder="1" applyAlignment="1">
      <alignment horizontal="center" vertical="top"/>
    </xf>
    <xf numFmtId="0" fontId="9" fillId="4" borderId="32" xfId="0" applyNumberFormat="1" applyFont="1" applyFill="1" applyBorder="1" applyAlignment="1">
      <alignment horizontal="center" vertical="top"/>
    </xf>
    <xf numFmtId="49" fontId="11" fillId="2" borderId="19" xfId="0" applyNumberFormat="1" applyFont="1" applyFill="1" applyBorder="1" applyAlignment="1">
      <alignment horizontal="center" vertical="top"/>
    </xf>
    <xf numFmtId="0" fontId="9" fillId="4" borderId="44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vertical="top" wrapText="1"/>
    </xf>
    <xf numFmtId="0" fontId="11" fillId="4" borderId="16" xfId="0" applyFont="1" applyFill="1" applyBorder="1" applyAlignment="1">
      <alignment horizontal="left" vertical="top" wrapText="1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9" fillId="0" borderId="46" xfId="0" applyFont="1" applyBorder="1" applyAlignment="1">
      <alignment horizontal="left" vertical="top" wrapText="1"/>
    </xf>
    <xf numFmtId="49" fontId="9" fillId="0" borderId="41" xfId="0" applyNumberFormat="1" applyFont="1" applyBorder="1" applyAlignment="1">
      <alignment horizontal="center" vertical="top" wrapText="1"/>
    </xf>
    <xf numFmtId="0" fontId="5" fillId="0" borderId="32" xfId="0" applyNumberFormat="1" applyFont="1" applyBorder="1" applyAlignment="1">
      <alignment horizontal="center" vertical="top"/>
    </xf>
    <xf numFmtId="49" fontId="11" fillId="0" borderId="22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49" fontId="11" fillId="10" borderId="17" xfId="0" applyNumberFormat="1" applyFont="1" applyFill="1" applyBorder="1" applyAlignment="1">
      <alignment horizontal="center" vertical="top"/>
    </xf>
    <xf numFmtId="49" fontId="11" fillId="10" borderId="19" xfId="0" applyNumberFormat="1" applyFont="1" applyFill="1" applyBorder="1" applyAlignment="1">
      <alignment horizontal="center" vertical="top"/>
    </xf>
    <xf numFmtId="0" fontId="9" fillId="10" borderId="18" xfId="0" applyFont="1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0" fontId="9" fillId="4" borderId="44" xfId="0" applyFont="1" applyFill="1" applyBorder="1" applyAlignment="1">
      <alignment vertical="top" wrapText="1"/>
    </xf>
    <xf numFmtId="49" fontId="11" fillId="4" borderId="0" xfId="0" applyNumberFormat="1" applyFont="1" applyFill="1" applyBorder="1" applyAlignment="1">
      <alignment horizontal="center" vertical="top"/>
    </xf>
    <xf numFmtId="49" fontId="11" fillId="4" borderId="66" xfId="0" applyNumberFormat="1" applyFont="1" applyFill="1" applyBorder="1" applyAlignment="1">
      <alignment horizontal="center" vertical="top"/>
    </xf>
    <xf numFmtId="0" fontId="9" fillId="4" borderId="50" xfId="0" applyFont="1" applyFill="1" applyBorder="1" applyAlignment="1">
      <alignment horizontal="left" vertical="top" wrapText="1"/>
    </xf>
    <xf numFmtId="49" fontId="11" fillId="0" borderId="17" xfId="0" applyNumberFormat="1" applyFont="1" applyFill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49" fontId="11" fillId="0" borderId="51" xfId="0" applyNumberFormat="1" applyFont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 wrapText="1"/>
    </xf>
    <xf numFmtId="49" fontId="11" fillId="0" borderId="52" xfId="0" applyNumberFormat="1" applyFont="1" applyBorder="1" applyAlignment="1">
      <alignment horizontal="center" vertical="top"/>
    </xf>
    <xf numFmtId="0" fontId="0" fillId="0" borderId="32" xfId="0" applyBorder="1" applyAlignment="1">
      <alignment horizontal="center" vertical="top" wrapText="1"/>
    </xf>
    <xf numFmtId="49" fontId="11" fillId="0" borderId="71" xfId="0" applyNumberFormat="1" applyFont="1" applyBorder="1" applyAlignment="1">
      <alignment horizontal="center" vertical="top"/>
    </xf>
    <xf numFmtId="0" fontId="0" fillId="0" borderId="53" xfId="0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9" fillId="4" borderId="53" xfId="4" applyNumberFormat="1" applyFont="1" applyFill="1" applyBorder="1" applyAlignment="1">
      <alignment horizontal="center" vertical="top" wrapText="1"/>
    </xf>
    <xf numFmtId="0" fontId="9" fillId="4" borderId="46" xfId="0" applyFont="1" applyFill="1" applyBorder="1" applyAlignment="1">
      <alignment horizontal="left" vertical="top" wrapText="1"/>
    </xf>
    <xf numFmtId="49" fontId="10" fillId="0" borderId="44" xfId="0" applyNumberFormat="1" applyFont="1" applyBorder="1" applyAlignment="1">
      <alignment horizontal="center" vertical="top" textRotation="90"/>
    </xf>
    <xf numFmtId="0" fontId="9" fillId="0" borderId="76" xfId="0" applyFont="1" applyBorder="1" applyAlignment="1">
      <alignment vertical="top" wrapText="1"/>
    </xf>
    <xf numFmtId="0" fontId="0" fillId="0" borderId="65" xfId="0" applyBorder="1" applyAlignment="1">
      <alignment horizontal="left" vertical="top" wrapText="1"/>
    </xf>
    <xf numFmtId="49" fontId="9" fillId="0" borderId="52" xfId="0" applyNumberFormat="1" applyFont="1" applyBorder="1" applyAlignment="1">
      <alignment horizontal="center" vertical="top" wrapText="1"/>
    </xf>
    <xf numFmtId="49" fontId="11" fillId="0" borderId="66" xfId="0" applyNumberFormat="1" applyFont="1" applyBorder="1" applyAlignment="1">
      <alignment horizontal="center" vertical="top"/>
    </xf>
    <xf numFmtId="49" fontId="11" fillId="10" borderId="44" xfId="0" applyNumberFormat="1" applyFont="1" applyFill="1" applyBorder="1" applyAlignment="1">
      <alignment horizontal="center" vertical="top"/>
    </xf>
    <xf numFmtId="0" fontId="9" fillId="0" borderId="65" xfId="0" applyFont="1" applyBorder="1" applyAlignment="1">
      <alignment vertical="top" wrapText="1"/>
    </xf>
    <xf numFmtId="49" fontId="11" fillId="9" borderId="28" xfId="0" applyNumberFormat="1" applyFont="1" applyFill="1" applyBorder="1" applyAlignment="1">
      <alignment horizontal="center" vertical="top"/>
    </xf>
    <xf numFmtId="49" fontId="11" fillId="4" borderId="44" xfId="0" applyNumberFormat="1" applyFont="1" applyFill="1" applyBorder="1" applyAlignment="1">
      <alignment horizontal="center" vertical="top"/>
    </xf>
    <xf numFmtId="49" fontId="11" fillId="2" borderId="44" xfId="0" applyNumberFormat="1" applyFont="1" applyFill="1" applyBorder="1" applyAlignment="1">
      <alignment horizontal="center" vertical="top"/>
    </xf>
    <xf numFmtId="0" fontId="0" fillId="0" borderId="44" xfId="0" applyBorder="1" applyAlignment="1">
      <alignment horizontal="center" vertical="center" textRotation="90" wrapText="1"/>
    </xf>
    <xf numFmtId="49" fontId="11" fillId="10" borderId="19" xfId="0" applyNumberFormat="1" applyFont="1" applyFill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center" vertical="top"/>
    </xf>
    <xf numFmtId="164" fontId="9" fillId="4" borderId="53" xfId="0" applyNumberFormat="1" applyFont="1" applyFill="1" applyBorder="1" applyAlignment="1">
      <alignment horizontal="center" vertical="center" textRotation="90"/>
    </xf>
    <xf numFmtId="0" fontId="9" fillId="0" borderId="107" xfId="0" applyNumberFormat="1" applyFont="1" applyBorder="1" applyAlignment="1">
      <alignment horizontal="center" vertical="top"/>
    </xf>
    <xf numFmtId="0" fontId="9" fillId="0" borderId="89" xfId="0" applyFont="1" applyFill="1" applyBorder="1" applyAlignment="1">
      <alignment horizontal="center" vertical="center" wrapText="1"/>
    </xf>
    <xf numFmtId="0" fontId="5" fillId="3" borderId="82" xfId="0" applyFont="1" applyFill="1" applyBorder="1" applyAlignment="1">
      <alignment horizontal="center" vertical="top"/>
    </xf>
    <xf numFmtId="0" fontId="5" fillId="3" borderId="53" xfId="0" applyFont="1" applyFill="1" applyBorder="1" applyAlignment="1">
      <alignment horizontal="center" vertical="top"/>
    </xf>
    <xf numFmtId="0" fontId="5" fillId="3" borderId="96" xfId="0" applyFont="1" applyFill="1" applyBorder="1" applyAlignment="1">
      <alignment horizontal="center" vertical="top"/>
    </xf>
    <xf numFmtId="0" fontId="9" fillId="4" borderId="82" xfId="0" applyNumberFormat="1" applyFont="1" applyFill="1" applyBorder="1" applyAlignment="1">
      <alignment horizontal="center" vertical="top"/>
    </xf>
    <xf numFmtId="0" fontId="9" fillId="4" borderId="54" xfId="0" applyFont="1" applyFill="1" applyBorder="1" applyAlignment="1">
      <alignment vertical="center" textRotation="90"/>
    </xf>
    <xf numFmtId="0" fontId="9" fillId="4" borderId="35" xfId="0" applyFont="1" applyFill="1" applyBorder="1" applyAlignment="1">
      <alignment vertical="center" textRotation="90"/>
    </xf>
    <xf numFmtId="49" fontId="9" fillId="4" borderId="35" xfId="0" applyNumberFormat="1" applyFont="1" applyFill="1" applyBorder="1" applyAlignment="1">
      <alignment horizontal="center" vertical="top"/>
    </xf>
    <xf numFmtId="0" fontId="12" fillId="10" borderId="62" xfId="0" applyNumberFormat="1" applyFont="1" applyFill="1" applyBorder="1" applyAlignment="1">
      <alignment horizontal="center" vertical="top"/>
    </xf>
    <xf numFmtId="0" fontId="9" fillId="4" borderId="54" xfId="0" applyFont="1" applyFill="1" applyBorder="1" applyAlignment="1">
      <alignment horizontal="center" vertical="top"/>
    </xf>
    <xf numFmtId="0" fontId="9" fillId="4" borderId="35" xfId="0" applyFont="1" applyFill="1" applyBorder="1" applyAlignment="1">
      <alignment horizontal="center" vertical="top"/>
    </xf>
    <xf numFmtId="0" fontId="5" fillId="4" borderId="35" xfId="0" applyFont="1" applyFill="1" applyBorder="1" applyAlignment="1">
      <alignment horizontal="center" vertical="top" wrapText="1"/>
    </xf>
    <xf numFmtId="49" fontId="5" fillId="4" borderId="54" xfId="0" applyNumberFormat="1" applyFont="1" applyFill="1" applyBorder="1" applyAlignment="1">
      <alignment horizontal="center" vertical="top" wrapText="1"/>
    </xf>
    <xf numFmtId="0" fontId="5" fillId="4" borderId="32" xfId="0" applyFont="1" applyFill="1" applyBorder="1" applyAlignment="1">
      <alignment horizontal="center" vertical="top" wrapText="1"/>
    </xf>
    <xf numFmtId="0" fontId="5" fillId="4" borderId="41" xfId="0" applyFont="1" applyFill="1" applyBorder="1" applyAlignment="1">
      <alignment horizontal="center" vertical="top" wrapText="1"/>
    </xf>
    <xf numFmtId="0" fontId="5" fillId="4" borderId="53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 wrapText="1"/>
    </xf>
    <xf numFmtId="0" fontId="9" fillId="0" borderId="53" xfId="0" applyFont="1" applyBorder="1" applyAlignment="1">
      <alignment vertical="top"/>
    </xf>
    <xf numFmtId="0" fontId="9" fillId="4" borderId="27" xfId="0" applyFont="1" applyFill="1" applyBorder="1" applyAlignment="1">
      <alignment horizontal="center" vertical="top"/>
    </xf>
    <xf numFmtId="0" fontId="9" fillId="4" borderId="61" xfId="0" applyFont="1" applyFill="1" applyBorder="1" applyAlignment="1">
      <alignment horizontal="center" vertical="top"/>
    </xf>
    <xf numFmtId="0" fontId="9" fillId="4" borderId="61" xfId="0" applyFont="1" applyFill="1" applyBorder="1" applyAlignment="1">
      <alignment horizontal="center" vertical="top" wrapText="1"/>
    </xf>
    <xf numFmtId="0" fontId="9" fillId="4" borderId="54" xfId="0" applyFont="1" applyFill="1" applyBorder="1" applyAlignment="1">
      <alignment horizontal="center" vertical="top" wrapText="1"/>
    </xf>
    <xf numFmtId="49" fontId="10" fillId="0" borderId="51" xfId="0" applyNumberFormat="1" applyFont="1" applyBorder="1" applyAlignment="1">
      <alignment horizontal="center" vertical="center" textRotation="90"/>
    </xf>
    <xf numFmtId="49" fontId="10" fillId="0" borderId="81" xfId="0" applyNumberFormat="1" applyFont="1" applyBorder="1" applyAlignment="1">
      <alignment horizontal="center" vertical="center" textRotation="90"/>
    </xf>
    <xf numFmtId="0" fontId="9" fillId="4" borderId="0" xfId="4" applyNumberFormat="1" applyFont="1" applyFill="1" applyBorder="1" applyAlignment="1">
      <alignment horizontal="center" vertical="top" wrapText="1"/>
    </xf>
    <xf numFmtId="0" fontId="26" fillId="4" borderId="34" xfId="0" applyFont="1" applyFill="1" applyBorder="1" applyAlignment="1">
      <alignment vertical="center"/>
    </xf>
    <xf numFmtId="49" fontId="11" fillId="4" borderId="58" xfId="0" applyNumberFormat="1" applyFont="1" applyFill="1" applyBorder="1" applyAlignment="1">
      <alignment vertical="top"/>
    </xf>
    <xf numFmtId="0" fontId="9" fillId="4" borderId="50" xfId="0" applyFont="1" applyFill="1" applyBorder="1" applyAlignment="1">
      <alignment vertical="top" wrapText="1"/>
    </xf>
    <xf numFmtId="0" fontId="26" fillId="4" borderId="16" xfId="0" applyFont="1" applyFill="1" applyBorder="1" applyAlignment="1">
      <alignment vertical="center"/>
    </xf>
    <xf numFmtId="0" fontId="11" fillId="4" borderId="16" xfId="4" applyNumberFormat="1" applyFont="1" applyFill="1" applyBorder="1" applyAlignment="1">
      <alignment horizontal="center" vertical="top"/>
    </xf>
    <xf numFmtId="0" fontId="9" fillId="4" borderId="53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7" fillId="0" borderId="51" xfId="0" applyFont="1" applyFill="1" applyBorder="1" applyAlignment="1">
      <alignment vertical="top" wrapText="1"/>
    </xf>
    <xf numFmtId="49" fontId="10" fillId="0" borderId="51" xfId="0" applyNumberFormat="1" applyFont="1" applyBorder="1" applyAlignment="1">
      <alignment horizontal="center" vertical="top" textRotation="90" wrapText="1"/>
    </xf>
    <xf numFmtId="0" fontId="11" fillId="0" borderId="34" xfId="4" applyNumberFormat="1" applyFont="1" applyBorder="1" applyAlignment="1">
      <alignment horizontal="center" vertical="top"/>
    </xf>
    <xf numFmtId="0" fontId="7" fillId="4" borderId="51" xfId="0" applyFont="1" applyFill="1" applyBorder="1" applyAlignment="1">
      <alignment vertical="top" wrapText="1"/>
    </xf>
    <xf numFmtId="0" fontId="9" fillId="4" borderId="35" xfId="4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9" fillId="4" borderId="87" xfId="0" applyFont="1" applyFill="1" applyBorder="1" applyAlignment="1">
      <alignment horizontal="center" vertical="top"/>
    </xf>
    <xf numFmtId="3" fontId="9" fillId="0" borderId="56" xfId="0" applyNumberFormat="1" applyFont="1" applyFill="1" applyBorder="1" applyAlignment="1">
      <alignment horizontal="center" vertical="top"/>
    </xf>
    <xf numFmtId="3" fontId="9" fillId="0" borderId="4" xfId="0" applyNumberFormat="1" applyFont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3" fontId="3" fillId="4" borderId="51" xfId="0" applyNumberFormat="1" applyFont="1" applyFill="1" applyBorder="1" applyAlignment="1">
      <alignment horizontal="center" vertical="top"/>
    </xf>
    <xf numFmtId="3" fontId="2" fillId="8" borderId="48" xfId="0" applyNumberFormat="1" applyFont="1" applyFill="1" applyBorder="1" applyAlignment="1">
      <alignment horizontal="center" vertical="center"/>
    </xf>
    <xf numFmtId="3" fontId="9" fillId="0" borderId="49" xfId="0" applyNumberFormat="1" applyFont="1" applyBorder="1" applyAlignment="1">
      <alignment horizontal="center" vertical="top"/>
    </xf>
    <xf numFmtId="3" fontId="9" fillId="0" borderId="50" xfId="0" applyNumberFormat="1" applyFont="1" applyBorder="1" applyAlignment="1">
      <alignment horizontal="center" vertical="top"/>
    </xf>
    <xf numFmtId="3" fontId="2" fillId="8" borderId="116" xfId="0" applyNumberFormat="1" applyFont="1" applyFill="1" applyBorder="1" applyAlignment="1">
      <alignment horizontal="center" vertical="center"/>
    </xf>
    <xf numFmtId="3" fontId="11" fillId="8" borderId="48" xfId="0" applyNumberFormat="1" applyFont="1" applyFill="1" applyBorder="1" applyAlignment="1">
      <alignment horizontal="center" vertical="top"/>
    </xf>
    <xf numFmtId="3" fontId="11" fillId="2" borderId="9" xfId="0" applyNumberFormat="1" applyFont="1" applyFill="1" applyBorder="1" applyAlignment="1">
      <alignment horizontal="center" vertical="top"/>
    </xf>
    <xf numFmtId="3" fontId="3" fillId="4" borderId="1" xfId="0" applyNumberFormat="1" applyFont="1" applyFill="1" applyBorder="1" applyAlignment="1">
      <alignment horizontal="center" vertical="top"/>
    </xf>
    <xf numFmtId="3" fontId="2" fillId="8" borderId="5" xfId="0" applyNumberFormat="1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top"/>
    </xf>
    <xf numFmtId="3" fontId="9" fillId="0" borderId="2" xfId="0" applyNumberFormat="1" applyFont="1" applyBorder="1" applyAlignment="1">
      <alignment horizontal="center" vertical="top"/>
    </xf>
    <xf numFmtId="3" fontId="11" fillId="2" borderId="3" xfId="0" applyNumberFormat="1" applyFont="1" applyFill="1" applyBorder="1" applyAlignment="1">
      <alignment horizontal="center" vertical="top"/>
    </xf>
    <xf numFmtId="3" fontId="3" fillId="4" borderId="49" xfId="0" applyNumberFormat="1" applyFont="1" applyFill="1" applyBorder="1" applyAlignment="1">
      <alignment horizontal="center" vertical="top"/>
    </xf>
    <xf numFmtId="3" fontId="11" fillId="8" borderId="116" xfId="0" applyNumberFormat="1" applyFont="1" applyFill="1" applyBorder="1" applyAlignment="1">
      <alignment horizontal="center" vertical="top"/>
    </xf>
    <xf numFmtId="3" fontId="3" fillId="4" borderId="12" xfId="0" applyNumberFormat="1" applyFont="1" applyFill="1" applyBorder="1" applyAlignment="1">
      <alignment horizontal="center" vertical="top"/>
    </xf>
    <xf numFmtId="3" fontId="11" fillId="9" borderId="9" xfId="0" applyNumberFormat="1" applyFont="1" applyFill="1" applyBorder="1" applyAlignment="1">
      <alignment horizontal="center" vertical="top"/>
    </xf>
    <xf numFmtId="3" fontId="11" fillId="7" borderId="9" xfId="0" applyNumberFormat="1" applyFont="1" applyFill="1" applyBorder="1" applyAlignment="1">
      <alignment horizontal="center" vertical="top"/>
    </xf>
    <xf numFmtId="3" fontId="11" fillId="9" borderId="3" xfId="0" applyNumberFormat="1" applyFont="1" applyFill="1" applyBorder="1" applyAlignment="1">
      <alignment horizontal="center" vertical="top"/>
    </xf>
    <xf numFmtId="3" fontId="11" fillId="7" borderId="3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 horizontal="center" vertical="top"/>
    </xf>
    <xf numFmtId="164" fontId="25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NumberFormat="1" applyFont="1" applyFill="1" applyAlignment="1">
      <alignment horizontal="center" vertical="top"/>
    </xf>
    <xf numFmtId="164" fontId="10" fillId="0" borderId="0" xfId="0" applyNumberFormat="1" applyFont="1" applyFill="1" applyAlignment="1">
      <alignment vertical="top"/>
    </xf>
    <xf numFmtId="3" fontId="10" fillId="0" borderId="22" xfId="0" applyNumberFormat="1" applyFont="1" applyFill="1" applyBorder="1" applyAlignment="1">
      <alignment vertical="top"/>
    </xf>
    <xf numFmtId="0" fontId="9" fillId="0" borderId="35" xfId="4" applyNumberFormat="1" applyFont="1" applyBorder="1" applyAlignment="1">
      <alignment horizontal="center" vertical="top" wrapText="1"/>
    </xf>
    <xf numFmtId="165" fontId="7" fillId="0" borderId="15" xfId="0" applyNumberFormat="1" applyFont="1" applyFill="1" applyBorder="1" applyAlignment="1">
      <alignment horizontal="center" vertical="top"/>
    </xf>
    <xf numFmtId="0" fontId="9" fillId="4" borderId="20" xfId="0" applyFont="1" applyFill="1" applyBorder="1" applyAlignment="1">
      <alignment horizontal="left" vertical="top" wrapText="1"/>
    </xf>
    <xf numFmtId="0" fontId="9" fillId="4" borderId="41" xfId="0" applyFont="1" applyFill="1" applyBorder="1" applyAlignment="1">
      <alignment horizontal="center" vertical="top"/>
    </xf>
    <xf numFmtId="49" fontId="11" fillId="4" borderId="16" xfId="0" applyNumberFormat="1" applyFont="1" applyFill="1" applyBorder="1" applyAlignment="1">
      <alignment horizontal="center" vertical="top" wrapText="1"/>
    </xf>
    <xf numFmtId="49" fontId="11" fillId="4" borderId="38" xfId="0" applyNumberFormat="1" applyFont="1" applyFill="1" applyBorder="1" applyAlignment="1">
      <alignment horizontal="center" vertical="top" wrapText="1"/>
    </xf>
    <xf numFmtId="0" fontId="0" fillId="4" borderId="44" xfId="0" applyFill="1" applyBorder="1" applyAlignment="1">
      <alignment vertical="center"/>
    </xf>
    <xf numFmtId="49" fontId="7" fillId="4" borderId="26" xfId="0" applyNumberFormat="1" applyFont="1" applyFill="1" applyBorder="1" applyAlignment="1">
      <alignment vertical="center" textRotation="90"/>
    </xf>
    <xf numFmtId="49" fontId="11" fillId="10" borderId="34" xfId="0" applyNumberFormat="1" applyFont="1" applyFill="1" applyBorder="1" applyAlignment="1">
      <alignment vertical="top"/>
    </xf>
    <xf numFmtId="0" fontId="9" fillId="0" borderId="66" xfId="0" applyFont="1" applyBorder="1" applyAlignment="1">
      <alignment vertical="top"/>
    </xf>
    <xf numFmtId="49" fontId="11" fillId="2" borderId="44" xfId="0" applyNumberFormat="1" applyFont="1" applyFill="1" applyBorder="1" applyAlignment="1">
      <alignment horizontal="center" vertical="top"/>
    </xf>
    <xf numFmtId="0" fontId="9" fillId="4" borderId="72" xfId="0" applyFont="1" applyFill="1" applyBorder="1" applyAlignment="1">
      <alignment horizontal="left" vertical="top" wrapText="1"/>
    </xf>
    <xf numFmtId="49" fontId="11" fillId="2" borderId="51" xfId="0" applyNumberFormat="1" applyFont="1" applyFill="1" applyBorder="1" applyAlignment="1">
      <alignment horizontal="center" vertical="top"/>
    </xf>
    <xf numFmtId="49" fontId="11" fillId="10" borderId="34" xfId="0" applyNumberFormat="1" applyFont="1" applyFill="1" applyBorder="1" applyAlignment="1">
      <alignment horizontal="center" vertical="top"/>
    </xf>
    <xf numFmtId="49" fontId="11" fillId="10" borderId="19" xfId="0" applyNumberFormat="1" applyFont="1" applyFill="1" applyBorder="1" applyAlignment="1">
      <alignment horizontal="center" vertical="top"/>
    </xf>
    <xf numFmtId="49" fontId="11" fillId="4" borderId="16" xfId="0" applyNumberFormat="1" applyFont="1" applyFill="1" applyBorder="1" applyAlignment="1">
      <alignment horizontal="center" vertical="top"/>
    </xf>
    <xf numFmtId="0" fontId="7" fillId="0" borderId="66" xfId="0" applyFont="1" applyFill="1" applyBorder="1" applyAlignment="1">
      <alignment horizontal="center" vertical="top" wrapText="1"/>
    </xf>
    <xf numFmtId="49" fontId="11" fillId="0" borderId="66" xfId="0" applyNumberFormat="1" applyFont="1" applyBorder="1" applyAlignment="1">
      <alignment horizontal="center" vertical="top"/>
    </xf>
    <xf numFmtId="0" fontId="9" fillId="4" borderId="46" xfId="0" applyFont="1" applyFill="1" applyBorder="1" applyAlignment="1">
      <alignment horizontal="left" vertical="top" wrapText="1"/>
    </xf>
    <xf numFmtId="49" fontId="11" fillId="9" borderId="6" xfId="0" applyNumberFormat="1" applyFont="1" applyFill="1" applyBorder="1" applyAlignment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/>
    </xf>
    <xf numFmtId="165" fontId="9" fillId="4" borderId="4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 vertical="top"/>
    </xf>
    <xf numFmtId="164" fontId="9" fillId="4" borderId="0" xfId="0" applyNumberFormat="1" applyFont="1" applyFill="1" applyAlignment="1">
      <alignment vertical="top"/>
    </xf>
    <xf numFmtId="0" fontId="9" fillId="4" borderId="34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4" fillId="0" borderId="0" xfId="0" applyFont="1" applyAlignment="1">
      <alignment horizontal="right" vertical="top"/>
    </xf>
    <xf numFmtId="3" fontId="25" fillId="0" borderId="114" xfId="0" applyNumberFormat="1" applyFont="1" applyFill="1" applyBorder="1" applyAlignment="1">
      <alignment horizontal="center" vertical="top"/>
    </xf>
    <xf numFmtId="3" fontId="25" fillId="0" borderId="4" xfId="0" applyNumberFormat="1" applyFont="1" applyFill="1" applyBorder="1" applyAlignment="1">
      <alignment horizontal="center" vertical="top"/>
    </xf>
    <xf numFmtId="3" fontId="35" fillId="10" borderId="5" xfId="0" applyNumberFormat="1" applyFont="1" applyFill="1" applyBorder="1" applyAlignment="1">
      <alignment horizontal="center" vertical="top"/>
    </xf>
    <xf numFmtId="3" fontId="35" fillId="9" borderId="101" xfId="0" applyNumberFormat="1" applyFont="1" applyFill="1" applyBorder="1" applyAlignment="1">
      <alignment horizontal="center" vertical="top"/>
    </xf>
    <xf numFmtId="3" fontId="35" fillId="7" borderId="101" xfId="0" applyNumberFormat="1" applyFont="1" applyFill="1" applyBorder="1" applyAlignment="1">
      <alignment horizontal="center" vertical="top"/>
    </xf>
    <xf numFmtId="0" fontId="9" fillId="4" borderId="32" xfId="0" applyNumberFormat="1" applyFont="1" applyFill="1" applyBorder="1" applyAlignment="1">
      <alignment horizontal="center" vertical="top"/>
    </xf>
    <xf numFmtId="0" fontId="9" fillId="0" borderId="20" xfId="0" applyFont="1" applyBorder="1" applyAlignment="1">
      <alignment vertical="top" wrapText="1"/>
    </xf>
    <xf numFmtId="0" fontId="9" fillId="0" borderId="41" xfId="0" applyNumberFormat="1" applyFont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3" fontId="3" fillId="4" borderId="8" xfId="0" applyNumberFormat="1" applyFont="1" applyFill="1" applyBorder="1" applyAlignment="1">
      <alignment horizontal="center" vertical="top"/>
    </xf>
    <xf numFmtId="3" fontId="3" fillId="4" borderId="15" xfId="0" applyNumberFormat="1" applyFont="1" applyFill="1" applyBorder="1" applyAlignment="1">
      <alignment horizontal="center" vertical="top"/>
    </xf>
    <xf numFmtId="0" fontId="9" fillId="4" borderId="75" xfId="0" applyFont="1" applyFill="1" applyBorder="1" applyAlignment="1">
      <alignment vertical="top" wrapText="1"/>
    </xf>
    <xf numFmtId="3" fontId="6" fillId="8" borderId="1" xfId="0" applyNumberFormat="1" applyFont="1" applyFill="1" applyBorder="1" applyAlignment="1">
      <alignment horizontal="center" vertical="top"/>
    </xf>
    <xf numFmtId="0" fontId="9" fillId="0" borderId="53" xfId="0" applyFont="1" applyBorder="1" applyAlignment="1">
      <alignment horizontal="center" vertical="top"/>
    </xf>
    <xf numFmtId="3" fontId="25" fillId="4" borderId="109" xfId="0" applyNumberFormat="1" applyFont="1" applyFill="1" applyBorder="1" applyAlignment="1">
      <alignment horizontal="center" vertical="top"/>
    </xf>
    <xf numFmtId="0" fontId="9" fillId="4" borderId="41" xfId="0" applyNumberFormat="1" applyFont="1" applyFill="1" applyBorder="1" applyAlignment="1">
      <alignment horizontal="center" vertical="top"/>
    </xf>
    <xf numFmtId="0" fontId="9" fillId="4" borderId="32" xfId="0" applyNumberFormat="1" applyFont="1" applyFill="1" applyBorder="1" applyAlignment="1">
      <alignment horizontal="center" vertical="top"/>
    </xf>
    <xf numFmtId="0" fontId="9" fillId="0" borderId="20" xfId="0" applyFont="1" applyBorder="1" applyAlignment="1">
      <alignment vertical="top" wrapText="1"/>
    </xf>
    <xf numFmtId="49" fontId="11" fillId="0" borderId="19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3" fontId="9" fillId="0" borderId="56" xfId="0" applyNumberFormat="1" applyFont="1" applyBorder="1" applyAlignment="1">
      <alignment horizontal="center" vertical="top"/>
    </xf>
    <xf numFmtId="0" fontId="9" fillId="4" borderId="16" xfId="0" applyFont="1" applyFill="1" applyBorder="1" applyAlignment="1">
      <alignment vertical="top" wrapText="1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49" fontId="11" fillId="9" borderId="28" xfId="0" applyNumberFormat="1" applyFont="1" applyFill="1" applyBorder="1" applyAlignment="1">
      <alignment horizontal="center" vertical="top"/>
    </xf>
    <xf numFmtId="49" fontId="11" fillId="2" borderId="19" xfId="0" applyNumberFormat="1" applyFont="1" applyFill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 vertical="top"/>
    </xf>
    <xf numFmtId="0" fontId="11" fillId="4" borderId="16" xfId="0" applyFont="1" applyFill="1" applyBorder="1" applyAlignment="1">
      <alignment horizontal="left" vertical="top" wrapText="1"/>
    </xf>
    <xf numFmtId="49" fontId="11" fillId="9" borderId="21" xfId="0" applyNumberFormat="1" applyFont="1" applyFill="1" applyBorder="1" applyAlignment="1">
      <alignment horizontal="center" vertical="top"/>
    </xf>
    <xf numFmtId="49" fontId="11" fillId="4" borderId="44" xfId="0" applyNumberFormat="1" applyFont="1" applyFill="1" applyBorder="1" applyAlignment="1">
      <alignment horizontal="center" vertical="top"/>
    </xf>
    <xf numFmtId="0" fontId="9" fillId="4" borderId="44" xfId="0" applyFont="1" applyFill="1" applyBorder="1" applyAlignment="1">
      <alignment horizontal="left" vertical="top" wrapText="1"/>
    </xf>
    <xf numFmtId="0" fontId="9" fillId="4" borderId="41" xfId="0" applyNumberFormat="1" applyFont="1" applyFill="1" applyBorder="1" applyAlignment="1">
      <alignment horizontal="center" vertical="top"/>
    </xf>
    <xf numFmtId="0" fontId="9" fillId="4" borderId="32" xfId="0" applyNumberFormat="1" applyFont="1" applyFill="1" applyBorder="1" applyAlignment="1">
      <alignment horizontal="center" vertical="top"/>
    </xf>
    <xf numFmtId="49" fontId="11" fillId="9" borderId="20" xfId="0" applyNumberFormat="1" applyFont="1" applyFill="1" applyBorder="1" applyAlignment="1">
      <alignment horizontal="center" vertical="top"/>
    </xf>
    <xf numFmtId="49" fontId="11" fillId="2" borderId="40" xfId="0" applyNumberFormat="1" applyFont="1" applyFill="1" applyBorder="1" applyAlignment="1">
      <alignment horizontal="center" vertical="top"/>
    </xf>
    <xf numFmtId="49" fontId="11" fillId="2" borderId="31" xfId="0" applyNumberFormat="1" applyFont="1" applyFill="1" applyBorder="1" applyAlignment="1">
      <alignment horizontal="center" vertical="top"/>
    </xf>
    <xf numFmtId="49" fontId="11" fillId="2" borderId="44" xfId="0" applyNumberFormat="1" applyFont="1" applyFill="1" applyBorder="1" applyAlignment="1">
      <alignment horizontal="center" vertical="top"/>
    </xf>
    <xf numFmtId="0" fontId="11" fillId="4" borderId="40" xfId="0" applyFont="1" applyFill="1" applyBorder="1" applyAlignment="1">
      <alignment vertical="top" wrapText="1"/>
    </xf>
    <xf numFmtId="0" fontId="9" fillId="4" borderId="38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vertical="top" wrapText="1"/>
    </xf>
    <xf numFmtId="0" fontId="9" fillId="4" borderId="34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49" fontId="11" fillId="4" borderId="38" xfId="0" applyNumberFormat="1" applyFont="1" applyFill="1" applyBorder="1" applyAlignment="1">
      <alignment horizontal="center" vertical="top"/>
    </xf>
    <xf numFmtId="0" fontId="7" fillId="0" borderId="46" xfId="0" applyFont="1" applyFill="1" applyBorder="1" applyAlignment="1">
      <alignment horizontal="center" vertical="top" wrapText="1"/>
    </xf>
    <xf numFmtId="0" fontId="11" fillId="4" borderId="19" xfId="0" applyFont="1" applyFill="1" applyBorder="1" applyAlignment="1">
      <alignment horizontal="left" vertical="top" wrapText="1"/>
    </xf>
    <xf numFmtId="0" fontId="9" fillId="4" borderId="72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center" vertical="center" textRotation="90" wrapText="1"/>
    </xf>
    <xf numFmtId="49" fontId="11" fillId="0" borderId="34" xfId="0" applyNumberFormat="1" applyFont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center" textRotation="90" wrapText="1"/>
    </xf>
    <xf numFmtId="0" fontId="11" fillId="8" borderId="13" xfId="0" applyFont="1" applyFill="1" applyBorder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9" fillId="4" borderId="33" xfId="0" applyFont="1" applyFill="1" applyBorder="1" applyAlignment="1">
      <alignment horizontal="left" vertical="top" wrapText="1"/>
    </xf>
    <xf numFmtId="0" fontId="9" fillId="4" borderId="34" xfId="0" applyFont="1" applyFill="1" applyBorder="1" applyAlignment="1">
      <alignment vertical="top" wrapText="1"/>
    </xf>
    <xf numFmtId="0" fontId="9" fillId="4" borderId="51" xfId="0" applyFont="1" applyFill="1" applyBorder="1" applyAlignment="1">
      <alignment vertical="top" wrapText="1"/>
    </xf>
    <xf numFmtId="0" fontId="11" fillId="4" borderId="44" xfId="0" applyFont="1" applyFill="1" applyBorder="1" applyAlignment="1">
      <alignment horizontal="left" vertical="top" wrapText="1"/>
    </xf>
    <xf numFmtId="49" fontId="11" fillId="0" borderId="38" xfId="0" applyNumberFormat="1" applyFont="1" applyBorder="1" applyAlignment="1">
      <alignment horizontal="center" vertical="top"/>
    </xf>
    <xf numFmtId="49" fontId="11" fillId="10" borderId="44" xfId="0" applyNumberFormat="1" applyFont="1" applyFill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49" fontId="11" fillId="10" borderId="19" xfId="0" applyNumberFormat="1" applyFont="1" applyFill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center" vertical="top"/>
    </xf>
    <xf numFmtId="0" fontId="9" fillId="4" borderId="53" xfId="4" applyNumberFormat="1" applyFont="1" applyFill="1" applyBorder="1" applyAlignment="1">
      <alignment horizontal="center" vertical="top" wrapText="1"/>
    </xf>
    <xf numFmtId="49" fontId="7" fillId="4" borderId="44" xfId="0" applyNumberFormat="1" applyFont="1" applyFill="1" applyBorder="1" applyAlignment="1">
      <alignment vertical="center" textRotation="90"/>
    </xf>
    <xf numFmtId="49" fontId="11" fillId="0" borderId="18" xfId="0" applyNumberFormat="1" applyFont="1" applyBorder="1" applyAlignment="1">
      <alignment horizontal="center" vertical="top"/>
    </xf>
    <xf numFmtId="49" fontId="11" fillId="4" borderId="16" xfId="0" applyNumberFormat="1" applyFont="1" applyFill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49" fontId="11" fillId="4" borderId="0" xfId="0" applyNumberFormat="1" applyFont="1" applyFill="1" applyBorder="1" applyAlignment="1">
      <alignment horizontal="center" vertical="top"/>
    </xf>
    <xf numFmtId="49" fontId="11" fillId="4" borderId="66" xfId="0" applyNumberFormat="1" applyFont="1" applyFill="1" applyBorder="1" applyAlignment="1">
      <alignment horizontal="center" vertical="top"/>
    </xf>
    <xf numFmtId="0" fontId="9" fillId="4" borderId="50" xfId="0" applyFont="1" applyFill="1" applyBorder="1" applyAlignment="1">
      <alignment horizontal="left" vertical="top" wrapText="1"/>
    </xf>
    <xf numFmtId="49" fontId="11" fillId="0" borderId="22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9" fillId="0" borderId="76" xfId="0" applyFont="1" applyBorder="1" applyAlignment="1">
      <alignment vertical="top" wrapText="1"/>
    </xf>
    <xf numFmtId="0" fontId="9" fillId="0" borderId="65" xfId="0" applyFont="1" applyBorder="1" applyAlignment="1">
      <alignment vertical="top" wrapText="1"/>
    </xf>
    <xf numFmtId="49" fontId="11" fillId="0" borderId="17" xfId="0" applyNumberFormat="1" applyFont="1" applyFill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 wrapText="1"/>
    </xf>
    <xf numFmtId="0" fontId="7" fillId="0" borderId="66" xfId="0" applyFont="1" applyFill="1" applyBorder="1" applyAlignment="1">
      <alignment horizontal="center" vertical="top" wrapText="1"/>
    </xf>
    <xf numFmtId="49" fontId="9" fillId="0" borderId="52" xfId="0" applyNumberFormat="1" applyFont="1" applyBorder="1" applyAlignment="1">
      <alignment horizontal="center" vertical="top" wrapText="1"/>
    </xf>
    <xf numFmtId="49" fontId="11" fillId="0" borderId="66" xfId="0" applyNumberFormat="1" applyFont="1" applyBorder="1" applyAlignment="1">
      <alignment horizontal="center" vertical="top"/>
    </xf>
    <xf numFmtId="49" fontId="11" fillId="0" borderId="71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 textRotation="90"/>
    </xf>
    <xf numFmtId="0" fontId="9" fillId="0" borderId="46" xfId="0" applyFont="1" applyBorder="1" applyAlignment="1">
      <alignment horizontal="left" vertical="top" wrapText="1"/>
    </xf>
    <xf numFmtId="0" fontId="9" fillId="4" borderId="46" xfId="0" applyFont="1" applyFill="1" applyBorder="1" applyAlignment="1">
      <alignment horizontal="left" vertical="top" wrapText="1"/>
    </xf>
    <xf numFmtId="0" fontId="1" fillId="0" borderId="53" xfId="0" applyFont="1" applyBorder="1" applyAlignment="1">
      <alignment horizontal="center" wrapText="1"/>
    </xf>
    <xf numFmtId="0" fontId="1" fillId="0" borderId="65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center" textRotation="90" wrapText="1"/>
    </xf>
    <xf numFmtId="3" fontId="7" fillId="0" borderId="15" xfId="0" applyNumberFormat="1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4" fillId="8" borderId="5" xfId="0" applyNumberFormat="1" applyFont="1" applyFill="1" applyBorder="1" applyAlignment="1">
      <alignment horizontal="center" vertical="top"/>
    </xf>
    <xf numFmtId="3" fontId="3" fillId="4" borderId="2" xfId="0" applyNumberFormat="1" applyFont="1" applyFill="1" applyBorder="1" applyAlignment="1">
      <alignment horizontal="center" vertical="top"/>
    </xf>
    <xf numFmtId="3" fontId="9" fillId="4" borderId="60" xfId="0" applyNumberFormat="1" applyFont="1" applyFill="1" applyBorder="1" applyAlignment="1">
      <alignment horizontal="center" vertical="top"/>
    </xf>
    <xf numFmtId="3" fontId="7" fillId="4" borderId="4" xfId="0" applyNumberFormat="1" applyFont="1" applyFill="1" applyBorder="1" applyAlignment="1">
      <alignment horizontal="center" vertical="top"/>
    </xf>
    <xf numFmtId="3" fontId="25" fillId="4" borderId="4" xfId="0" applyNumberFormat="1" applyFont="1" applyFill="1" applyBorder="1" applyAlignment="1">
      <alignment horizontal="center" vertical="top"/>
    </xf>
    <xf numFmtId="3" fontId="25" fillId="4" borderId="56" xfId="0" applyNumberFormat="1" applyFont="1" applyFill="1" applyBorder="1" applyAlignment="1">
      <alignment horizontal="center" vertical="top"/>
    </xf>
    <xf numFmtId="49" fontId="11" fillId="9" borderId="28" xfId="0" applyNumberFormat="1" applyFont="1" applyFill="1" applyBorder="1" applyAlignment="1">
      <alignment horizontal="center" vertical="top"/>
    </xf>
    <xf numFmtId="49" fontId="11" fillId="2" borderId="44" xfId="0" applyNumberFormat="1" applyFont="1" applyFill="1" applyBorder="1" applyAlignment="1">
      <alignment horizontal="center" vertical="top"/>
    </xf>
    <xf numFmtId="49" fontId="11" fillId="10" borderId="44" xfId="0" applyNumberFormat="1" applyFont="1" applyFill="1" applyBorder="1" applyAlignment="1">
      <alignment horizontal="center" vertical="top"/>
    </xf>
    <xf numFmtId="0" fontId="18" fillId="0" borderId="3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39" xfId="0" applyFont="1" applyBorder="1" applyAlignment="1">
      <alignment horizontal="left" vertical="top" wrapText="1"/>
    </xf>
    <xf numFmtId="0" fontId="9" fillId="0" borderId="38" xfId="0" applyFont="1" applyBorder="1" applyAlignment="1">
      <alignment vertical="top" wrapText="1"/>
    </xf>
    <xf numFmtId="0" fontId="9" fillId="0" borderId="50" xfId="0" applyFont="1" applyBorder="1" applyAlignment="1">
      <alignment vertical="top" wrapText="1"/>
    </xf>
    <xf numFmtId="0" fontId="9" fillId="4" borderId="33" xfId="0" applyFont="1" applyFill="1" applyBorder="1" applyAlignment="1">
      <alignment horizontal="left" vertical="top" wrapText="1"/>
    </xf>
    <xf numFmtId="0" fontId="9" fillId="4" borderId="34" xfId="0" applyFont="1" applyFill="1" applyBorder="1" applyAlignment="1">
      <alignment vertical="top" wrapText="1"/>
    </xf>
    <xf numFmtId="0" fontId="9" fillId="4" borderId="51" xfId="0" applyFont="1" applyFill="1" applyBorder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58" xfId="0" applyFont="1" applyBorder="1" applyAlignment="1">
      <alignment horizontal="left" vertical="top" wrapText="1"/>
    </xf>
    <xf numFmtId="0" fontId="9" fillId="0" borderId="73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34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58" xfId="0" applyFont="1" applyFill="1" applyBorder="1" applyAlignment="1">
      <alignment horizontal="left" vertical="top" wrapText="1"/>
    </xf>
    <xf numFmtId="0" fontId="9" fillId="4" borderId="73" xfId="0" applyFont="1" applyFill="1" applyBorder="1" applyAlignment="1">
      <alignment horizontal="left" vertical="top" wrapText="1"/>
    </xf>
    <xf numFmtId="49" fontId="11" fillId="2" borderId="57" xfId="0" applyNumberFormat="1" applyFont="1" applyFill="1" applyBorder="1" applyAlignment="1">
      <alignment horizontal="right" vertical="top"/>
    </xf>
    <xf numFmtId="49" fontId="11" fillId="2" borderId="67" xfId="0" applyNumberFormat="1" applyFont="1" applyFill="1" applyBorder="1" applyAlignment="1">
      <alignment horizontal="right" vertical="top"/>
    </xf>
    <xf numFmtId="164" fontId="11" fillId="2" borderId="9" xfId="0" applyNumberFormat="1" applyFont="1" applyFill="1" applyBorder="1" applyAlignment="1">
      <alignment horizontal="center" vertical="top"/>
    </xf>
    <xf numFmtId="164" fontId="11" fillId="2" borderId="67" xfId="0" applyNumberFormat="1" applyFont="1" applyFill="1" applyBorder="1" applyAlignment="1">
      <alignment horizontal="center" vertical="top"/>
    </xf>
    <xf numFmtId="164" fontId="11" fillId="2" borderId="68" xfId="0" applyNumberFormat="1" applyFont="1" applyFill="1" applyBorder="1" applyAlignment="1">
      <alignment horizontal="center" vertical="top"/>
    </xf>
    <xf numFmtId="49" fontId="11" fillId="2" borderId="57" xfId="0" applyNumberFormat="1" applyFont="1" applyFill="1" applyBorder="1" applyAlignment="1">
      <alignment horizontal="left" vertical="top"/>
    </xf>
    <xf numFmtId="49" fontId="11" fillId="2" borderId="67" xfId="0" applyNumberFormat="1" applyFont="1" applyFill="1" applyBorder="1" applyAlignment="1">
      <alignment horizontal="left" vertical="top"/>
    </xf>
    <xf numFmtId="49" fontId="11" fillId="2" borderId="68" xfId="0" applyNumberFormat="1" applyFont="1" applyFill="1" applyBorder="1" applyAlignment="1">
      <alignment horizontal="left" vertical="top"/>
    </xf>
    <xf numFmtId="0" fontId="9" fillId="4" borderId="16" xfId="0" applyFont="1" applyFill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49" fontId="11" fillId="9" borderId="28" xfId="0" applyNumberFormat="1" applyFont="1" applyFill="1" applyBorder="1" applyAlignment="1">
      <alignment horizontal="center" vertical="top"/>
    </xf>
    <xf numFmtId="49" fontId="11" fillId="9" borderId="21" xfId="0" applyNumberFormat="1" applyFont="1" applyFill="1" applyBorder="1" applyAlignment="1">
      <alignment horizontal="center" vertical="top"/>
    </xf>
    <xf numFmtId="49" fontId="11" fillId="2" borderId="44" xfId="0" applyNumberFormat="1" applyFont="1" applyFill="1" applyBorder="1" applyAlignment="1">
      <alignment horizontal="center" vertical="top"/>
    </xf>
    <xf numFmtId="49" fontId="11" fillId="2" borderId="31" xfId="0" applyNumberFormat="1" applyFont="1" applyFill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 vertical="top"/>
    </xf>
    <xf numFmtId="49" fontId="11" fillId="4" borderId="18" xfId="0" applyNumberFormat="1" applyFont="1" applyFill="1" applyBorder="1" applyAlignment="1">
      <alignment horizontal="center" vertical="top"/>
    </xf>
    <xf numFmtId="0" fontId="11" fillId="4" borderId="40" xfId="0" applyFont="1" applyFill="1" applyBorder="1" applyAlignment="1">
      <alignment horizontal="left" vertical="top" wrapText="1"/>
    </xf>
    <xf numFmtId="0" fontId="11" fillId="4" borderId="44" xfId="0" applyFont="1" applyFill="1" applyBorder="1" applyAlignment="1">
      <alignment horizontal="left" vertical="top" wrapText="1"/>
    </xf>
    <xf numFmtId="0" fontId="11" fillId="4" borderId="31" xfId="0" applyFont="1" applyFill="1" applyBorder="1" applyAlignment="1">
      <alignment horizontal="left" vertical="top" wrapText="1"/>
    </xf>
    <xf numFmtId="0" fontId="6" fillId="0" borderId="65" xfId="0" applyFont="1" applyFill="1" applyBorder="1" applyAlignment="1">
      <alignment horizontal="center" vertical="top"/>
    </xf>
    <xf numFmtId="0" fontId="6" fillId="0" borderId="75" xfId="0" applyFont="1" applyFill="1" applyBorder="1" applyAlignment="1">
      <alignment horizontal="center" vertical="top"/>
    </xf>
    <xf numFmtId="49" fontId="11" fillId="0" borderId="44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0" fontId="9" fillId="4" borderId="45" xfId="0" applyFont="1" applyFill="1" applyBorder="1" applyAlignment="1">
      <alignment vertical="top" wrapText="1"/>
    </xf>
    <xf numFmtId="0" fontId="0" fillId="0" borderId="21" xfId="0" applyBorder="1" applyAlignment="1">
      <alignment vertical="top"/>
    </xf>
    <xf numFmtId="0" fontId="9" fillId="4" borderId="45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3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0" fontId="11" fillId="8" borderId="13" xfId="0" applyFont="1" applyFill="1" applyBorder="1" applyAlignment="1">
      <alignment horizontal="right" vertical="top" wrapText="1"/>
    </xf>
    <xf numFmtId="0" fontId="11" fillId="8" borderId="23" xfId="0" applyFont="1" applyFill="1" applyBorder="1" applyAlignment="1">
      <alignment horizontal="right" vertical="top" wrapText="1"/>
    </xf>
    <xf numFmtId="0" fontId="11" fillId="8" borderId="70" xfId="0" applyFont="1" applyFill="1" applyBorder="1" applyAlignment="1">
      <alignment horizontal="right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3" borderId="58" xfId="0" applyFont="1" applyFill="1" applyBorder="1" applyAlignment="1">
      <alignment horizontal="left" vertical="top" wrapText="1"/>
    </xf>
    <xf numFmtId="0" fontId="9" fillId="8" borderId="33" xfId="0" applyFont="1" applyFill="1" applyBorder="1" applyAlignment="1">
      <alignment horizontal="left" vertical="top" wrapText="1"/>
    </xf>
    <xf numFmtId="0" fontId="9" fillId="8" borderId="34" xfId="0" applyFont="1" applyFill="1" applyBorder="1" applyAlignment="1">
      <alignment vertical="top" wrapText="1"/>
    </xf>
    <xf numFmtId="0" fontId="9" fillId="8" borderId="51" xfId="0" applyFont="1" applyFill="1" applyBorder="1" applyAlignment="1">
      <alignment vertical="top" wrapText="1"/>
    </xf>
    <xf numFmtId="0" fontId="11" fillId="7" borderId="28" xfId="0" applyFont="1" applyFill="1" applyBorder="1" applyAlignment="1">
      <alignment horizontal="right" vertical="top" wrapText="1"/>
    </xf>
    <xf numFmtId="0" fontId="9" fillId="7" borderId="44" xfId="0" applyFont="1" applyFill="1" applyBorder="1" applyAlignment="1">
      <alignment vertical="top" wrapText="1"/>
    </xf>
    <xf numFmtId="0" fontId="9" fillId="7" borderId="19" xfId="0" applyFont="1" applyFill="1" applyBorder="1" applyAlignment="1">
      <alignment vertical="top" wrapText="1"/>
    </xf>
    <xf numFmtId="49" fontId="11" fillId="9" borderId="57" xfId="0" applyNumberFormat="1" applyFont="1" applyFill="1" applyBorder="1" applyAlignment="1">
      <alignment horizontal="right" vertical="top"/>
    </xf>
    <xf numFmtId="0" fontId="9" fillId="9" borderId="67" xfId="0" applyFont="1" applyFill="1" applyBorder="1" applyAlignment="1">
      <alignment horizontal="right" vertical="top"/>
    </xf>
    <xf numFmtId="0" fontId="9" fillId="9" borderId="68" xfId="0" applyFont="1" applyFill="1" applyBorder="1" applyAlignment="1">
      <alignment horizontal="right" vertical="top"/>
    </xf>
    <xf numFmtId="164" fontId="11" fillId="9" borderId="9" xfId="0" applyNumberFormat="1" applyFont="1" applyFill="1" applyBorder="1" applyAlignment="1">
      <alignment horizontal="center" vertical="top"/>
    </xf>
    <xf numFmtId="164" fontId="11" fillId="9" borderId="67" xfId="0" applyNumberFormat="1" applyFont="1" applyFill="1" applyBorder="1" applyAlignment="1">
      <alignment horizontal="center" vertical="top"/>
    </xf>
    <xf numFmtId="164" fontId="11" fillId="9" borderId="68" xfId="0" applyNumberFormat="1" applyFont="1" applyFill="1" applyBorder="1" applyAlignment="1">
      <alignment horizontal="center" vertical="top"/>
    </xf>
    <xf numFmtId="49" fontId="11" fillId="7" borderId="67" xfId="0" applyNumberFormat="1" applyFont="1" applyFill="1" applyBorder="1" applyAlignment="1">
      <alignment horizontal="right" vertical="top"/>
    </xf>
    <xf numFmtId="49" fontId="11" fillId="7" borderId="68" xfId="0" applyNumberFormat="1" applyFont="1" applyFill="1" applyBorder="1" applyAlignment="1">
      <alignment horizontal="right" vertical="top"/>
    </xf>
    <xf numFmtId="164" fontId="11" fillId="7" borderId="9" xfId="0" applyNumberFormat="1" applyFont="1" applyFill="1" applyBorder="1" applyAlignment="1">
      <alignment horizontal="center" vertical="top"/>
    </xf>
    <xf numFmtId="164" fontId="11" fillId="7" borderId="67" xfId="0" applyNumberFormat="1" applyFont="1" applyFill="1" applyBorder="1" applyAlignment="1">
      <alignment horizontal="center" vertical="top"/>
    </xf>
    <xf numFmtId="164" fontId="11" fillId="7" borderId="68" xfId="0" applyNumberFormat="1" applyFont="1" applyFill="1" applyBorder="1" applyAlignment="1">
      <alignment horizontal="center" vertical="top"/>
    </xf>
    <xf numFmtId="0" fontId="11" fillId="7" borderId="20" xfId="0" applyFont="1" applyFill="1" applyBorder="1" applyAlignment="1">
      <alignment horizontal="right" vertical="top" wrapText="1"/>
    </xf>
    <xf numFmtId="0" fontId="9" fillId="7" borderId="40" xfId="0" applyFont="1" applyFill="1" applyBorder="1" applyAlignment="1">
      <alignment vertical="top" wrapText="1"/>
    </xf>
    <xf numFmtId="0" fontId="9" fillId="7" borderId="17" xfId="0" applyFont="1" applyFill="1" applyBorder="1" applyAlignment="1">
      <alignment vertical="top" wrapText="1"/>
    </xf>
    <xf numFmtId="0" fontId="11" fillId="8" borderId="8" xfId="0" applyFont="1" applyFill="1" applyBorder="1" applyAlignment="1">
      <alignment horizontal="right" vertical="top" wrapText="1"/>
    </xf>
    <xf numFmtId="0" fontId="11" fillId="8" borderId="58" xfId="0" applyFont="1" applyFill="1" applyBorder="1" applyAlignment="1">
      <alignment horizontal="right" vertical="top" wrapText="1"/>
    </xf>
    <xf numFmtId="0" fontId="11" fillId="8" borderId="73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textRotation="90" wrapText="1"/>
    </xf>
    <xf numFmtId="49" fontId="11" fillId="0" borderId="34" xfId="0" applyNumberFormat="1" applyFont="1" applyBorder="1" applyAlignment="1">
      <alignment horizontal="center" vertical="top"/>
    </xf>
    <xf numFmtId="49" fontId="11" fillId="9" borderId="20" xfId="0" applyNumberFormat="1" applyFont="1" applyFill="1" applyBorder="1" applyAlignment="1">
      <alignment horizontal="center" vertical="top"/>
    </xf>
    <xf numFmtId="49" fontId="11" fillId="2" borderId="40" xfId="0" applyNumberFormat="1" applyFont="1" applyFill="1" applyBorder="1" applyAlignment="1">
      <alignment horizontal="center" vertical="top"/>
    </xf>
    <xf numFmtId="49" fontId="11" fillId="4" borderId="17" xfId="0" applyNumberFormat="1" applyFont="1" applyFill="1" applyBorder="1" applyAlignment="1">
      <alignment horizontal="center" vertical="top"/>
    </xf>
    <xf numFmtId="0" fontId="11" fillId="4" borderId="26" xfId="0" applyFont="1" applyFill="1" applyBorder="1" applyAlignment="1">
      <alignment horizontal="left" vertical="top" wrapText="1"/>
    </xf>
    <xf numFmtId="0" fontId="11" fillId="4" borderId="38" xfId="0" applyFont="1" applyFill="1" applyBorder="1" applyAlignment="1">
      <alignment horizontal="left" vertical="top" wrapText="1"/>
    </xf>
    <xf numFmtId="0" fontId="11" fillId="4" borderId="29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center" vertical="top" textRotation="90" wrapText="1"/>
    </xf>
    <xf numFmtId="0" fontId="7" fillId="0" borderId="44" xfId="0" applyFont="1" applyFill="1" applyBorder="1" applyAlignment="1">
      <alignment horizontal="center" vertical="top" textRotation="90" wrapText="1"/>
    </xf>
    <xf numFmtId="0" fontId="7" fillId="0" borderId="31" xfId="0" applyFont="1" applyFill="1" applyBorder="1" applyAlignment="1">
      <alignment horizontal="center" vertical="top" textRotation="90" wrapText="1"/>
    </xf>
    <xf numFmtId="0" fontId="5" fillId="4" borderId="20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49" fontId="11" fillId="2" borderId="23" xfId="0" applyNumberFormat="1" applyFont="1" applyFill="1" applyBorder="1" applyAlignment="1">
      <alignment horizontal="right" vertical="top"/>
    </xf>
    <xf numFmtId="49" fontId="11" fillId="2" borderId="22" xfId="0" applyNumberFormat="1" applyFont="1" applyFill="1" applyBorder="1" applyAlignment="1">
      <alignment horizontal="left" vertical="top"/>
    </xf>
    <xf numFmtId="49" fontId="11" fillId="9" borderId="25" xfId="0" applyNumberFormat="1" applyFont="1" applyFill="1" applyBorder="1" applyAlignment="1">
      <alignment horizontal="center" vertical="top"/>
    </xf>
    <xf numFmtId="49" fontId="11" fillId="9" borderId="33" xfId="0" applyNumberFormat="1" applyFont="1" applyFill="1" applyBorder="1" applyAlignment="1">
      <alignment horizontal="center" vertical="top"/>
    </xf>
    <xf numFmtId="49" fontId="11" fillId="9" borderId="30" xfId="0" applyNumberFormat="1" applyFont="1" applyFill="1" applyBorder="1" applyAlignment="1">
      <alignment horizontal="center" vertical="top"/>
    </xf>
    <xf numFmtId="49" fontId="11" fillId="2" borderId="26" xfId="0" applyNumberFormat="1" applyFont="1" applyFill="1" applyBorder="1" applyAlignment="1">
      <alignment horizontal="center" vertical="top"/>
    </xf>
    <xf numFmtId="49" fontId="11" fillId="2" borderId="34" xfId="0" applyNumberFormat="1" applyFont="1" applyFill="1" applyBorder="1" applyAlignment="1">
      <alignment horizontal="center" vertical="top"/>
    </xf>
    <xf numFmtId="49" fontId="11" fillId="2" borderId="29" xfId="0" applyNumberFormat="1" applyFont="1" applyFill="1" applyBorder="1" applyAlignment="1">
      <alignment horizontal="center" vertical="top"/>
    </xf>
    <xf numFmtId="49" fontId="11" fillId="4" borderId="26" xfId="0" applyNumberFormat="1" applyFont="1" applyFill="1" applyBorder="1" applyAlignment="1">
      <alignment horizontal="center" vertical="top"/>
    </xf>
    <xf numFmtId="49" fontId="11" fillId="4" borderId="34" xfId="0" applyNumberFormat="1" applyFont="1" applyFill="1" applyBorder="1" applyAlignment="1">
      <alignment horizontal="center" vertical="top"/>
    </xf>
    <xf numFmtId="49" fontId="11" fillId="4" borderId="29" xfId="0" applyNumberFormat="1" applyFont="1" applyFill="1" applyBorder="1" applyAlignment="1">
      <alignment horizontal="center" vertical="top"/>
    </xf>
    <xf numFmtId="0" fontId="11" fillId="4" borderId="34" xfId="0" applyFont="1" applyFill="1" applyBorder="1" applyAlignment="1">
      <alignment horizontal="left" vertical="top" wrapText="1"/>
    </xf>
    <xf numFmtId="49" fontId="7" fillId="0" borderId="40" xfId="0" applyNumberFormat="1" applyFont="1" applyFill="1" applyBorder="1" applyAlignment="1">
      <alignment horizontal="center" vertical="center" textRotation="90" wrapText="1"/>
    </xf>
    <xf numFmtId="49" fontId="7" fillId="0" borderId="44" xfId="0" applyNumberFormat="1" applyFont="1" applyFill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11" fillId="4" borderId="17" xfId="0" applyFont="1" applyFill="1" applyBorder="1" applyAlignment="1">
      <alignment horizontal="left" vertical="top" wrapText="1"/>
    </xf>
    <xf numFmtId="0" fontId="11" fillId="4" borderId="19" xfId="0" applyFont="1" applyFill="1" applyBorder="1" applyAlignment="1">
      <alignment horizontal="left" vertical="top" wrapText="1"/>
    </xf>
    <xf numFmtId="0" fontId="11" fillId="4" borderId="18" xfId="0" applyFont="1" applyFill="1" applyBorder="1" applyAlignment="1">
      <alignment horizontal="left" vertical="top" wrapText="1"/>
    </xf>
    <xf numFmtId="49" fontId="5" fillId="0" borderId="40" xfId="0" applyNumberFormat="1" applyFont="1" applyFill="1" applyBorder="1" applyAlignment="1">
      <alignment horizontal="center" vertical="center" textRotation="90"/>
    </xf>
    <xf numFmtId="49" fontId="5" fillId="0" borderId="44" xfId="0" applyNumberFormat="1" applyFont="1" applyFill="1" applyBorder="1" applyAlignment="1">
      <alignment horizontal="center" vertical="center" textRotation="90"/>
    </xf>
    <xf numFmtId="49" fontId="5" fillId="0" borderId="31" xfId="0" applyNumberFormat="1" applyFont="1" applyFill="1" applyBorder="1" applyAlignment="1">
      <alignment horizontal="center" vertical="center" textRotation="90"/>
    </xf>
    <xf numFmtId="49" fontId="4" fillId="0" borderId="40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top"/>
    </xf>
    <xf numFmtId="0" fontId="0" fillId="4" borderId="28" xfId="0" applyFill="1" applyBorder="1" applyAlignment="1">
      <alignment horizontal="left" vertical="top" wrapText="1"/>
    </xf>
    <xf numFmtId="0" fontId="5" fillId="4" borderId="45" xfId="0" applyFont="1" applyFill="1" applyBorder="1" applyAlignment="1">
      <alignment horizontal="left" vertical="top" wrapText="1"/>
    </xf>
    <xf numFmtId="0" fontId="9" fillId="4" borderId="72" xfId="0" applyFont="1" applyFill="1" applyBorder="1" applyAlignment="1">
      <alignment horizontal="left" vertical="top" wrapText="1"/>
    </xf>
    <xf numFmtId="0" fontId="9" fillId="4" borderId="75" xfId="0" applyFont="1" applyFill="1" applyBorder="1" applyAlignment="1">
      <alignment horizontal="left" vertical="top" wrapText="1"/>
    </xf>
    <xf numFmtId="49" fontId="11" fillId="2" borderId="18" xfId="0" applyNumberFormat="1" applyFont="1" applyFill="1" applyBorder="1" applyAlignment="1">
      <alignment horizontal="right" vertical="top"/>
    </xf>
    <xf numFmtId="49" fontId="11" fillId="2" borderId="70" xfId="0" applyNumberFormat="1" applyFont="1" applyFill="1" applyBorder="1" applyAlignment="1">
      <alignment horizontal="right" vertical="top"/>
    </xf>
    <xf numFmtId="0" fontId="7" fillId="0" borderId="40" xfId="0" applyFont="1" applyFill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11" fillId="0" borderId="41" xfId="4" applyNumberFormat="1" applyFont="1" applyBorder="1" applyAlignment="1">
      <alignment horizontal="center" vertical="top"/>
    </xf>
    <xf numFmtId="0" fontId="11" fillId="0" borderId="32" xfId="4" applyNumberFormat="1" applyFont="1" applyBorder="1" applyAlignment="1">
      <alignment horizontal="center" vertical="top"/>
    </xf>
    <xf numFmtId="49" fontId="11" fillId="4" borderId="38" xfId="0" applyNumberFormat="1" applyFont="1" applyFill="1" applyBorder="1" applyAlignment="1">
      <alignment horizontal="center" vertical="top"/>
    </xf>
    <xf numFmtId="0" fontId="7" fillId="0" borderId="64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horizontal="center" vertical="top" wrapText="1"/>
    </xf>
    <xf numFmtId="49" fontId="11" fillId="0" borderId="27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49" fontId="11" fillId="0" borderId="61" xfId="0" applyNumberFormat="1" applyFont="1" applyBorder="1" applyAlignment="1">
      <alignment horizontal="center" vertical="top"/>
    </xf>
    <xf numFmtId="49" fontId="11" fillId="0" borderId="36" xfId="0" applyNumberFormat="1" applyFont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center" vertical="top"/>
    </xf>
    <xf numFmtId="49" fontId="11" fillId="4" borderId="31" xfId="0" applyNumberFormat="1" applyFont="1" applyFill="1" applyBorder="1" applyAlignment="1">
      <alignment horizontal="center" vertical="top"/>
    </xf>
    <xf numFmtId="0" fontId="11" fillId="4" borderId="40" xfId="0" applyFont="1" applyFill="1" applyBorder="1" applyAlignment="1">
      <alignment vertical="top" wrapText="1"/>
    </xf>
    <xf numFmtId="0" fontId="11" fillId="4" borderId="31" xfId="0" applyFont="1" applyFill="1" applyBorder="1" applyAlignment="1">
      <alignment vertical="top" wrapText="1"/>
    </xf>
    <xf numFmtId="0" fontId="7" fillId="0" borderId="76" xfId="0" applyFont="1" applyFill="1" applyBorder="1" applyAlignment="1">
      <alignment horizontal="center" vertical="top" wrapText="1"/>
    </xf>
    <xf numFmtId="0" fontId="7" fillId="0" borderId="75" xfId="0" applyFont="1" applyFill="1" applyBorder="1" applyAlignment="1">
      <alignment horizontal="center" vertical="top" wrapText="1"/>
    </xf>
    <xf numFmtId="0" fontId="9" fillId="4" borderId="38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vertical="top" wrapText="1"/>
    </xf>
    <xf numFmtId="0" fontId="1" fillId="4" borderId="38" xfId="0" applyFont="1" applyFill="1" applyBorder="1" applyAlignment="1">
      <alignment vertical="top" wrapText="1"/>
    </xf>
    <xf numFmtId="0" fontId="9" fillId="4" borderId="34" xfId="0" applyFont="1" applyFill="1" applyBorder="1" applyAlignment="1">
      <alignment horizontal="left" vertical="top" wrapText="1"/>
    </xf>
    <xf numFmtId="0" fontId="7" fillId="4" borderId="46" xfId="0" applyFont="1" applyFill="1" applyBorder="1" applyAlignment="1">
      <alignment horizontal="center" vertical="top" wrapText="1"/>
    </xf>
    <xf numFmtId="0" fontId="7" fillId="4" borderId="65" xfId="0" applyFont="1" applyFill="1" applyBorder="1" applyAlignment="1">
      <alignment horizontal="center" vertical="top" wrapText="1"/>
    </xf>
    <xf numFmtId="0" fontId="0" fillId="0" borderId="72" xfId="0" applyBorder="1" applyAlignment="1">
      <alignment vertical="top"/>
    </xf>
    <xf numFmtId="49" fontId="11" fillId="4" borderId="44" xfId="0" applyNumberFormat="1" applyFont="1" applyFill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left" vertical="top" wrapText="1"/>
    </xf>
    <xf numFmtId="49" fontId="11" fillId="4" borderId="31" xfId="0" applyNumberFormat="1" applyFont="1" applyFill="1" applyBorder="1" applyAlignment="1">
      <alignment horizontal="left" vertical="top" wrapText="1"/>
    </xf>
    <xf numFmtId="49" fontId="7" fillId="0" borderId="65" xfId="0" applyNumberFormat="1" applyFont="1" applyFill="1" applyBorder="1" applyAlignment="1">
      <alignment horizontal="right" vertical="top"/>
    </xf>
    <xf numFmtId="49" fontId="7" fillId="0" borderId="75" xfId="0" applyNumberFormat="1" applyFont="1" applyFill="1" applyBorder="1" applyAlignment="1">
      <alignment horizontal="right" vertical="top"/>
    </xf>
    <xf numFmtId="0" fontId="9" fillId="0" borderId="16" xfId="0" applyFont="1" applyBorder="1" applyAlignment="1">
      <alignment vertical="top" wrapText="1"/>
    </xf>
    <xf numFmtId="0" fontId="9" fillId="0" borderId="44" xfId="0" applyFont="1" applyBorder="1" applyAlignment="1">
      <alignment vertical="top" wrapText="1"/>
    </xf>
    <xf numFmtId="49" fontId="11" fillId="0" borderId="41" xfId="0" applyNumberFormat="1" applyFont="1" applyFill="1" applyBorder="1" applyAlignment="1">
      <alignment horizontal="center" vertical="top"/>
    </xf>
    <xf numFmtId="49" fontId="11" fillId="0" borderId="32" xfId="0" applyNumberFormat="1" applyFont="1" applyFill="1" applyBorder="1" applyAlignment="1">
      <alignment horizontal="center" vertical="top"/>
    </xf>
    <xf numFmtId="49" fontId="11" fillId="0" borderId="41" xfId="0" applyNumberFormat="1" applyFont="1" applyBorder="1" applyAlignment="1">
      <alignment horizontal="center" vertical="top"/>
    </xf>
    <xf numFmtId="49" fontId="11" fillId="0" borderId="53" xfId="0" applyNumberFormat="1" applyFont="1" applyBorder="1" applyAlignment="1">
      <alignment horizontal="center" vertical="top"/>
    </xf>
    <xf numFmtId="49" fontId="11" fillId="4" borderId="44" xfId="0" applyNumberFormat="1" applyFont="1" applyFill="1" applyBorder="1" applyAlignment="1">
      <alignment horizontal="left" vertical="top" wrapText="1"/>
    </xf>
    <xf numFmtId="49" fontId="11" fillId="0" borderId="53" xfId="0" applyNumberFormat="1" applyFont="1" applyFill="1" applyBorder="1" applyAlignment="1">
      <alignment horizontal="center" vertical="top"/>
    </xf>
    <xf numFmtId="0" fontId="7" fillId="0" borderId="65" xfId="0" applyFont="1" applyFill="1" applyBorder="1" applyAlignment="1">
      <alignment horizontal="center" vertical="top" wrapText="1"/>
    </xf>
    <xf numFmtId="0" fontId="5" fillId="4" borderId="104" xfId="0" applyFont="1" applyFill="1" applyBorder="1" applyAlignment="1">
      <alignment horizontal="left" vertical="top" wrapText="1"/>
    </xf>
    <xf numFmtId="0" fontId="12" fillId="0" borderId="65" xfId="0" applyFont="1" applyFill="1" applyBorder="1" applyAlignment="1">
      <alignment horizontal="center" vertical="top" wrapText="1"/>
    </xf>
    <xf numFmtId="0" fontId="0" fillId="0" borderId="75" xfId="0" applyBorder="1" applyAlignment="1">
      <alignment vertical="top"/>
    </xf>
    <xf numFmtId="49" fontId="11" fillId="0" borderId="55" xfId="0" applyNumberFormat="1" applyFont="1" applyBorder="1" applyAlignment="1">
      <alignment horizontal="center" vertical="top"/>
    </xf>
    <xf numFmtId="0" fontId="0" fillId="0" borderId="70" xfId="0" applyBorder="1" applyAlignment="1">
      <alignment vertical="top"/>
    </xf>
    <xf numFmtId="0" fontId="9" fillId="4" borderId="40" xfId="0" applyNumberFormat="1" applyFont="1" applyFill="1" applyBorder="1" applyAlignment="1">
      <alignment horizontal="center" vertical="top"/>
    </xf>
    <xf numFmtId="0" fontId="9" fillId="4" borderId="31" xfId="0" applyNumberFormat="1" applyFont="1" applyFill="1" applyBorder="1" applyAlignment="1">
      <alignment horizontal="center" vertical="top"/>
    </xf>
    <xf numFmtId="0" fontId="9" fillId="4" borderId="41" xfId="0" applyNumberFormat="1" applyFont="1" applyFill="1" applyBorder="1" applyAlignment="1">
      <alignment horizontal="center" vertical="top"/>
    </xf>
    <xf numFmtId="0" fontId="9" fillId="4" borderId="32" xfId="0" applyNumberFormat="1" applyFont="1" applyFill="1" applyBorder="1" applyAlignment="1">
      <alignment horizontal="center" vertical="top"/>
    </xf>
    <xf numFmtId="0" fontId="9" fillId="4" borderId="40" xfId="0" applyFont="1" applyFill="1" applyBorder="1" applyAlignment="1">
      <alignment horizontal="left" vertical="top" wrapText="1"/>
    </xf>
    <xf numFmtId="0" fontId="9" fillId="4" borderId="31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49" fontId="11" fillId="2" borderId="19" xfId="0" applyNumberFormat="1" applyFont="1" applyFill="1" applyBorder="1" applyAlignment="1">
      <alignment horizontal="center" vertical="top"/>
    </xf>
    <xf numFmtId="49" fontId="11" fillId="2" borderId="18" xfId="0" applyNumberFormat="1" applyFont="1" applyFill="1" applyBorder="1" applyAlignment="1">
      <alignment horizontal="center" vertical="top"/>
    </xf>
    <xf numFmtId="0" fontId="9" fillId="4" borderId="44" xfId="0" applyFont="1" applyFill="1" applyBorder="1" applyAlignment="1">
      <alignment horizontal="left" vertical="top" wrapText="1"/>
    </xf>
    <xf numFmtId="49" fontId="11" fillId="0" borderId="32" xfId="0" applyNumberFormat="1" applyFont="1" applyBorder="1" applyAlignment="1">
      <alignment horizontal="center" vertical="top"/>
    </xf>
    <xf numFmtId="0" fontId="9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11" fillId="7" borderId="8" xfId="0" applyFont="1" applyFill="1" applyBorder="1" applyAlignment="1">
      <alignment horizontal="left" vertical="top" wrapText="1"/>
    </xf>
    <xf numFmtId="0" fontId="11" fillId="7" borderId="58" xfId="0" applyFont="1" applyFill="1" applyBorder="1" applyAlignment="1">
      <alignment horizontal="left" vertical="top" wrapText="1"/>
    </xf>
    <xf numFmtId="0" fontId="11" fillId="7" borderId="73" xfId="0" applyFont="1" applyFill="1" applyBorder="1" applyAlignment="1">
      <alignment horizontal="left" vertical="top" wrapText="1"/>
    </xf>
    <xf numFmtId="0" fontId="11" fillId="9" borderId="58" xfId="0" applyFont="1" applyFill="1" applyBorder="1" applyAlignment="1">
      <alignment horizontal="left" vertical="top" wrapText="1"/>
    </xf>
    <xf numFmtId="0" fontId="11" fillId="9" borderId="73" xfId="0" applyFont="1" applyFill="1" applyBorder="1" applyAlignment="1">
      <alignment horizontal="left" vertical="top" wrapText="1"/>
    </xf>
    <xf numFmtId="0" fontId="11" fillId="2" borderId="50" xfId="0" applyFont="1" applyFill="1" applyBorder="1" applyAlignment="1">
      <alignment horizontal="left" vertical="top" wrapText="1"/>
    </xf>
    <xf numFmtId="0" fontId="11" fillId="2" borderId="58" xfId="0" applyFont="1" applyFill="1" applyBorder="1" applyAlignment="1">
      <alignment horizontal="left" vertical="top" wrapText="1"/>
    </xf>
    <xf numFmtId="0" fontId="11" fillId="2" borderId="73" xfId="0" applyFont="1" applyFill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 vertical="top" wrapText="1"/>
    </xf>
    <xf numFmtId="49" fontId="9" fillId="0" borderId="72" xfId="0" applyNumberFormat="1" applyFont="1" applyBorder="1" applyAlignment="1">
      <alignment horizontal="center" vertical="top" textRotation="90" wrapText="1"/>
    </xf>
    <xf numFmtId="0" fontId="0" fillId="0" borderId="65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49" fontId="11" fillId="0" borderId="55" xfId="0" applyNumberFormat="1" applyFont="1" applyBorder="1" applyAlignment="1">
      <alignment horizontal="center" vertical="top" wrapText="1"/>
    </xf>
    <xf numFmtId="0" fontId="0" fillId="0" borderId="55" xfId="0" applyBorder="1" applyAlignment="1">
      <alignment wrapText="1"/>
    </xf>
    <xf numFmtId="0" fontId="0" fillId="0" borderId="70" xfId="0" applyBorder="1" applyAlignment="1">
      <alignment wrapText="1"/>
    </xf>
    <xf numFmtId="0" fontId="9" fillId="4" borderId="106" xfId="0" applyFont="1" applyFill="1" applyBorder="1" applyAlignment="1">
      <alignment vertical="top" wrapText="1"/>
    </xf>
    <xf numFmtId="0" fontId="0" fillId="4" borderId="21" xfId="0" applyFill="1" applyBorder="1" applyAlignment="1">
      <alignment vertical="top" wrapText="1"/>
    </xf>
    <xf numFmtId="0" fontId="11" fillId="4" borderId="55" xfId="4" applyNumberFormat="1" applyFont="1" applyFill="1" applyBorder="1" applyAlignment="1">
      <alignment horizontal="center" vertical="top"/>
    </xf>
    <xf numFmtId="0" fontId="0" fillId="0" borderId="55" xfId="0" applyBorder="1" applyAlignment="1">
      <alignment vertical="top"/>
    </xf>
    <xf numFmtId="0" fontId="9" fillId="0" borderId="28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9" fillId="0" borderId="20" xfId="0" applyFont="1" applyBorder="1" applyAlignment="1">
      <alignment horizontal="center" vertical="center" textRotation="90" shrinkToFit="1"/>
    </xf>
    <xf numFmtId="0" fontId="9" fillId="0" borderId="28" xfId="0" applyFont="1" applyBorder="1" applyAlignment="1">
      <alignment horizontal="center" vertical="center" textRotation="90" shrinkToFit="1"/>
    </xf>
    <xf numFmtId="0" fontId="9" fillId="0" borderId="21" xfId="0" applyFont="1" applyBorder="1" applyAlignment="1">
      <alignment horizontal="center" vertical="center" textRotation="90" shrinkToFit="1"/>
    </xf>
    <xf numFmtId="0" fontId="9" fillId="0" borderId="40" xfId="0" applyFont="1" applyBorder="1" applyAlignment="1">
      <alignment horizontal="center" vertical="center" textRotation="90" shrinkToFit="1"/>
    </xf>
    <xf numFmtId="0" fontId="9" fillId="0" borderId="44" xfId="0" applyFont="1" applyBorder="1" applyAlignment="1">
      <alignment horizontal="center" vertical="center" textRotation="90" shrinkToFit="1"/>
    </xf>
    <xf numFmtId="0" fontId="9" fillId="0" borderId="31" xfId="0" applyFont="1" applyBorder="1" applyAlignment="1">
      <alignment horizontal="center" vertical="center" textRotation="90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textRotation="90" shrinkToFit="1"/>
    </xf>
    <xf numFmtId="0" fontId="9" fillId="0" borderId="7" xfId="0" applyFont="1" applyBorder="1" applyAlignment="1">
      <alignment horizontal="center" vertical="center" textRotation="90" shrinkToFit="1"/>
    </xf>
    <xf numFmtId="0" fontId="9" fillId="0" borderId="13" xfId="0" applyFont="1" applyBorder="1" applyAlignment="1">
      <alignment horizontal="center" vertical="center" textRotation="90" shrinkToFit="1"/>
    </xf>
    <xf numFmtId="0" fontId="9" fillId="4" borderId="15" xfId="0" applyFont="1" applyFill="1" applyBorder="1" applyAlignment="1">
      <alignment horizontal="center" vertical="center" textRotation="90" wrapText="1" shrinkToFit="1"/>
    </xf>
    <xf numFmtId="0" fontId="0" fillId="4" borderId="4" xfId="0" applyFill="1" applyBorder="1" applyAlignment="1">
      <alignment horizontal="center" vertical="center" wrapText="1" shrinkToFit="1"/>
    </xf>
    <xf numFmtId="0" fontId="0" fillId="4" borderId="10" xfId="0" applyFill="1" applyBorder="1" applyAlignment="1">
      <alignment horizontal="center" vertical="center" wrapText="1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49" fontId="11" fillId="6" borderId="37" xfId="0" applyNumberFormat="1" applyFont="1" applyFill="1" applyBorder="1" applyAlignment="1">
      <alignment horizontal="left" vertical="top" wrapText="1"/>
    </xf>
    <xf numFmtId="49" fontId="11" fillId="6" borderId="22" xfId="0" applyNumberFormat="1" applyFont="1" applyFill="1" applyBorder="1" applyAlignment="1">
      <alignment horizontal="left" vertical="top" wrapText="1"/>
    </xf>
    <xf numFmtId="49" fontId="11" fillId="6" borderId="69" xfId="0" applyNumberFormat="1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 textRotation="90" shrinkToFit="1"/>
    </xf>
    <xf numFmtId="0" fontId="9" fillId="0" borderId="4" xfId="0" applyFont="1" applyBorder="1" applyAlignment="1">
      <alignment horizontal="center" textRotation="90" shrinkToFit="1"/>
    </xf>
    <xf numFmtId="0" fontId="9" fillId="0" borderId="10" xfId="0" applyFont="1" applyBorder="1" applyAlignment="1">
      <alignment horizontal="center" textRotation="90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center" textRotation="90" shrinkToFit="1"/>
    </xf>
    <xf numFmtId="0" fontId="9" fillId="0" borderId="53" xfId="0" applyNumberFormat="1" applyFont="1" applyBorder="1" applyAlignment="1">
      <alignment horizontal="center" vertical="center" textRotation="90" shrinkToFit="1"/>
    </xf>
    <xf numFmtId="0" fontId="9" fillId="0" borderId="32" xfId="0" applyNumberFormat="1" applyFont="1" applyBorder="1" applyAlignment="1">
      <alignment horizontal="center" vertical="center" textRotation="90" shrinkToFit="1"/>
    </xf>
    <xf numFmtId="0" fontId="9" fillId="0" borderId="15" xfId="0" applyFont="1" applyBorder="1" applyAlignment="1">
      <alignment horizontal="center" vertical="center" textRotation="90" shrinkToFit="1"/>
    </xf>
    <xf numFmtId="0" fontId="9" fillId="0" borderId="4" xfId="0" applyFont="1" applyBorder="1" applyAlignment="1">
      <alignment horizontal="center" vertical="center" textRotation="90" shrinkToFit="1"/>
    </xf>
    <xf numFmtId="0" fontId="9" fillId="0" borderId="10" xfId="0" applyFont="1" applyBorder="1" applyAlignment="1">
      <alignment horizontal="center" vertical="center" textRotation="90" shrinkToFit="1"/>
    </xf>
    <xf numFmtId="3" fontId="11" fillId="0" borderId="34" xfId="0" applyNumberFormat="1" applyFont="1" applyFill="1" applyBorder="1" applyAlignment="1">
      <alignment horizontal="left" vertical="top" wrapText="1"/>
    </xf>
    <xf numFmtId="3" fontId="11" fillId="0" borderId="44" xfId="0" applyNumberFormat="1" applyFont="1" applyFill="1" applyBorder="1" applyAlignment="1">
      <alignment horizontal="left" vertical="top" wrapText="1"/>
    </xf>
    <xf numFmtId="3" fontId="11" fillId="0" borderId="29" xfId="0" applyNumberFormat="1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center" vertical="center" textRotation="90" wrapText="1"/>
    </xf>
    <xf numFmtId="0" fontId="7" fillId="0" borderId="31" xfId="0" applyFont="1" applyFill="1" applyBorder="1" applyAlignment="1">
      <alignment horizontal="center" vertical="center" textRotation="90" wrapText="1"/>
    </xf>
    <xf numFmtId="49" fontId="10" fillId="0" borderId="40" xfId="0" applyNumberFormat="1" applyFont="1" applyBorder="1" applyAlignment="1">
      <alignment horizontal="center" vertical="center" textRotation="90" wrapText="1"/>
    </xf>
    <xf numFmtId="49" fontId="10" fillId="0" borderId="44" xfId="0" applyNumberFormat="1" applyFont="1" applyBorder="1" applyAlignment="1">
      <alignment horizontal="center" vertical="center" textRotation="90" wrapText="1"/>
    </xf>
    <xf numFmtId="49" fontId="10" fillId="0" borderId="31" xfId="0" applyNumberFormat="1" applyFont="1" applyBorder="1" applyAlignment="1">
      <alignment horizontal="center" vertical="center" textRotation="90" wrapText="1"/>
    </xf>
    <xf numFmtId="49" fontId="9" fillId="0" borderId="69" xfId="0" applyNumberFormat="1" applyFont="1" applyBorder="1" applyAlignment="1">
      <alignment horizontal="center" vertical="top" wrapText="1"/>
    </xf>
    <xf numFmtId="49" fontId="9" fillId="0" borderId="55" xfId="0" applyNumberFormat="1" applyFont="1" applyBorder="1" applyAlignment="1">
      <alignment horizontal="center" vertical="top" wrapText="1"/>
    </xf>
    <xf numFmtId="49" fontId="9" fillId="0" borderId="70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12" fillId="0" borderId="40" xfId="0" quotePrefix="1" applyNumberFormat="1" applyFont="1" applyBorder="1" applyAlignment="1">
      <alignment horizontal="center" vertical="center" textRotation="90"/>
    </xf>
    <xf numFmtId="49" fontId="12" fillId="0" borderId="44" xfId="0" quotePrefix="1" applyNumberFormat="1" applyFont="1" applyBorder="1" applyAlignment="1">
      <alignment horizontal="center" vertical="center" textRotation="90"/>
    </xf>
    <xf numFmtId="49" fontId="12" fillId="0" borderId="31" xfId="0" applyNumberFormat="1" applyFont="1" applyBorder="1" applyAlignment="1">
      <alignment horizontal="center" vertical="center" textRotation="90"/>
    </xf>
    <xf numFmtId="0" fontId="6" fillId="10" borderId="23" xfId="0" applyFont="1" applyFill="1" applyBorder="1" applyAlignment="1">
      <alignment horizontal="right" vertical="top"/>
    </xf>
    <xf numFmtId="0" fontId="1" fillId="10" borderId="23" xfId="0" applyFont="1" applyFill="1" applyBorder="1" applyAlignment="1">
      <alignment horizontal="right" vertical="top"/>
    </xf>
    <xf numFmtId="49" fontId="9" fillId="0" borderId="53" xfId="0" applyNumberFormat="1" applyFont="1" applyFill="1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49" fontId="9" fillId="0" borderId="16" xfId="0" applyNumberFormat="1" applyFont="1" applyFill="1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49" fontId="9" fillId="0" borderId="44" xfId="0" applyNumberFormat="1" applyFont="1" applyFill="1" applyBorder="1" applyAlignment="1">
      <alignment vertical="center" textRotation="90"/>
    </xf>
    <xf numFmtId="0" fontId="0" fillId="0" borderId="44" xfId="0" applyBorder="1" applyAlignment="1">
      <alignment vertical="center" textRotation="90"/>
    </xf>
    <xf numFmtId="49" fontId="29" fillId="4" borderId="16" xfId="0" applyNumberFormat="1" applyFont="1" applyFill="1" applyBorder="1" applyAlignment="1">
      <alignment horizontal="center" vertical="center" textRotation="90" wrapText="1"/>
    </xf>
    <xf numFmtId="0" fontId="33" fillId="0" borderId="44" xfId="0" applyFont="1" applyBorder="1" applyAlignment="1">
      <alignment horizontal="center" vertical="center" textRotation="90" wrapText="1"/>
    </xf>
    <xf numFmtId="0" fontId="33" fillId="0" borderId="34" xfId="0" applyFont="1" applyBorder="1" applyAlignment="1">
      <alignment horizontal="center" vertical="center" textRotation="90" wrapText="1"/>
    </xf>
    <xf numFmtId="49" fontId="5" fillId="0" borderId="69" xfId="0" applyNumberFormat="1" applyFont="1" applyBorder="1" applyAlignment="1">
      <alignment horizontal="center" vertical="top" wrapText="1"/>
    </xf>
    <xf numFmtId="49" fontId="5" fillId="0" borderId="55" xfId="0" applyNumberFormat="1" applyFont="1" applyBorder="1" applyAlignment="1">
      <alignment horizontal="center" vertical="top" wrapText="1"/>
    </xf>
    <xf numFmtId="49" fontId="5" fillId="0" borderId="70" xfId="0" applyNumberFormat="1" applyFont="1" applyBorder="1" applyAlignment="1">
      <alignment horizontal="center" vertical="top" wrapText="1"/>
    </xf>
    <xf numFmtId="0" fontId="9" fillId="4" borderId="106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9" fillId="0" borderId="46" xfId="0" applyFont="1" applyBorder="1" applyAlignment="1">
      <alignment horizontal="left" vertical="top" wrapText="1"/>
    </xf>
    <xf numFmtId="0" fontId="11" fillId="7" borderId="65" xfId="0" applyFont="1" applyFill="1" applyBorder="1" applyAlignment="1">
      <alignment horizontal="right" vertical="top" wrapText="1"/>
    </xf>
    <xf numFmtId="0" fontId="9" fillId="8" borderId="46" xfId="0" applyFont="1" applyFill="1" applyBorder="1" applyAlignment="1">
      <alignment horizontal="left" vertical="top" wrapText="1"/>
    </xf>
    <xf numFmtId="0" fontId="9" fillId="0" borderId="59" xfId="0" applyFont="1" applyBorder="1" applyAlignment="1">
      <alignment horizontal="left" vertical="top" wrapText="1"/>
    </xf>
    <xf numFmtId="0" fontId="9" fillId="4" borderId="46" xfId="0" applyFont="1" applyFill="1" applyBorder="1" applyAlignment="1">
      <alignment horizontal="left" vertical="top" wrapText="1"/>
    </xf>
    <xf numFmtId="0" fontId="0" fillId="0" borderId="58" xfId="0" applyBorder="1" applyAlignment="1">
      <alignment vertical="top" wrapText="1"/>
    </xf>
    <xf numFmtId="0" fontId="0" fillId="0" borderId="73" xfId="0" applyBorder="1" applyAlignment="1">
      <alignment vertical="top" wrapText="1"/>
    </xf>
    <xf numFmtId="49" fontId="10" fillId="0" borderId="40" xfId="0" applyNumberFormat="1" applyFont="1" applyBorder="1" applyAlignment="1">
      <alignment horizontal="center" vertical="top" textRotation="90"/>
    </xf>
    <xf numFmtId="49" fontId="10" fillId="0" borderId="44" xfId="0" applyNumberFormat="1" applyFont="1" applyBorder="1" applyAlignment="1">
      <alignment horizontal="center" vertical="top" textRotation="90"/>
    </xf>
    <xf numFmtId="49" fontId="10" fillId="0" borderId="31" xfId="0" applyNumberFormat="1" applyFont="1" applyBorder="1" applyAlignment="1">
      <alignment horizontal="center" vertical="top" textRotation="90"/>
    </xf>
    <xf numFmtId="49" fontId="11" fillId="2" borderId="0" xfId="0" applyNumberFormat="1" applyFont="1" applyFill="1" applyBorder="1" applyAlignment="1">
      <alignment horizontal="left" vertical="top"/>
    </xf>
    <xf numFmtId="0" fontId="11" fillId="7" borderId="76" xfId="0" applyFont="1" applyFill="1" applyBorder="1" applyAlignment="1">
      <alignment horizontal="right" vertical="top" wrapText="1"/>
    </xf>
    <xf numFmtId="49" fontId="9" fillId="0" borderId="53" xfId="0" applyNumberFormat="1" applyFont="1" applyBorder="1" applyAlignment="1">
      <alignment horizontal="center" vertical="top" wrapText="1"/>
    </xf>
    <xf numFmtId="49" fontId="9" fillId="0" borderId="32" xfId="0" applyNumberFormat="1" applyFont="1" applyBorder="1" applyAlignment="1">
      <alignment horizontal="center" vertical="top" wrapText="1"/>
    </xf>
    <xf numFmtId="49" fontId="12" fillId="0" borderId="40" xfId="0" quotePrefix="1" applyNumberFormat="1" applyFont="1" applyBorder="1" applyAlignment="1">
      <alignment horizontal="center" vertical="center" textRotation="90" wrapText="1"/>
    </xf>
    <xf numFmtId="49" fontId="10" fillId="0" borderId="40" xfId="0" applyNumberFormat="1" applyFont="1" applyBorder="1" applyAlignment="1">
      <alignment horizontal="center" vertical="center" textRotation="90"/>
    </xf>
    <xf numFmtId="49" fontId="10" fillId="0" borderId="31" xfId="0" applyNumberFormat="1" applyFont="1" applyBorder="1" applyAlignment="1">
      <alignment horizontal="center" vertical="center" textRotation="90"/>
    </xf>
    <xf numFmtId="49" fontId="9" fillId="4" borderId="104" xfId="0" applyNumberFormat="1" applyFont="1" applyFill="1" applyBorder="1" applyAlignment="1">
      <alignment horizontal="left" vertical="top" wrapText="1"/>
    </xf>
    <xf numFmtId="49" fontId="9" fillId="4" borderId="44" xfId="0" applyNumberFormat="1" applyFont="1" applyFill="1" applyBorder="1" applyAlignment="1">
      <alignment horizontal="left" vertical="top" wrapText="1"/>
    </xf>
    <xf numFmtId="0" fontId="0" fillId="4" borderId="93" xfId="0" applyFill="1" applyBorder="1" applyAlignment="1">
      <alignment horizontal="left" vertical="top" wrapText="1"/>
    </xf>
    <xf numFmtId="49" fontId="9" fillId="0" borderId="52" xfId="0" applyNumberFormat="1" applyFont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34" xfId="0" applyBorder="1" applyAlignment="1">
      <alignment horizontal="left" vertical="top" wrapText="1"/>
    </xf>
    <xf numFmtId="49" fontId="10" fillId="0" borderId="16" xfId="0" applyNumberFormat="1" applyFont="1" applyBorder="1" applyAlignment="1">
      <alignment horizontal="center" vertical="center" textRotation="90"/>
    </xf>
    <xf numFmtId="0" fontId="9" fillId="0" borderId="76" xfId="0" applyFont="1" applyBorder="1" applyAlignment="1">
      <alignment horizontal="left" vertical="top" wrapText="1"/>
    </xf>
    <xf numFmtId="0" fontId="9" fillId="0" borderId="75" xfId="0" applyFont="1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center" vertical="center" textRotation="90" wrapText="1"/>
    </xf>
    <xf numFmtId="49" fontId="26" fillId="0" borderId="34" xfId="0" applyNumberFormat="1" applyFont="1" applyBorder="1" applyAlignment="1">
      <alignment horizontal="center" vertical="center" textRotation="90" wrapText="1"/>
    </xf>
    <xf numFmtId="49" fontId="10" fillId="4" borderId="16" xfId="0" applyNumberFormat="1" applyFont="1" applyFill="1" applyBorder="1" applyAlignment="1">
      <alignment horizontal="center" vertical="center" textRotation="90" wrapText="1"/>
    </xf>
    <xf numFmtId="0" fontId="30" fillId="4" borderId="44" xfId="0" applyFont="1" applyFill="1" applyBorder="1" applyAlignment="1">
      <alignment horizontal="center" vertical="center" textRotation="90"/>
    </xf>
    <xf numFmtId="0" fontId="30" fillId="4" borderId="34" xfId="0" applyFont="1" applyFill="1" applyBorder="1" applyAlignment="1">
      <alignment horizontal="center" vertical="center" textRotation="90"/>
    </xf>
    <xf numFmtId="49" fontId="9" fillId="0" borderId="19" xfId="0" applyNumberFormat="1" applyFont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164" fontId="9" fillId="4" borderId="54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wrapText="1"/>
    </xf>
    <xf numFmtId="49" fontId="9" fillId="0" borderId="17" xfId="0" applyNumberFormat="1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66" xfId="0" applyFont="1" applyFill="1" applyBorder="1" applyAlignment="1">
      <alignment horizontal="center" vertical="top" wrapText="1"/>
    </xf>
    <xf numFmtId="49" fontId="10" fillId="4" borderId="44" xfId="0" applyNumberFormat="1" applyFont="1" applyFill="1" applyBorder="1" applyAlignment="1">
      <alignment horizontal="center" vertical="center" textRotation="90" wrapText="1"/>
    </xf>
    <xf numFmtId="49" fontId="10" fillId="4" borderId="34" xfId="0" applyNumberFormat="1" applyFont="1" applyFill="1" applyBorder="1" applyAlignment="1">
      <alignment horizontal="center" vertical="center" textRotation="90"/>
    </xf>
    <xf numFmtId="0" fontId="9" fillId="0" borderId="76" xfId="0" applyFont="1" applyBorder="1" applyAlignment="1">
      <alignment vertical="top" wrapText="1"/>
    </xf>
    <xf numFmtId="49" fontId="9" fillId="4" borderId="54" xfId="0" applyNumberFormat="1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center" textRotation="90"/>
    </xf>
    <xf numFmtId="0" fontId="30" fillId="0" borderId="34" xfId="0" applyFont="1" applyBorder="1" applyAlignment="1">
      <alignment horizontal="center"/>
    </xf>
    <xf numFmtId="49" fontId="11" fillId="0" borderId="66" xfId="0" applyNumberFormat="1" applyFont="1" applyBorder="1" applyAlignment="1">
      <alignment horizontal="center" vertical="top"/>
    </xf>
    <xf numFmtId="49" fontId="11" fillId="0" borderId="71" xfId="0" applyNumberFormat="1" applyFont="1" applyBorder="1" applyAlignment="1">
      <alignment horizontal="center" vertical="top"/>
    </xf>
    <xf numFmtId="0" fontId="9" fillId="0" borderId="65" xfId="0" applyFont="1" applyBorder="1" applyAlignment="1">
      <alignment vertical="top" wrapText="1"/>
    </xf>
    <xf numFmtId="0" fontId="1" fillId="0" borderId="75" xfId="0" applyFont="1" applyBorder="1" applyAlignment="1">
      <alignment vertical="top" wrapText="1"/>
    </xf>
    <xf numFmtId="49" fontId="9" fillId="0" borderId="5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49" fontId="11" fillId="0" borderId="17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49" fontId="7" fillId="0" borderId="44" xfId="0" applyNumberFormat="1" applyFont="1" applyFill="1" applyBorder="1" applyAlignment="1">
      <alignment horizontal="right" vertical="top"/>
    </xf>
    <xf numFmtId="49" fontId="7" fillId="0" borderId="31" xfId="0" applyNumberFormat="1" applyFont="1" applyFill="1" applyBorder="1" applyAlignment="1">
      <alignment horizontal="right" vertical="top"/>
    </xf>
    <xf numFmtId="49" fontId="11" fillId="0" borderId="17" xfId="0" applyNumberFormat="1" applyFont="1" applyBorder="1" applyAlignment="1">
      <alignment horizontal="center" vertical="top"/>
    </xf>
    <xf numFmtId="0" fontId="7" fillId="0" borderId="40" xfId="0" applyFont="1" applyFill="1" applyBorder="1" applyAlignment="1">
      <alignment horizontal="center" vertical="top" wrapText="1"/>
    </xf>
    <xf numFmtId="49" fontId="10" fillId="0" borderId="40" xfId="0" applyNumberFormat="1" applyFont="1" applyBorder="1" applyAlignment="1">
      <alignment horizontal="center" vertical="top" textRotation="90" wrapText="1"/>
    </xf>
    <xf numFmtId="49" fontId="10" fillId="0" borderId="40" xfId="0" applyNumberFormat="1" applyFont="1" applyFill="1" applyBorder="1" applyAlignment="1">
      <alignment horizontal="center" vertical="top" textRotation="90" wrapText="1"/>
    </xf>
    <xf numFmtId="49" fontId="10" fillId="0" borderId="44" xfId="0" applyNumberFormat="1" applyFont="1" applyFill="1" applyBorder="1" applyAlignment="1">
      <alignment horizontal="center" vertical="top" textRotation="90" wrapText="1"/>
    </xf>
    <xf numFmtId="49" fontId="10" fillId="0" borderId="31" xfId="0" applyNumberFormat="1" applyFont="1" applyFill="1" applyBorder="1" applyAlignment="1">
      <alignment horizontal="center" vertical="top" textRotation="90" wrapText="1"/>
    </xf>
    <xf numFmtId="0" fontId="0" fillId="0" borderId="34" xfId="0" applyBorder="1" applyAlignment="1">
      <alignment horizontal="center" vertical="center" textRotation="90" wrapText="1"/>
    </xf>
    <xf numFmtId="0" fontId="9" fillId="4" borderId="17" xfId="0" applyFont="1" applyFill="1" applyBorder="1" applyAlignment="1">
      <alignment vertical="top" wrapText="1"/>
    </xf>
    <xf numFmtId="0" fontId="9" fillId="4" borderId="18" xfId="0" applyFont="1" applyFill="1" applyBorder="1" applyAlignment="1">
      <alignment vertical="top" wrapText="1"/>
    </xf>
    <xf numFmtId="49" fontId="11" fillId="4" borderId="0" xfId="0" applyNumberFormat="1" applyFont="1" applyFill="1" applyBorder="1" applyAlignment="1">
      <alignment horizontal="center" vertical="top"/>
    </xf>
    <xf numFmtId="49" fontId="11" fillId="4" borderId="66" xfId="0" applyNumberFormat="1" applyFont="1" applyFill="1" applyBorder="1" applyAlignment="1">
      <alignment horizontal="center" vertical="top"/>
    </xf>
    <xf numFmtId="0" fontId="9" fillId="4" borderId="50" xfId="0" applyFont="1" applyFill="1" applyBorder="1" applyAlignment="1">
      <alignment horizontal="left" vertical="top" wrapText="1"/>
    </xf>
    <xf numFmtId="49" fontId="9" fillId="4" borderId="17" xfId="0" applyNumberFormat="1" applyFont="1" applyFill="1" applyBorder="1" applyAlignment="1">
      <alignment horizontal="center" vertical="top"/>
    </xf>
    <xf numFmtId="49" fontId="9" fillId="4" borderId="18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 textRotation="90" wrapText="1"/>
    </xf>
    <xf numFmtId="49" fontId="11" fillId="0" borderId="22" xfId="0" applyNumberFormat="1" applyFont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49" fontId="7" fillId="0" borderId="44" xfId="0" applyNumberFormat="1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11" fillId="0" borderId="40" xfId="4" applyNumberFormat="1" applyFont="1" applyBorder="1" applyAlignment="1">
      <alignment horizontal="center" vertical="top"/>
    </xf>
    <xf numFmtId="0" fontId="11" fillId="0" borderId="31" xfId="4" applyNumberFormat="1" applyFont="1" applyBorder="1" applyAlignment="1">
      <alignment horizontal="center" vertical="top"/>
    </xf>
    <xf numFmtId="0" fontId="9" fillId="4" borderId="53" xfId="4" applyNumberFormat="1" applyFont="1" applyFill="1" applyBorder="1" applyAlignment="1">
      <alignment horizontal="center" vertical="top" wrapText="1"/>
    </xf>
    <xf numFmtId="0" fontId="0" fillId="4" borderId="53" xfId="0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49" fontId="9" fillId="4" borderId="41" xfId="0" applyNumberFormat="1" applyFont="1" applyFill="1" applyBorder="1" applyAlignment="1">
      <alignment horizontal="center" vertical="top" wrapText="1"/>
    </xf>
    <xf numFmtId="49" fontId="9" fillId="4" borderId="32" xfId="0" applyNumberFormat="1" applyFont="1" applyFill="1" applyBorder="1" applyAlignment="1">
      <alignment horizontal="center" vertical="top" wrapText="1"/>
    </xf>
    <xf numFmtId="49" fontId="9" fillId="0" borderId="26" xfId="0" applyNumberFormat="1" applyFont="1" applyBorder="1" applyAlignment="1">
      <alignment horizontal="center" vertical="top"/>
    </xf>
    <xf numFmtId="49" fontId="9" fillId="0" borderId="34" xfId="0" applyNumberFormat="1" applyFont="1" applyBorder="1" applyAlignment="1">
      <alignment horizontal="center" vertical="top"/>
    </xf>
    <xf numFmtId="49" fontId="9" fillId="0" borderId="38" xfId="0" applyNumberFormat="1" applyFont="1" applyBorder="1" applyAlignment="1">
      <alignment horizontal="center" vertical="top"/>
    </xf>
    <xf numFmtId="49" fontId="9" fillId="0" borderId="29" xfId="0" applyNumberFormat="1" applyFont="1" applyBorder="1" applyAlignment="1">
      <alignment horizontal="center" vertical="top"/>
    </xf>
    <xf numFmtId="49" fontId="3" fillId="0" borderId="40" xfId="0" quotePrefix="1" applyNumberFormat="1" applyFont="1" applyBorder="1" applyAlignment="1">
      <alignment horizontal="center" vertical="center" textRotation="90"/>
    </xf>
    <xf numFmtId="49" fontId="3" fillId="0" borderId="44" xfId="0" quotePrefix="1" applyNumberFormat="1" applyFont="1" applyBorder="1" applyAlignment="1">
      <alignment horizontal="center" vertical="center" textRotation="90"/>
    </xf>
    <xf numFmtId="49" fontId="3" fillId="0" borderId="31" xfId="0" applyNumberFormat="1" applyFont="1" applyBorder="1" applyAlignment="1">
      <alignment horizontal="center" vertical="center" textRotation="90"/>
    </xf>
    <xf numFmtId="0" fontId="21" fillId="0" borderId="0" xfId="0" applyFont="1" applyAlignment="1">
      <alignment horizontal="center" vertical="top" wrapText="1"/>
    </xf>
    <xf numFmtId="0" fontId="11" fillId="0" borderId="23" xfId="0" applyFont="1" applyBorder="1" applyAlignment="1">
      <alignment horizontal="right" vertical="top"/>
    </xf>
    <xf numFmtId="0" fontId="0" fillId="0" borderId="44" xfId="0" applyBorder="1" applyAlignment="1">
      <alignment horizontal="center" vertical="center" textRotation="90" shrinkToFit="1"/>
    </xf>
    <xf numFmtId="0" fontId="0" fillId="0" borderId="31" xfId="0" applyBorder="1" applyAlignment="1">
      <alignment horizontal="center" vertical="center" textRotation="90" shrinkToFit="1"/>
    </xf>
    <xf numFmtId="0" fontId="11" fillId="0" borderId="11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textRotation="90" shrinkToFit="1"/>
    </xf>
    <xf numFmtId="0" fontId="9" fillId="0" borderId="4" xfId="0" applyNumberFormat="1" applyFont="1" applyFill="1" applyBorder="1" applyAlignment="1">
      <alignment horizontal="center" vertical="center" textRotation="90" shrinkToFit="1"/>
    </xf>
    <xf numFmtId="0" fontId="9" fillId="0" borderId="10" xfId="0" applyNumberFormat="1" applyFont="1" applyFill="1" applyBorder="1" applyAlignment="1">
      <alignment horizontal="center" vertical="center" textRotation="90" shrinkToFit="1"/>
    </xf>
    <xf numFmtId="0" fontId="24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49" fontId="11" fillId="0" borderId="19" xfId="0" applyNumberFormat="1" applyFont="1" applyFill="1" applyBorder="1" applyAlignment="1">
      <alignment horizontal="center" vertical="top"/>
    </xf>
    <xf numFmtId="0" fontId="1" fillId="0" borderId="108" xfId="0" applyFont="1" applyBorder="1" applyAlignment="1">
      <alignment horizontal="center" vertical="top" wrapText="1"/>
    </xf>
    <xf numFmtId="49" fontId="7" fillId="4" borderId="44" xfId="0" applyNumberFormat="1" applyFont="1" applyFill="1" applyBorder="1" applyAlignment="1">
      <alignment vertical="center" textRotation="90"/>
    </xf>
    <xf numFmtId="0" fontId="0" fillId="0" borderId="44" xfId="0" applyBorder="1" applyAlignment="1"/>
    <xf numFmtId="49" fontId="11" fillId="4" borderId="16" xfId="0" applyNumberFormat="1" applyFont="1" applyFill="1" applyBorder="1" applyAlignment="1">
      <alignment vertical="top" wrapText="1"/>
    </xf>
    <xf numFmtId="49" fontId="11" fillId="4" borderId="16" xfId="0" applyNumberFormat="1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>
      <alignment horizontal="center" vertical="center" textRotation="90"/>
    </xf>
    <xf numFmtId="49" fontId="10" fillId="0" borderId="31" xfId="0" applyNumberFormat="1" applyFont="1" applyFill="1" applyBorder="1" applyAlignment="1">
      <alignment horizontal="center" vertical="center" textRotation="90"/>
    </xf>
    <xf numFmtId="0" fontId="9" fillId="0" borderId="52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49" fontId="11" fillId="9" borderId="45" xfId="0" applyNumberFormat="1" applyFont="1" applyFill="1" applyBorder="1" applyAlignment="1">
      <alignment horizontal="center" vertical="top"/>
    </xf>
    <xf numFmtId="49" fontId="11" fillId="2" borderId="52" xfId="0" applyNumberFormat="1" applyFont="1" applyFill="1" applyBorder="1" applyAlignment="1">
      <alignment horizontal="center" vertical="top"/>
    </xf>
    <xf numFmtId="49" fontId="11" fillId="10" borderId="16" xfId="0" applyNumberFormat="1" applyFont="1" applyFill="1" applyBorder="1" applyAlignment="1">
      <alignment horizontal="center" vertical="top"/>
    </xf>
    <xf numFmtId="49" fontId="11" fillId="10" borderId="44" xfId="0" applyNumberFormat="1" applyFont="1" applyFill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center" textRotation="90"/>
    </xf>
    <xf numFmtId="0" fontId="9" fillId="0" borderId="7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" fontId="7" fillId="0" borderId="16" xfId="0" applyNumberFormat="1" applyFont="1" applyFill="1" applyBorder="1" applyAlignment="1">
      <alignment horizontal="center" vertical="center" textRotation="90" wrapText="1"/>
    </xf>
    <xf numFmtId="1" fontId="0" fillId="0" borderId="44" xfId="0" applyNumberFormat="1" applyBorder="1" applyAlignment="1">
      <alignment horizontal="center" vertical="center" textRotation="90" wrapText="1"/>
    </xf>
    <xf numFmtId="1" fontId="0" fillId="0" borderId="34" xfId="0" applyNumberFormat="1" applyBorder="1" applyAlignment="1">
      <alignment horizontal="center" vertical="center" textRotation="90" wrapText="1"/>
    </xf>
    <xf numFmtId="49" fontId="10" fillId="0" borderId="16" xfId="0" applyNumberFormat="1" applyFont="1" applyFill="1" applyBorder="1" applyAlignment="1">
      <alignment horizontal="center" vertical="center" textRotation="90" wrapText="1"/>
    </xf>
    <xf numFmtId="49" fontId="30" fillId="0" borderId="44" xfId="0" applyNumberFormat="1" applyFont="1" applyBorder="1" applyAlignment="1">
      <alignment horizontal="center" vertical="center" textRotation="90" wrapText="1"/>
    </xf>
    <xf numFmtId="49" fontId="30" fillId="0" borderId="34" xfId="0" applyNumberFormat="1" applyFont="1" applyBorder="1" applyAlignment="1">
      <alignment horizontal="center" vertical="center" textRotation="90" wrapText="1"/>
    </xf>
    <xf numFmtId="49" fontId="11" fillId="10" borderId="19" xfId="0" applyNumberFormat="1" applyFont="1" applyFill="1" applyBorder="1" applyAlignment="1">
      <alignment horizontal="center" vertical="top"/>
    </xf>
    <xf numFmtId="49" fontId="11" fillId="0" borderId="72" xfId="0" applyNumberFormat="1" applyFont="1" applyBorder="1" applyAlignment="1">
      <alignment horizontal="center" vertical="top"/>
    </xf>
    <xf numFmtId="49" fontId="11" fillId="0" borderId="65" xfId="0" applyNumberFormat="1" applyFont="1" applyBorder="1" applyAlignment="1">
      <alignment horizontal="center" vertical="top"/>
    </xf>
    <xf numFmtId="0" fontId="9" fillId="4" borderId="54" xfId="4" applyNumberFormat="1" applyFont="1" applyFill="1" applyBorder="1" applyAlignment="1">
      <alignment horizontal="center" vertical="top" wrapText="1"/>
    </xf>
    <xf numFmtId="0" fontId="1" fillId="0" borderId="58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49" fontId="10" fillId="4" borderId="40" xfId="0" applyNumberFormat="1" applyFont="1" applyFill="1" applyBorder="1" applyAlignment="1">
      <alignment horizontal="center" vertical="center" textRotation="90" wrapText="1"/>
    </xf>
    <xf numFmtId="49" fontId="10" fillId="4" borderId="31" xfId="0" applyNumberFormat="1" applyFont="1" applyFill="1" applyBorder="1" applyAlignment="1">
      <alignment horizontal="center" vertical="center" textRotation="90" wrapText="1"/>
    </xf>
    <xf numFmtId="0" fontId="1" fillId="0" borderId="44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21" xfId="0" applyFont="1" applyBorder="1" applyAlignment="1">
      <alignment vertical="top"/>
    </xf>
    <xf numFmtId="0" fontId="1" fillId="4" borderId="28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 textRotation="90"/>
    </xf>
    <xf numFmtId="0" fontId="1" fillId="0" borderId="53" xfId="0" applyFont="1" applyBorder="1" applyAlignment="1">
      <alignment horizontal="center" vertical="top" wrapText="1"/>
    </xf>
    <xf numFmtId="0" fontId="1" fillId="0" borderId="44" xfId="0" applyFont="1" applyBorder="1" applyAlignment="1">
      <alignment vertical="center" textRotation="90"/>
    </xf>
    <xf numFmtId="0" fontId="1" fillId="0" borderId="31" xfId="0" applyFont="1" applyBorder="1" applyAlignment="1">
      <alignment horizontal="center" vertical="center" textRotation="90" wrapText="1"/>
    </xf>
    <xf numFmtId="0" fontId="1" fillId="4" borderId="53" xfId="0" applyFont="1" applyFill="1" applyBorder="1" applyAlignment="1">
      <alignment horizontal="center" vertical="top" wrapText="1"/>
    </xf>
    <xf numFmtId="0" fontId="1" fillId="4" borderId="44" xfId="0" applyFont="1" applyFill="1" applyBorder="1" applyAlignment="1">
      <alignment vertical="center"/>
    </xf>
    <xf numFmtId="0" fontId="1" fillId="0" borderId="31" xfId="0" applyFont="1" applyBorder="1" applyAlignment="1">
      <alignment horizontal="left" vertical="top" wrapText="1"/>
    </xf>
    <xf numFmtId="0" fontId="1" fillId="0" borderId="35" xfId="0" applyFont="1" applyBorder="1" applyAlignment="1">
      <alignment vertical="center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 vertical="top" wrapText="1"/>
    </xf>
    <xf numFmtId="49" fontId="11" fillId="2" borderId="51" xfId="0" applyNumberFormat="1" applyFont="1" applyFill="1" applyBorder="1" applyAlignment="1">
      <alignment horizontal="center" vertical="top"/>
    </xf>
    <xf numFmtId="49" fontId="11" fillId="10" borderId="34" xfId="0" applyNumberFormat="1" applyFont="1" applyFill="1" applyBorder="1" applyAlignment="1">
      <alignment horizontal="center" vertical="top"/>
    </xf>
    <xf numFmtId="0" fontId="1" fillId="4" borderId="93" xfId="0" applyFont="1" applyFill="1" applyBorder="1" applyAlignment="1">
      <alignment horizontal="left" vertical="top" wrapText="1"/>
    </xf>
    <xf numFmtId="1" fontId="1" fillId="0" borderId="44" xfId="0" applyNumberFormat="1" applyFont="1" applyBorder="1" applyAlignment="1">
      <alignment horizontal="center" vertical="center" textRotation="90" wrapText="1"/>
    </xf>
    <xf numFmtId="1" fontId="1" fillId="0" borderId="34" xfId="0" applyNumberFormat="1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top" wrapText="1"/>
    </xf>
    <xf numFmtId="0" fontId="34" fillId="0" borderId="0" xfId="0" applyFont="1" applyAlignment="1">
      <alignment horizontal="right" vertical="top" wrapText="1"/>
    </xf>
    <xf numFmtId="0" fontId="1" fillId="0" borderId="53" xfId="0" applyFont="1" applyBorder="1" applyAlignment="1">
      <alignment horizontal="center" wrapText="1"/>
    </xf>
    <xf numFmtId="0" fontId="1" fillId="0" borderId="65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center" vertical="center" textRotation="90" shrinkToFit="1"/>
    </xf>
    <xf numFmtId="0" fontId="1" fillId="0" borderId="31" xfId="0" applyFont="1" applyBorder="1" applyAlignment="1">
      <alignment horizontal="center" vertical="center" textRotation="90" shrinkToFit="1"/>
    </xf>
  </cellXfs>
  <cellStyles count="7">
    <cellStyle name="Įprastas" xfId="0" builtinId="0"/>
    <cellStyle name="Įprastas 2" xfId="1"/>
    <cellStyle name="Įprastas 3" xfId="2"/>
    <cellStyle name="Įprastas 4" xfId="3"/>
    <cellStyle name="Kablelis" xfId="4" builtinId="3"/>
    <cellStyle name="Normal 2" xfId="5"/>
    <cellStyle name="Normal_biudz uz 2001 atskaitomybe3" xfId="6"/>
  </cellStyles>
  <dxfs count="0"/>
  <tableStyles count="0" defaultTableStyle="TableStyleMedium9" defaultPivotStyle="PivotStyleLight16"/>
  <colors>
    <mruColors>
      <color rgb="FFFFCCFF"/>
      <color rgb="FFCCCCFF"/>
      <color rgb="FFCCFFCC"/>
      <color rgb="FF000000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Pasirinktinis 1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1" sqref="B31"/>
    </sheetView>
  </sheetViews>
  <sheetFormatPr defaultRowHeight="15.75"/>
  <cols>
    <col min="1" max="1" width="22.7109375" style="59" customWidth="1"/>
    <col min="2" max="2" width="60.7109375" style="59" customWidth="1"/>
    <col min="3" max="16384" width="9.140625" style="59"/>
  </cols>
  <sheetData>
    <row r="1" spans="1:2">
      <c r="A1" s="1046" t="s">
        <v>77</v>
      </c>
      <c r="B1" s="1046"/>
    </row>
    <row r="2" spans="1:2" ht="31.5">
      <c r="A2" s="60" t="s">
        <v>3</v>
      </c>
      <c r="B2" s="61" t="s">
        <v>78</v>
      </c>
    </row>
    <row r="3" spans="1:2">
      <c r="A3" s="60" t="s">
        <v>79</v>
      </c>
      <c r="B3" s="61" t="s">
        <v>80</v>
      </c>
    </row>
    <row r="4" spans="1:2">
      <c r="A4" s="60" t="s">
        <v>81</v>
      </c>
      <c r="B4" s="61" t="s">
        <v>82</v>
      </c>
    </row>
    <row r="5" spans="1:2">
      <c r="A5" s="60" t="s">
        <v>83</v>
      </c>
      <c r="B5" s="61" t="s">
        <v>84</v>
      </c>
    </row>
    <row r="6" spans="1:2">
      <c r="A6" s="60" t="s">
        <v>85</v>
      </c>
      <c r="B6" s="61" t="s">
        <v>86</v>
      </c>
    </row>
    <row r="7" spans="1:2">
      <c r="A7" s="60" t="s">
        <v>87</v>
      </c>
      <c r="B7" s="61" t="s">
        <v>88</v>
      </c>
    </row>
    <row r="8" spans="1:2">
      <c r="A8" s="60" t="s">
        <v>89</v>
      </c>
      <c r="B8" s="61" t="s">
        <v>90</v>
      </c>
    </row>
    <row r="9" spans="1:2" ht="15.75" customHeight="1"/>
    <row r="10" spans="1:2" ht="15.75" customHeight="1">
      <c r="A10" s="1047" t="s">
        <v>91</v>
      </c>
      <c r="B10" s="1047"/>
    </row>
  </sheetData>
  <mergeCells count="2">
    <mergeCell ref="A1:B1"/>
    <mergeCell ref="A10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7"/>
  <sheetViews>
    <sheetView topLeftCell="A84" zoomScaleNormal="100" zoomScaleSheetLayoutView="100" workbookViewId="0">
      <selection activeCell="C126" sqref="C126:G126"/>
    </sheetView>
  </sheetViews>
  <sheetFormatPr defaultRowHeight="12.75"/>
  <cols>
    <col min="1" max="3" width="2.85546875" style="1" customWidth="1"/>
    <col min="4" max="4" width="33.140625" style="2" customWidth="1"/>
    <col min="5" max="5" width="3.28515625" style="28" customWidth="1"/>
    <col min="6" max="6" width="2.85546875" style="8" customWidth="1"/>
    <col min="7" max="7" width="7.28515625" style="1" customWidth="1"/>
    <col min="8" max="8" width="9.85546875" style="1" customWidth="1"/>
    <col min="9" max="9" width="10.5703125" style="1" customWidth="1"/>
    <col min="10" max="10" width="9.5703125" style="1" customWidth="1"/>
    <col min="11" max="11" width="35" style="1" customWidth="1"/>
    <col min="12" max="12" width="5.5703125" style="37" customWidth="1"/>
    <col min="13" max="13" width="4.7109375" style="37" customWidth="1"/>
    <col min="14" max="14" width="5" style="37" customWidth="1"/>
    <col min="15" max="15" width="5.28515625" style="1" customWidth="1"/>
    <col min="16" max="16384" width="9.140625" style="1"/>
  </cols>
  <sheetData>
    <row r="1" spans="1:14" s="2" customFormat="1" ht="15.75">
      <c r="A1" s="1261" t="s">
        <v>306</v>
      </c>
      <c r="B1" s="1261"/>
      <c r="C1" s="1261"/>
      <c r="D1" s="1261"/>
      <c r="E1" s="1261"/>
      <c r="F1" s="1261"/>
      <c r="G1" s="1261"/>
      <c r="H1" s="1261"/>
      <c r="I1" s="1261"/>
      <c r="J1" s="1261"/>
      <c r="K1" s="1261"/>
      <c r="L1" s="1261"/>
      <c r="M1" s="1261"/>
      <c r="N1" s="1261"/>
    </row>
    <row r="2" spans="1:14" s="2" customFormat="1" ht="15" customHeight="1">
      <c r="A2" s="1048" t="s">
        <v>124</v>
      </c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</row>
    <row r="3" spans="1:14" s="2" customFormat="1" ht="15.75">
      <c r="A3" s="1261" t="s">
        <v>53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</row>
    <row r="4" spans="1:14" s="2" customFormat="1" ht="13.5" thickBot="1">
      <c r="E4" s="28"/>
      <c r="F4" s="50"/>
      <c r="J4" s="442"/>
      <c r="K4" s="442"/>
      <c r="L4" s="1050" t="s">
        <v>271</v>
      </c>
      <c r="M4" s="1051"/>
      <c r="N4" s="1051"/>
    </row>
    <row r="5" spans="1:14" s="11" customFormat="1" ht="22.5" customHeight="1">
      <c r="A5" s="1262" t="s">
        <v>157</v>
      </c>
      <c r="B5" s="1265" t="s">
        <v>0</v>
      </c>
      <c r="C5" s="1265" t="s">
        <v>1</v>
      </c>
      <c r="D5" s="1268" t="s">
        <v>17</v>
      </c>
      <c r="E5" s="1271" t="s">
        <v>2</v>
      </c>
      <c r="F5" s="1295" t="s">
        <v>3</v>
      </c>
      <c r="G5" s="1298" t="s">
        <v>4</v>
      </c>
      <c r="H5" s="1274" t="s">
        <v>160</v>
      </c>
      <c r="I5" s="1285" t="s">
        <v>76</v>
      </c>
      <c r="J5" s="1285" t="s">
        <v>161</v>
      </c>
      <c r="K5" s="1288" t="s">
        <v>61</v>
      </c>
      <c r="L5" s="1289"/>
      <c r="M5" s="1289"/>
      <c r="N5" s="1290"/>
    </row>
    <row r="6" spans="1:14" s="11" customFormat="1" ht="12.75" customHeight="1">
      <c r="A6" s="1263"/>
      <c r="B6" s="1266"/>
      <c r="C6" s="1266"/>
      <c r="D6" s="1269"/>
      <c r="E6" s="1272"/>
      <c r="F6" s="1296"/>
      <c r="G6" s="1299"/>
      <c r="H6" s="1275"/>
      <c r="I6" s="1286"/>
      <c r="J6" s="1286"/>
      <c r="K6" s="1277" t="s">
        <v>17</v>
      </c>
      <c r="L6" s="1279" t="s">
        <v>243</v>
      </c>
      <c r="M6" s="1280"/>
      <c r="N6" s="1281"/>
    </row>
    <row r="7" spans="1:14" s="11" customFormat="1" ht="83.25" customHeight="1" thickBot="1">
      <c r="A7" s="1264"/>
      <c r="B7" s="1267"/>
      <c r="C7" s="1267"/>
      <c r="D7" s="1270"/>
      <c r="E7" s="1273"/>
      <c r="F7" s="1297"/>
      <c r="G7" s="1300"/>
      <c r="H7" s="1276"/>
      <c r="I7" s="1287"/>
      <c r="J7" s="1287"/>
      <c r="K7" s="1278"/>
      <c r="L7" s="263" t="s">
        <v>62</v>
      </c>
      <c r="M7" s="263" t="s">
        <v>98</v>
      </c>
      <c r="N7" s="264" t="s">
        <v>167</v>
      </c>
    </row>
    <row r="8" spans="1:14" s="2" customFormat="1" ht="16.5" customHeight="1">
      <c r="A8" s="1282" t="s">
        <v>24</v>
      </c>
      <c r="B8" s="1283"/>
      <c r="C8" s="1283"/>
      <c r="D8" s="1283"/>
      <c r="E8" s="1283"/>
      <c r="F8" s="1283"/>
      <c r="G8" s="1283"/>
      <c r="H8" s="1283"/>
      <c r="I8" s="1283"/>
      <c r="J8" s="1283"/>
      <c r="K8" s="1283"/>
      <c r="L8" s="1283"/>
      <c r="M8" s="1283"/>
      <c r="N8" s="1284"/>
    </row>
    <row r="9" spans="1:14" s="2" customFormat="1" ht="13.5" customHeight="1">
      <c r="A9" s="1239" t="s">
        <v>56</v>
      </c>
      <c r="B9" s="1240"/>
      <c r="C9" s="1240"/>
      <c r="D9" s="1240"/>
      <c r="E9" s="1240"/>
      <c r="F9" s="1240"/>
      <c r="G9" s="1240"/>
      <c r="H9" s="1240"/>
      <c r="I9" s="1240"/>
      <c r="J9" s="1240"/>
      <c r="K9" s="1240"/>
      <c r="L9" s="1240"/>
      <c r="M9" s="1240"/>
      <c r="N9" s="1241"/>
    </row>
    <row r="10" spans="1:14" s="2" customFormat="1" ht="12.75" customHeight="1">
      <c r="A10" s="152" t="s">
        <v>5</v>
      </c>
      <c r="B10" s="1242" t="s">
        <v>44</v>
      </c>
      <c r="C10" s="1242"/>
      <c r="D10" s="1242"/>
      <c r="E10" s="1242"/>
      <c r="F10" s="1242"/>
      <c r="G10" s="1242"/>
      <c r="H10" s="1242"/>
      <c r="I10" s="1242"/>
      <c r="J10" s="1242"/>
      <c r="K10" s="1242"/>
      <c r="L10" s="1242"/>
      <c r="M10" s="1242"/>
      <c r="N10" s="1243"/>
    </row>
    <row r="11" spans="1:14" s="2" customFormat="1">
      <c r="A11" s="153" t="s">
        <v>5</v>
      </c>
      <c r="B11" s="109" t="s">
        <v>5</v>
      </c>
      <c r="C11" s="1244" t="s">
        <v>46</v>
      </c>
      <c r="D11" s="1245"/>
      <c r="E11" s="1245"/>
      <c r="F11" s="1245"/>
      <c r="G11" s="1245"/>
      <c r="H11" s="1245"/>
      <c r="I11" s="1245"/>
      <c r="J11" s="1245"/>
      <c r="K11" s="1245"/>
      <c r="L11" s="1245"/>
      <c r="M11" s="1245"/>
      <c r="N11" s="1246"/>
    </row>
    <row r="12" spans="1:14" s="11" customFormat="1" ht="12" customHeight="1">
      <c r="A12" s="154" t="s">
        <v>5</v>
      </c>
      <c r="B12" s="47" t="s">
        <v>5</v>
      </c>
      <c r="C12" s="312" t="s">
        <v>5</v>
      </c>
      <c r="D12" s="1247" t="s">
        <v>308</v>
      </c>
      <c r="E12" s="1249" t="s">
        <v>209</v>
      </c>
      <c r="F12" s="1252" t="s">
        <v>47</v>
      </c>
      <c r="G12" s="53" t="s">
        <v>9</v>
      </c>
      <c r="H12" s="460">
        <f>(20179+983.3)/3.4528*1000</f>
        <v>6129026</v>
      </c>
      <c r="I12" s="438">
        <f>(19816.1-857.2)*1000/3.4528</f>
        <v>5490877</v>
      </c>
      <c r="J12" s="438">
        <f>18814.6*1000/3.4528</f>
        <v>5449085</v>
      </c>
      <c r="K12" s="184"/>
      <c r="L12" s="313"/>
      <c r="M12" s="313"/>
      <c r="N12" s="314"/>
    </row>
    <row r="13" spans="1:14" s="2" customFormat="1" ht="13.5" customHeight="1">
      <c r="A13" s="702"/>
      <c r="B13" s="704"/>
      <c r="C13" s="706"/>
      <c r="D13" s="1076"/>
      <c r="E13" s="1250"/>
      <c r="F13" s="1253"/>
      <c r="G13" s="191" t="s">
        <v>55</v>
      </c>
      <c r="H13" s="453">
        <f>11.6*1000/3.4528</f>
        <v>3360</v>
      </c>
      <c r="I13" s="454">
        <f>11.6*1000/3.4528</f>
        <v>3360</v>
      </c>
      <c r="J13" s="455">
        <f>11.6*1000/3.4528</f>
        <v>3360</v>
      </c>
      <c r="K13" s="722"/>
      <c r="L13" s="99"/>
      <c r="M13" s="99"/>
      <c r="N13" s="100"/>
    </row>
    <row r="14" spans="1:14" s="2" customFormat="1" ht="14.25" customHeight="1">
      <c r="A14" s="1078"/>
      <c r="B14" s="1231"/>
      <c r="C14" s="1082"/>
      <c r="D14" s="1076"/>
      <c r="E14" s="1250"/>
      <c r="F14" s="1253"/>
      <c r="G14" s="19" t="s">
        <v>121</v>
      </c>
      <c r="H14" s="456">
        <f>81.9/3.4528*1000</f>
        <v>23720</v>
      </c>
      <c r="I14" s="457">
        <f>81*1000/3.4528</f>
        <v>23459</v>
      </c>
      <c r="J14" s="457">
        <f>81/3.4528*1000</f>
        <v>23459</v>
      </c>
      <c r="K14" s="443"/>
      <c r="L14" s="444"/>
      <c r="M14" s="444"/>
      <c r="N14" s="445"/>
    </row>
    <row r="15" spans="1:14" s="2" customFormat="1" ht="14.25" customHeight="1">
      <c r="A15" s="1078"/>
      <c r="B15" s="1231"/>
      <c r="C15" s="1082"/>
      <c r="D15" s="1076"/>
      <c r="E15" s="1250"/>
      <c r="F15" s="1253"/>
      <c r="G15" s="19" t="s">
        <v>41</v>
      </c>
      <c r="H15" s="456">
        <v>713867</v>
      </c>
      <c r="I15" s="457">
        <f>2524*1000/3.4528</f>
        <v>731001</v>
      </c>
      <c r="J15" s="457">
        <f>2524/3.4528*1000</f>
        <v>731001</v>
      </c>
      <c r="K15" s="446"/>
      <c r="L15" s="330"/>
      <c r="M15" s="330"/>
      <c r="N15" s="331"/>
    </row>
    <row r="16" spans="1:14" s="2" customFormat="1" ht="27" customHeight="1">
      <c r="A16" s="1078"/>
      <c r="B16" s="1231"/>
      <c r="C16" s="1082"/>
      <c r="D16" s="1076"/>
      <c r="E16" s="1250"/>
      <c r="F16" s="1253"/>
      <c r="G16" s="188" t="s">
        <v>347</v>
      </c>
      <c r="H16" s="458">
        <f>3181+18</f>
        <v>3199</v>
      </c>
      <c r="I16" s="459"/>
      <c r="J16" s="459"/>
      <c r="K16" s="184" t="s">
        <v>240</v>
      </c>
      <c r="L16" s="729">
        <v>439.5</v>
      </c>
      <c r="M16" s="729">
        <v>439.5</v>
      </c>
      <c r="N16" s="730">
        <v>439.5</v>
      </c>
    </row>
    <row r="17" spans="1:15" s="2" customFormat="1" ht="30.75" customHeight="1">
      <c r="A17" s="1078"/>
      <c r="B17" s="1231"/>
      <c r="C17" s="1082"/>
      <c r="D17" s="1076"/>
      <c r="E17" s="1250"/>
      <c r="F17" s="1253"/>
      <c r="G17" s="188"/>
      <c r="H17" s="458"/>
      <c r="I17" s="459"/>
      <c r="J17" s="459"/>
      <c r="K17" s="368" t="s">
        <v>247</v>
      </c>
      <c r="L17" s="220" t="s">
        <v>173</v>
      </c>
      <c r="M17" s="220" t="s">
        <v>173</v>
      </c>
      <c r="N17" s="221" t="s">
        <v>174</v>
      </c>
    </row>
    <row r="18" spans="1:15" s="2" customFormat="1" ht="15" customHeight="1">
      <c r="A18" s="1078"/>
      <c r="B18" s="1231"/>
      <c r="C18" s="1082"/>
      <c r="D18" s="1076"/>
      <c r="E18" s="1250"/>
      <c r="F18" s="1253"/>
      <c r="G18" s="188"/>
      <c r="H18" s="458"/>
      <c r="I18" s="459"/>
      <c r="J18" s="459"/>
      <c r="K18" s="192" t="s">
        <v>170</v>
      </c>
      <c r="L18" s="193">
        <v>1</v>
      </c>
      <c r="M18" s="193">
        <v>2</v>
      </c>
      <c r="N18" s="194">
        <v>1</v>
      </c>
    </row>
    <row r="19" spans="1:15" s="2" customFormat="1" ht="15.75" customHeight="1">
      <c r="A19" s="1078"/>
      <c r="B19" s="1231"/>
      <c r="C19" s="1082"/>
      <c r="D19" s="1076"/>
      <c r="E19" s="1250"/>
      <c r="F19" s="1253"/>
      <c r="G19" s="188"/>
      <c r="H19" s="458"/>
      <c r="I19" s="459"/>
      <c r="J19" s="485"/>
      <c r="K19" s="283" t="s">
        <v>305</v>
      </c>
      <c r="L19" s="201">
        <v>70</v>
      </c>
      <c r="M19" s="201">
        <v>70</v>
      </c>
      <c r="N19" s="202">
        <v>70</v>
      </c>
    </row>
    <row r="20" spans="1:15" s="2" customFormat="1" ht="27" customHeight="1">
      <c r="A20" s="1078"/>
      <c r="B20" s="1231"/>
      <c r="C20" s="1082"/>
      <c r="D20" s="1076"/>
      <c r="E20" s="1250"/>
      <c r="F20" s="1253"/>
      <c r="G20" s="188"/>
      <c r="H20" s="458"/>
      <c r="I20" s="553"/>
      <c r="J20" s="485"/>
      <c r="K20" s="203" t="s">
        <v>304</v>
      </c>
      <c r="L20" s="201">
        <v>10</v>
      </c>
      <c r="M20" s="201">
        <v>10</v>
      </c>
      <c r="N20" s="202">
        <v>10</v>
      </c>
    </row>
    <row r="21" spans="1:15" s="2" customFormat="1" ht="25.5">
      <c r="A21" s="702"/>
      <c r="B21" s="712"/>
      <c r="C21" s="706"/>
      <c r="D21" s="1076"/>
      <c r="E21" s="1250"/>
      <c r="F21" s="1253"/>
      <c r="G21" s="188"/>
      <c r="H21" s="458"/>
      <c r="I21" s="553"/>
      <c r="J21" s="485"/>
      <c r="K21" s="335" t="s">
        <v>241</v>
      </c>
      <c r="L21" s="499">
        <v>130</v>
      </c>
      <c r="M21" s="499">
        <v>130</v>
      </c>
      <c r="N21" s="500">
        <v>130</v>
      </c>
    </row>
    <row r="22" spans="1:15" s="2" customFormat="1" ht="24.75" customHeight="1">
      <c r="A22" s="156"/>
      <c r="B22" s="704"/>
      <c r="C22" s="706"/>
      <c r="D22" s="1076"/>
      <c r="E22" s="1250"/>
      <c r="F22" s="1253"/>
      <c r="G22" s="390"/>
      <c r="H22" s="458"/>
      <c r="I22" s="554"/>
      <c r="J22" s="435"/>
      <c r="K22" s="369" t="s">
        <v>244</v>
      </c>
      <c r="L22" s="370" t="s">
        <v>181</v>
      </c>
      <c r="M22" s="370" t="s">
        <v>181</v>
      </c>
      <c r="N22" s="371" t="s">
        <v>181</v>
      </c>
    </row>
    <row r="23" spans="1:15" s="2" customFormat="1" ht="22.5" customHeight="1">
      <c r="A23" s="156"/>
      <c r="B23" s="704"/>
      <c r="C23" s="706"/>
      <c r="D23" s="1076"/>
      <c r="E23" s="1250"/>
      <c r="F23" s="1253"/>
      <c r="G23" s="53"/>
      <c r="H23" s="460"/>
      <c r="I23" s="461"/>
      <c r="J23" s="437"/>
      <c r="K23" s="1255" t="s">
        <v>258</v>
      </c>
      <c r="L23" s="386">
        <v>2</v>
      </c>
      <c r="M23" s="427" t="s">
        <v>211</v>
      </c>
      <c r="N23" s="428" t="s">
        <v>211</v>
      </c>
    </row>
    <row r="24" spans="1:15" s="2" customFormat="1" ht="20.25" customHeight="1" thickBot="1">
      <c r="A24" s="157"/>
      <c r="B24" s="705"/>
      <c r="C24" s="311"/>
      <c r="D24" s="1248"/>
      <c r="E24" s="1251"/>
      <c r="F24" s="1254"/>
      <c r="G24" s="708" t="s">
        <v>12</v>
      </c>
      <c r="H24" s="462">
        <f>SUM(H12:H22)</f>
        <v>6873172</v>
      </c>
      <c r="I24" s="463">
        <f>SUM(I12:I22)</f>
        <v>6248697</v>
      </c>
      <c r="J24" s="462">
        <f>SUM(J12:J22)</f>
        <v>6206905</v>
      </c>
      <c r="K24" s="1256"/>
      <c r="L24" s="72"/>
      <c r="M24" s="99"/>
      <c r="N24" s="100"/>
      <c r="O24" s="15"/>
    </row>
    <row r="25" spans="1:15" s="2" customFormat="1" ht="21" customHeight="1">
      <c r="A25" s="1078" t="s">
        <v>5</v>
      </c>
      <c r="B25" s="1231" t="s">
        <v>5</v>
      </c>
      <c r="C25" s="1205" t="s">
        <v>6</v>
      </c>
      <c r="D25" s="1233" t="s">
        <v>110</v>
      </c>
      <c r="E25" s="1218"/>
      <c r="F25" s="1215" t="s">
        <v>47</v>
      </c>
      <c r="G25" s="10" t="s">
        <v>9</v>
      </c>
      <c r="H25" s="464">
        <f>449.7/3.4528*1000</f>
        <v>130242</v>
      </c>
      <c r="I25" s="465">
        <f>450*1000/3.4528</f>
        <v>130329</v>
      </c>
      <c r="J25" s="466">
        <f>450*1000/3.4528</f>
        <v>130329</v>
      </c>
      <c r="K25" s="1237" t="s">
        <v>134</v>
      </c>
      <c r="L25" s="1293">
        <v>7</v>
      </c>
      <c r="M25" s="1293">
        <v>8</v>
      </c>
      <c r="N25" s="1291">
        <v>9</v>
      </c>
    </row>
    <row r="26" spans="1:15" s="2" customFormat="1" ht="17.25" customHeight="1" thickBot="1">
      <c r="A26" s="1079"/>
      <c r="B26" s="1232"/>
      <c r="C26" s="1193"/>
      <c r="D26" s="1229"/>
      <c r="E26" s="1197"/>
      <c r="F26" s="1234"/>
      <c r="G26" s="111" t="s">
        <v>12</v>
      </c>
      <c r="H26" s="467">
        <f t="shared" ref="H26:J26" si="0">H25</f>
        <v>130242</v>
      </c>
      <c r="I26" s="468">
        <f t="shared" si="0"/>
        <v>130329</v>
      </c>
      <c r="J26" s="462">
        <f t="shared" si="0"/>
        <v>130329</v>
      </c>
      <c r="K26" s="1238"/>
      <c r="L26" s="1294"/>
      <c r="M26" s="1294"/>
      <c r="N26" s="1292"/>
    </row>
    <row r="27" spans="1:15" s="2" customFormat="1" ht="12.75" customHeight="1">
      <c r="A27" s="1078" t="s">
        <v>5</v>
      </c>
      <c r="B27" s="1231" t="s">
        <v>5</v>
      </c>
      <c r="C27" s="1205" t="s">
        <v>7</v>
      </c>
      <c r="D27" s="1233" t="s">
        <v>42</v>
      </c>
      <c r="E27" s="1218"/>
      <c r="F27" s="1215" t="s">
        <v>47</v>
      </c>
      <c r="G27" s="12" t="s">
        <v>9</v>
      </c>
      <c r="H27" s="464">
        <f>844.9*1000/3.4528</f>
        <v>244700</v>
      </c>
      <c r="I27" s="465">
        <f>844/3.4528*1000</f>
        <v>244439</v>
      </c>
      <c r="J27" s="466">
        <f>844/3.4528*1000</f>
        <v>244439</v>
      </c>
      <c r="K27" s="1235" t="s">
        <v>133</v>
      </c>
      <c r="L27" s="715">
        <v>31</v>
      </c>
      <c r="M27" s="715">
        <v>31</v>
      </c>
      <c r="N27" s="713">
        <v>31</v>
      </c>
    </row>
    <row r="28" spans="1:15" s="2" customFormat="1" ht="14.25" customHeight="1" thickBot="1">
      <c r="A28" s="1079"/>
      <c r="B28" s="1232"/>
      <c r="C28" s="1193"/>
      <c r="D28" s="1229"/>
      <c r="E28" s="1197"/>
      <c r="F28" s="1234"/>
      <c r="G28" s="111" t="s">
        <v>12</v>
      </c>
      <c r="H28" s="467">
        <f>H27</f>
        <v>244700</v>
      </c>
      <c r="I28" s="462">
        <f t="shared" ref="I28:J28" si="1">I27</f>
        <v>244439</v>
      </c>
      <c r="J28" s="462">
        <f t="shared" si="1"/>
        <v>244439</v>
      </c>
      <c r="K28" s="1236"/>
      <c r="L28" s="716"/>
      <c r="M28" s="716"/>
      <c r="N28" s="714"/>
    </row>
    <row r="29" spans="1:15" s="2" customFormat="1" ht="18" customHeight="1">
      <c r="A29" s="1138" t="s">
        <v>5</v>
      </c>
      <c r="B29" s="1139" t="s">
        <v>5</v>
      </c>
      <c r="C29" s="1192" t="s">
        <v>8</v>
      </c>
      <c r="D29" s="1228" t="s">
        <v>128</v>
      </c>
      <c r="E29" s="1196"/>
      <c r="F29" s="1214" t="s">
        <v>47</v>
      </c>
      <c r="G29" s="17" t="s">
        <v>9</v>
      </c>
      <c r="H29" s="564">
        <f>(316.8+5.5)/3.4528*1000</f>
        <v>93345</v>
      </c>
      <c r="I29" s="469">
        <f>320/3.4528*1000</f>
        <v>92678</v>
      </c>
      <c r="J29" s="469">
        <f>320/3.4528*1000</f>
        <v>92678</v>
      </c>
      <c r="K29" s="1237" t="s">
        <v>72</v>
      </c>
      <c r="L29" s="1224">
        <v>7</v>
      </c>
      <c r="M29" s="1224">
        <v>7</v>
      </c>
      <c r="N29" s="1226">
        <v>7</v>
      </c>
    </row>
    <row r="30" spans="1:15" s="2" customFormat="1" ht="21.75" customHeight="1" thickBot="1">
      <c r="A30" s="1079"/>
      <c r="B30" s="1081"/>
      <c r="C30" s="1193"/>
      <c r="D30" s="1229"/>
      <c r="E30" s="1197"/>
      <c r="F30" s="1234"/>
      <c r="G30" s="110" t="s">
        <v>12</v>
      </c>
      <c r="H30" s="470">
        <f t="shared" ref="H30:J30" si="2">H29</f>
        <v>93345</v>
      </c>
      <c r="I30" s="471">
        <f t="shared" si="2"/>
        <v>92678</v>
      </c>
      <c r="J30" s="471">
        <f t="shared" si="2"/>
        <v>92678</v>
      </c>
      <c r="K30" s="1238"/>
      <c r="L30" s="1225"/>
      <c r="M30" s="1225"/>
      <c r="N30" s="1227"/>
    </row>
    <row r="31" spans="1:15" s="2" customFormat="1" ht="19.5" customHeight="1">
      <c r="A31" s="1138" t="s">
        <v>5</v>
      </c>
      <c r="B31" s="1139" t="s">
        <v>5</v>
      </c>
      <c r="C31" s="1192" t="s">
        <v>26</v>
      </c>
      <c r="D31" s="1228" t="s">
        <v>148</v>
      </c>
      <c r="E31" s="1196"/>
      <c r="F31" s="1214" t="s">
        <v>47</v>
      </c>
      <c r="G31" s="12" t="s">
        <v>9</v>
      </c>
      <c r="H31" s="472">
        <f>42.4/3.4528*1000</f>
        <v>12280</v>
      </c>
      <c r="I31" s="473">
        <f>42/3.4528*1000</f>
        <v>12164</v>
      </c>
      <c r="J31" s="473">
        <f>42/3.4528*1000</f>
        <v>12164</v>
      </c>
      <c r="K31" s="33"/>
      <c r="L31" s="39"/>
      <c r="M31" s="39"/>
      <c r="N31" s="40"/>
    </row>
    <row r="32" spans="1:15" s="2" customFormat="1" ht="13.5" thickBot="1">
      <c r="A32" s="1078"/>
      <c r="B32" s="1080"/>
      <c r="C32" s="1205"/>
      <c r="D32" s="1230"/>
      <c r="E32" s="1218"/>
      <c r="F32" s="1215"/>
      <c r="G32" s="112" t="s">
        <v>12</v>
      </c>
      <c r="H32" s="474">
        <f>SUM(H31:H31)</f>
        <v>12280</v>
      </c>
      <c r="I32" s="474">
        <f>SUM(I31:I31)</f>
        <v>12164</v>
      </c>
      <c r="J32" s="474">
        <f>SUM(J31:J31)</f>
        <v>12164</v>
      </c>
      <c r="K32" s="34"/>
      <c r="L32" s="99"/>
      <c r="M32" s="99"/>
      <c r="N32" s="100"/>
    </row>
    <row r="33" spans="1:14" s="2" customFormat="1" ht="25.5">
      <c r="A33" s="709" t="s">
        <v>5</v>
      </c>
      <c r="B33" s="102" t="s">
        <v>5</v>
      </c>
      <c r="C33" s="315" t="s">
        <v>28</v>
      </c>
      <c r="D33" s="707" t="s">
        <v>130</v>
      </c>
      <c r="E33" s="375"/>
      <c r="F33" s="711"/>
      <c r="G33" s="10"/>
      <c r="H33" s="475"/>
      <c r="I33" s="466"/>
      <c r="J33" s="466"/>
      <c r="K33" s="33"/>
      <c r="L33" s="68"/>
      <c r="M33" s="39"/>
      <c r="N33" s="40"/>
    </row>
    <row r="34" spans="1:14" s="2" customFormat="1" ht="27" customHeight="1">
      <c r="A34" s="702"/>
      <c r="B34" s="101"/>
      <c r="C34" s="316"/>
      <c r="D34" s="710" t="s">
        <v>112</v>
      </c>
      <c r="E34" s="124"/>
      <c r="F34" s="327" t="s">
        <v>47</v>
      </c>
      <c r="G34" s="12" t="s">
        <v>9</v>
      </c>
      <c r="H34" s="456">
        <f>(117.8+10.6)/3.4528*1000</f>
        <v>37187</v>
      </c>
      <c r="I34" s="431">
        <f>117.8/3.4528*1000</f>
        <v>34117</v>
      </c>
      <c r="J34" s="431">
        <f>118/3.4528*1000</f>
        <v>34175</v>
      </c>
      <c r="K34" s="34"/>
      <c r="L34" s="70"/>
      <c r="M34" s="63"/>
      <c r="N34" s="62"/>
    </row>
    <row r="35" spans="1:14" s="2" customFormat="1" ht="90.75" customHeight="1">
      <c r="A35" s="702"/>
      <c r="B35" s="101"/>
      <c r="C35" s="316"/>
      <c r="D35" s="260" t="s">
        <v>267</v>
      </c>
      <c r="E35" s="376"/>
      <c r="F35" s="328" t="s">
        <v>48</v>
      </c>
      <c r="G35" s="256" t="s">
        <v>9</v>
      </c>
      <c r="H35" s="476">
        <f>107.8/3.4528*1000</f>
        <v>31221</v>
      </c>
      <c r="I35" s="432">
        <f>132/3.4528*1000</f>
        <v>38230</v>
      </c>
      <c r="J35" s="432">
        <f>132/3.4528*1000</f>
        <v>38230</v>
      </c>
      <c r="K35" s="257" t="s">
        <v>246</v>
      </c>
      <c r="L35" s="198">
        <v>7</v>
      </c>
      <c r="M35" s="235">
        <v>7</v>
      </c>
      <c r="N35" s="199">
        <v>7</v>
      </c>
    </row>
    <row r="36" spans="1:14" s="2" customFormat="1">
      <c r="A36" s="702"/>
      <c r="B36" s="101"/>
      <c r="C36" s="717"/>
      <c r="D36" s="1219" t="s">
        <v>193</v>
      </c>
      <c r="E36" s="1220"/>
      <c r="F36" s="1222"/>
      <c r="G36" s="318"/>
      <c r="H36" s="496"/>
      <c r="I36" s="497"/>
      <c r="J36" s="497"/>
      <c r="K36" s="319" t="s">
        <v>245</v>
      </c>
      <c r="L36" s="320">
        <v>2</v>
      </c>
      <c r="M36" s="320">
        <v>5</v>
      </c>
      <c r="N36" s="321">
        <v>5</v>
      </c>
    </row>
    <row r="37" spans="1:14" s="2" customFormat="1" ht="27.75" customHeight="1" thickBot="1">
      <c r="A37" s="703"/>
      <c r="B37" s="705"/>
      <c r="C37" s="311"/>
      <c r="D37" s="1096"/>
      <c r="E37" s="1221"/>
      <c r="F37" s="1223"/>
      <c r="G37" s="111" t="s">
        <v>12</v>
      </c>
      <c r="H37" s="498">
        <f>SUM(H34:H36)</f>
        <v>68408</v>
      </c>
      <c r="I37" s="498">
        <f t="shared" ref="I37:J37" si="3">SUM(I34:I36)</f>
        <v>72347</v>
      </c>
      <c r="J37" s="498">
        <f t="shared" si="3"/>
        <v>72405</v>
      </c>
      <c r="K37" s="322"/>
      <c r="L37" s="323"/>
      <c r="M37" s="323"/>
      <c r="N37" s="324"/>
    </row>
    <row r="38" spans="1:14" s="11" customFormat="1" ht="12.75" customHeight="1">
      <c r="A38" s="1078" t="s">
        <v>5</v>
      </c>
      <c r="B38" s="1080" t="s">
        <v>5</v>
      </c>
      <c r="C38" s="1205" t="s">
        <v>29</v>
      </c>
      <c r="D38" s="1216" t="s">
        <v>22</v>
      </c>
      <c r="E38" s="1208"/>
      <c r="F38" s="1217" t="s">
        <v>47</v>
      </c>
      <c r="G38" s="723" t="s">
        <v>9</v>
      </c>
      <c r="H38" s="548">
        <v>4439883</v>
      </c>
      <c r="I38" s="562">
        <f>16139.8/3.4528*1000</f>
        <v>4674409</v>
      </c>
      <c r="J38" s="562">
        <f>13793.1/3.4528*1000</f>
        <v>3994758</v>
      </c>
      <c r="K38" s="1235" t="s">
        <v>99</v>
      </c>
      <c r="L38" s="449">
        <v>6</v>
      </c>
      <c r="M38" s="449">
        <v>7</v>
      </c>
      <c r="N38" s="447">
        <v>8</v>
      </c>
    </row>
    <row r="39" spans="1:14" s="11" customFormat="1" ht="12.75" customHeight="1">
      <c r="A39" s="1078"/>
      <c r="B39" s="1080"/>
      <c r="C39" s="1205"/>
      <c r="D39" s="1216"/>
      <c r="E39" s="1208"/>
      <c r="F39" s="1217"/>
      <c r="G39" s="721" t="s">
        <v>166</v>
      </c>
      <c r="H39" s="458">
        <v>4792058</v>
      </c>
      <c r="I39" s="435"/>
      <c r="J39" s="692"/>
      <c r="K39" s="1259"/>
      <c r="L39" s="99"/>
      <c r="M39" s="99"/>
      <c r="N39" s="100"/>
    </row>
    <row r="40" spans="1:14" s="11" customFormat="1" ht="13.5" thickBot="1">
      <c r="A40" s="1079"/>
      <c r="B40" s="1081"/>
      <c r="C40" s="1193"/>
      <c r="D40" s="1207"/>
      <c r="E40" s="1209"/>
      <c r="F40" s="1213"/>
      <c r="G40" s="113" t="s">
        <v>12</v>
      </c>
      <c r="H40" s="471">
        <f>H38+H39</f>
        <v>9231941</v>
      </c>
      <c r="I40" s="471">
        <f t="shared" ref="I40:J40" si="4">SUM(I38:I38)</f>
        <v>4674409</v>
      </c>
      <c r="J40" s="477">
        <f t="shared" si="4"/>
        <v>3994758</v>
      </c>
      <c r="K40" s="1260"/>
      <c r="L40" s="450"/>
      <c r="M40" s="450"/>
      <c r="N40" s="448"/>
    </row>
    <row r="41" spans="1:14" s="11" customFormat="1" ht="12.75" customHeight="1">
      <c r="A41" s="1138" t="s">
        <v>5</v>
      </c>
      <c r="B41" s="1139" t="s">
        <v>5</v>
      </c>
      <c r="C41" s="1205" t="s">
        <v>30</v>
      </c>
      <c r="D41" s="1206" t="s">
        <v>75</v>
      </c>
      <c r="E41" s="1208"/>
      <c r="F41" s="1212" t="s">
        <v>47</v>
      </c>
      <c r="G41" s="87" t="s">
        <v>9</v>
      </c>
      <c r="H41" s="478">
        <f>100/3.4528*1000</f>
        <v>28962</v>
      </c>
      <c r="I41" s="479">
        <f>100/3.4528*1000</f>
        <v>28962</v>
      </c>
      <c r="J41" s="480">
        <f>100/3.4528*1000</f>
        <v>28962</v>
      </c>
      <c r="K41" s="31"/>
      <c r="L41" s="39"/>
      <c r="M41" s="39"/>
      <c r="N41" s="40"/>
    </row>
    <row r="42" spans="1:14" s="11" customFormat="1" ht="13.5" thickBot="1">
      <c r="A42" s="1079"/>
      <c r="B42" s="1081"/>
      <c r="C42" s="1193"/>
      <c r="D42" s="1207"/>
      <c r="E42" s="1209"/>
      <c r="F42" s="1213"/>
      <c r="G42" s="113" t="s">
        <v>12</v>
      </c>
      <c r="H42" s="481">
        <f>H41</f>
        <v>28962</v>
      </c>
      <c r="I42" s="471">
        <f t="shared" ref="I42:J42" si="5">SUM(I41:I41)</f>
        <v>28962</v>
      </c>
      <c r="J42" s="477">
        <f t="shared" si="5"/>
        <v>28962</v>
      </c>
      <c r="K42" s="32"/>
      <c r="L42" s="42"/>
      <c r="M42" s="42"/>
      <c r="N42" s="43"/>
    </row>
    <row r="43" spans="1:14" s="2" customFormat="1" ht="17.100000000000001" customHeight="1">
      <c r="A43" s="158" t="s">
        <v>5</v>
      </c>
      <c r="B43" s="46" t="s">
        <v>5</v>
      </c>
      <c r="C43" s="325" t="s">
        <v>31</v>
      </c>
      <c r="D43" s="1194" t="s">
        <v>129</v>
      </c>
      <c r="E43" s="377"/>
      <c r="F43" s="549">
        <v>1</v>
      </c>
      <c r="G43" s="10" t="s">
        <v>9</v>
      </c>
      <c r="H43" s="548">
        <f>(809.5/3.4528*1000)+15000</f>
        <v>249447</v>
      </c>
      <c r="I43" s="492">
        <f>(1316.6+25)/3.4528*1000</f>
        <v>388554</v>
      </c>
      <c r="J43" s="482">
        <f>(896.5+25)/3.4528*1000</f>
        <v>266885</v>
      </c>
      <c r="K43" s="130"/>
      <c r="L43" s="97"/>
      <c r="M43" s="131"/>
      <c r="N43" s="551"/>
    </row>
    <row r="44" spans="1:14" s="2" customFormat="1" ht="17.100000000000001" customHeight="1">
      <c r="A44" s="154"/>
      <c r="B44" s="47"/>
      <c r="C44" s="310"/>
      <c r="D44" s="1076"/>
      <c r="E44" s="378"/>
      <c r="F44" s="135"/>
      <c r="G44" s="13" t="s">
        <v>39</v>
      </c>
      <c r="H44" s="483">
        <f>40/3.4528*1000</f>
        <v>11585</v>
      </c>
      <c r="I44" s="694">
        <f>30/3.4528*1000</f>
        <v>8689</v>
      </c>
      <c r="J44" s="431">
        <f>30/3.4528*1000</f>
        <v>8689</v>
      </c>
      <c r="K44" s="696"/>
      <c r="L44" s="98"/>
      <c r="M44" s="248"/>
      <c r="N44" s="100"/>
    </row>
    <row r="45" spans="1:14" s="2" customFormat="1" ht="17.100000000000001" customHeight="1">
      <c r="A45" s="154"/>
      <c r="B45" s="47"/>
      <c r="C45" s="310"/>
      <c r="D45" s="1077"/>
      <c r="E45" s="378"/>
      <c r="F45" s="135"/>
      <c r="G45" s="13" t="s">
        <v>10</v>
      </c>
      <c r="H45" s="483">
        <f>14/3.4528*1000</f>
        <v>4055</v>
      </c>
      <c r="I45" s="694">
        <f>14/3.4528*1000</f>
        <v>4055</v>
      </c>
      <c r="J45" s="431">
        <f>5/3.4528*1000</f>
        <v>1448</v>
      </c>
      <c r="K45" s="66"/>
      <c r="L45" s="70"/>
      <c r="M45" s="76"/>
      <c r="N45" s="62"/>
    </row>
    <row r="46" spans="1:14" s="2" customFormat="1" ht="16.5" customHeight="1">
      <c r="A46" s="154"/>
      <c r="B46" s="47"/>
      <c r="C46" s="310"/>
      <c r="D46" s="1198" t="s">
        <v>149</v>
      </c>
      <c r="E46" s="657"/>
      <c r="F46" s="606"/>
      <c r="G46" s="555"/>
      <c r="H46" s="478"/>
      <c r="I46" s="692"/>
      <c r="J46" s="435"/>
      <c r="K46" s="249" t="s">
        <v>248</v>
      </c>
      <c r="L46" s="98">
        <v>100</v>
      </c>
      <c r="M46" s="248">
        <v>100</v>
      </c>
      <c r="N46" s="100">
        <v>100</v>
      </c>
    </row>
    <row r="47" spans="1:14" s="2" customFormat="1" ht="15.75" customHeight="1">
      <c r="A47" s="154"/>
      <c r="B47" s="47"/>
      <c r="C47" s="310"/>
      <c r="D47" s="1198"/>
      <c r="E47" s="657"/>
      <c r="F47" s="606"/>
      <c r="G47" s="555"/>
      <c r="H47" s="478"/>
      <c r="I47" s="692"/>
      <c r="J47" s="435"/>
      <c r="K47" s="250" t="s">
        <v>96</v>
      </c>
      <c r="L47" s="251">
        <v>38</v>
      </c>
      <c r="M47" s="354">
        <v>95</v>
      </c>
      <c r="N47" s="252">
        <v>95</v>
      </c>
    </row>
    <row r="48" spans="1:14" s="2" customFormat="1" ht="13.5" customHeight="1">
      <c r="A48" s="154"/>
      <c r="B48" s="47"/>
      <c r="C48" s="310"/>
      <c r="D48" s="1198"/>
      <c r="E48" s="657"/>
      <c r="F48" s="606"/>
      <c r="G48" s="555"/>
      <c r="H48" s="478"/>
      <c r="I48" s="692"/>
      <c r="J48" s="435"/>
      <c r="K48" s="128" t="s">
        <v>249</v>
      </c>
      <c r="L48" s="70">
        <v>65</v>
      </c>
      <c r="M48" s="76">
        <v>40</v>
      </c>
      <c r="N48" s="62">
        <v>40</v>
      </c>
    </row>
    <row r="49" spans="1:17" s="2" customFormat="1" ht="16.5" customHeight="1">
      <c r="A49" s="154"/>
      <c r="B49" s="47"/>
      <c r="C49" s="310"/>
      <c r="D49" s="1199" t="s">
        <v>45</v>
      </c>
      <c r="E49" s="610"/>
      <c r="F49" s="606"/>
      <c r="G49" s="555"/>
      <c r="H49" s="478"/>
      <c r="I49" s="692"/>
      <c r="J49" s="435"/>
      <c r="K49" s="197" t="s">
        <v>250</v>
      </c>
      <c r="L49" s="198">
        <v>19</v>
      </c>
      <c r="M49" s="355">
        <v>12</v>
      </c>
      <c r="N49" s="199">
        <v>12</v>
      </c>
    </row>
    <row r="50" spans="1:17" s="2" customFormat="1" ht="15.75" customHeight="1">
      <c r="A50" s="154"/>
      <c r="B50" s="47"/>
      <c r="C50" s="310"/>
      <c r="D50" s="1200"/>
      <c r="E50" s="610"/>
      <c r="F50" s="606"/>
      <c r="G50" s="555"/>
      <c r="H50" s="478"/>
      <c r="I50" s="695"/>
      <c r="J50" s="485"/>
      <c r="K50" s="232"/>
      <c r="L50" s="356"/>
      <c r="M50" s="356"/>
      <c r="N50" s="357"/>
    </row>
    <row r="51" spans="1:17" s="2" customFormat="1" ht="51">
      <c r="A51" s="154"/>
      <c r="B51" s="47"/>
      <c r="C51" s="310"/>
      <c r="D51" s="550" t="s">
        <v>73</v>
      </c>
      <c r="E51" s="54"/>
      <c r="F51" s="135"/>
      <c r="G51" s="555"/>
      <c r="H51" s="478"/>
      <c r="I51" s="556"/>
      <c r="J51" s="557"/>
      <c r="K51" s="372" t="s">
        <v>185</v>
      </c>
      <c r="L51" s="373">
        <v>5</v>
      </c>
      <c r="M51" s="373">
        <v>7</v>
      </c>
      <c r="N51" s="374">
        <v>5</v>
      </c>
    </row>
    <row r="52" spans="1:17" s="2" customFormat="1" ht="41.25" customHeight="1">
      <c r="A52" s="288"/>
      <c r="B52" s="289"/>
      <c r="C52" s="731"/>
      <c r="D52" s="223" t="s">
        <v>186</v>
      </c>
      <c r="E52" s="732"/>
      <c r="F52" s="733"/>
      <c r="G52" s="65"/>
      <c r="H52" s="472"/>
      <c r="I52" s="675"/>
      <c r="J52" s="473"/>
      <c r="K52" s="66" t="s">
        <v>97</v>
      </c>
      <c r="L52" s="70">
        <v>48</v>
      </c>
      <c r="M52" s="359">
        <v>10</v>
      </c>
      <c r="N52" s="360">
        <v>10</v>
      </c>
      <c r="O52" s="233"/>
    </row>
    <row r="53" spans="1:17" s="2" customFormat="1" ht="54" customHeight="1">
      <c r="A53" s="734"/>
      <c r="B53" s="735"/>
      <c r="C53" s="736"/>
      <c r="D53" s="701" t="s">
        <v>150</v>
      </c>
      <c r="E53" s="737"/>
      <c r="F53" s="738"/>
      <c r="G53" s="739"/>
      <c r="H53" s="740"/>
      <c r="I53" s="741"/>
      <c r="J53" s="742"/>
      <c r="K53" s="69" t="s">
        <v>251</v>
      </c>
      <c r="L53" s="67">
        <v>116</v>
      </c>
      <c r="M53" s="229">
        <v>116</v>
      </c>
      <c r="N53" s="230">
        <v>116</v>
      </c>
      <c r="O53" s="233"/>
    </row>
    <row r="54" spans="1:17" s="2" customFormat="1" ht="14.25" customHeight="1">
      <c r="A54" s="154"/>
      <c r="B54" s="104"/>
      <c r="C54" s="326"/>
      <c r="D54" s="1201" t="s">
        <v>60</v>
      </c>
      <c r="E54" s="612"/>
      <c r="F54" s="606"/>
      <c r="G54" s="555"/>
      <c r="H54" s="558"/>
      <c r="I54" s="556"/>
      <c r="J54" s="557"/>
      <c r="K54" s="654" t="s">
        <v>187</v>
      </c>
      <c r="L54" s="429">
        <v>31</v>
      </c>
      <c r="M54" s="429">
        <v>28</v>
      </c>
      <c r="N54" s="430">
        <v>20</v>
      </c>
      <c r="O54" s="233"/>
    </row>
    <row r="55" spans="1:17" s="2" customFormat="1" ht="23.25" customHeight="1">
      <c r="A55" s="154"/>
      <c r="B55" s="104"/>
      <c r="C55" s="326"/>
      <c r="D55" s="1198"/>
      <c r="E55" s="612"/>
      <c r="F55" s="606"/>
      <c r="G55" s="555"/>
      <c r="H55" s="558"/>
      <c r="I55" s="556"/>
      <c r="J55" s="557"/>
      <c r="K55" s="585" t="s">
        <v>188</v>
      </c>
      <c r="L55" s="361" t="s">
        <v>38</v>
      </c>
      <c r="M55" s="361" t="s">
        <v>38</v>
      </c>
      <c r="N55" s="362" t="s">
        <v>27</v>
      </c>
    </row>
    <row r="56" spans="1:17" s="2" customFormat="1" ht="39.75" customHeight="1">
      <c r="A56" s="154"/>
      <c r="B56" s="104"/>
      <c r="C56" s="326"/>
      <c r="D56" s="367" t="s">
        <v>268</v>
      </c>
      <c r="E56" s="612"/>
      <c r="F56" s="606"/>
      <c r="G56" s="555"/>
      <c r="H56" s="478"/>
      <c r="I56" s="695"/>
      <c r="J56" s="485"/>
      <c r="K56" s="161" t="s">
        <v>196</v>
      </c>
      <c r="L56" s="67">
        <v>30</v>
      </c>
      <c r="M56" s="229">
        <v>30</v>
      </c>
      <c r="N56" s="230">
        <v>30</v>
      </c>
      <c r="O56" s="15"/>
      <c r="P56" s="15"/>
    </row>
    <row r="57" spans="1:17" s="2" customFormat="1" ht="28.5" customHeight="1">
      <c r="A57" s="154"/>
      <c r="B57" s="104"/>
      <c r="C57" s="326"/>
      <c r="D57" s="1075" t="s">
        <v>190</v>
      </c>
      <c r="E57" s="612"/>
      <c r="F57" s="606"/>
      <c r="G57" s="555"/>
      <c r="H57" s="478"/>
      <c r="I57" s="692"/>
      <c r="J57" s="435"/>
      <c r="K57" s="234" t="s">
        <v>252</v>
      </c>
      <c r="L57" s="198">
        <v>1</v>
      </c>
      <c r="M57" s="235"/>
      <c r="N57" s="199"/>
      <c r="O57" s="15"/>
    </row>
    <row r="58" spans="1:17" s="2" customFormat="1" ht="27" customHeight="1">
      <c r="A58" s="154"/>
      <c r="B58" s="104"/>
      <c r="C58" s="326"/>
      <c r="D58" s="1077"/>
      <c r="E58" s="612"/>
      <c r="F58" s="606"/>
      <c r="G58" s="555"/>
      <c r="H58" s="478"/>
      <c r="I58" s="692"/>
      <c r="J58" s="435"/>
      <c r="K58" s="66" t="s">
        <v>242</v>
      </c>
      <c r="L58" s="70">
        <v>1</v>
      </c>
      <c r="M58" s="63"/>
      <c r="N58" s="62"/>
      <c r="O58" s="15"/>
    </row>
    <row r="59" spans="1:17" s="2" customFormat="1" ht="27" customHeight="1">
      <c r="A59" s="154"/>
      <c r="B59" s="104"/>
      <c r="C59" s="326"/>
      <c r="D59" s="1210" t="s">
        <v>189</v>
      </c>
      <c r="E59" s="612"/>
      <c r="F59" s="606"/>
      <c r="G59" s="555"/>
      <c r="H59" s="478"/>
      <c r="I59" s="692"/>
      <c r="J59" s="435"/>
      <c r="K59" s="234" t="s">
        <v>253</v>
      </c>
      <c r="L59" s="198">
        <v>2</v>
      </c>
      <c r="M59" s="235"/>
      <c r="N59" s="199"/>
      <c r="O59" s="15"/>
    </row>
    <row r="60" spans="1:17" s="2" customFormat="1" ht="16.5" customHeight="1">
      <c r="A60" s="154"/>
      <c r="B60" s="104"/>
      <c r="C60" s="326"/>
      <c r="D60" s="1211"/>
      <c r="E60" s="612"/>
      <c r="F60" s="606"/>
      <c r="G60" s="555"/>
      <c r="H60" s="478"/>
      <c r="I60" s="692"/>
      <c r="J60" s="435"/>
      <c r="K60" s="368" t="s">
        <v>307</v>
      </c>
      <c r="L60" s="691">
        <v>1</v>
      </c>
      <c r="M60" s="220"/>
      <c r="N60" s="221"/>
      <c r="O60" s="15"/>
    </row>
    <row r="61" spans="1:17" s="2" customFormat="1" ht="27" customHeight="1">
      <c r="A61" s="154"/>
      <c r="B61" s="104"/>
      <c r="C61" s="326"/>
      <c r="D61" s="1077"/>
      <c r="E61" s="612"/>
      <c r="F61" s="606"/>
      <c r="G61" s="555"/>
      <c r="H61" s="478"/>
      <c r="I61" s="692"/>
      <c r="J61" s="435"/>
      <c r="K61" s="163" t="s">
        <v>312</v>
      </c>
      <c r="L61" s="162">
        <v>60</v>
      </c>
      <c r="M61" s="63"/>
      <c r="N61" s="62"/>
      <c r="O61" s="15"/>
    </row>
    <row r="62" spans="1:17" s="2" customFormat="1" ht="28.5" customHeight="1">
      <c r="A62" s="154"/>
      <c r="B62" s="104"/>
      <c r="C62" s="326"/>
      <c r="D62" s="366" t="s">
        <v>192</v>
      </c>
      <c r="E62" s="134"/>
      <c r="F62" s="135"/>
      <c r="G62" s="555"/>
      <c r="H62" s="478"/>
      <c r="I62" s="695"/>
      <c r="J62" s="485"/>
      <c r="K62" s="66" t="s">
        <v>191</v>
      </c>
      <c r="L62" s="70"/>
      <c r="M62" s="63">
        <v>2</v>
      </c>
      <c r="N62" s="62"/>
      <c r="O62" s="15"/>
    </row>
    <row r="63" spans="1:17" s="2" customFormat="1" ht="53.25" customHeight="1">
      <c r="A63" s="154"/>
      <c r="B63" s="104"/>
      <c r="C63" s="106"/>
      <c r="D63" s="689" t="s">
        <v>269</v>
      </c>
      <c r="E63" s="1202"/>
      <c r="F63" s="1257"/>
      <c r="G63" s="555"/>
      <c r="H63" s="530"/>
      <c r="I63" s="692"/>
      <c r="J63" s="435"/>
      <c r="K63" s="163" t="s">
        <v>254</v>
      </c>
      <c r="L63" s="245" t="s">
        <v>204</v>
      </c>
      <c r="M63" s="343" t="s">
        <v>205</v>
      </c>
      <c r="N63" s="363" t="s">
        <v>205</v>
      </c>
      <c r="O63" s="15"/>
      <c r="P63" s="15"/>
      <c r="Q63" s="15"/>
    </row>
    <row r="64" spans="1:17" s="2" customFormat="1" ht="19.5" customHeight="1">
      <c r="A64" s="154"/>
      <c r="B64" s="104"/>
      <c r="C64" s="106"/>
      <c r="D64" s="1095" t="s">
        <v>309</v>
      </c>
      <c r="E64" s="1203"/>
      <c r="F64" s="1257"/>
      <c r="G64" s="555"/>
      <c r="H64" s="530"/>
      <c r="I64" s="692"/>
      <c r="J64" s="435"/>
      <c r="K64" s="700" t="s">
        <v>310</v>
      </c>
      <c r="L64" s="699" t="s">
        <v>311</v>
      </c>
      <c r="M64" s="219" t="s">
        <v>311</v>
      </c>
      <c r="N64" s="693" t="s">
        <v>311</v>
      </c>
      <c r="O64" s="15"/>
      <c r="P64" s="15"/>
      <c r="Q64" s="15"/>
    </row>
    <row r="65" spans="1:14" s="2" customFormat="1" ht="13.5" thickBot="1">
      <c r="A65" s="154"/>
      <c r="B65" s="104"/>
      <c r="C65" s="106"/>
      <c r="D65" s="1096"/>
      <c r="E65" s="1204"/>
      <c r="F65" s="1258"/>
      <c r="G65" s="329" t="s">
        <v>12</v>
      </c>
      <c r="H65" s="489">
        <f>H43+H44+H45</f>
        <v>265087</v>
      </c>
      <c r="I65" s="563">
        <f>I43+I44+I45</f>
        <v>401298</v>
      </c>
      <c r="J65" s="471">
        <f>J43+J44+J45</f>
        <v>277022</v>
      </c>
      <c r="K65" s="697"/>
      <c r="L65" s="323"/>
      <c r="M65" s="323"/>
      <c r="N65" s="324"/>
    </row>
    <row r="66" spans="1:14" s="2" customFormat="1" ht="24" customHeight="1">
      <c r="A66" s="1138" t="s">
        <v>5</v>
      </c>
      <c r="B66" s="1139" t="s">
        <v>5</v>
      </c>
      <c r="C66" s="1192" t="s">
        <v>27</v>
      </c>
      <c r="D66" s="1194" t="s">
        <v>49</v>
      </c>
      <c r="E66" s="1196"/>
      <c r="F66" s="1181">
        <v>1</v>
      </c>
      <c r="G66" s="52" t="s">
        <v>9</v>
      </c>
      <c r="H66" s="490">
        <f>30/3.4528*1000</f>
        <v>8689</v>
      </c>
      <c r="I66" s="479">
        <f>30/3.4528*1000</f>
        <v>8689</v>
      </c>
      <c r="J66" s="491">
        <f>30/3.4528*1000</f>
        <v>8689</v>
      </c>
      <c r="K66" s="118" t="s">
        <v>255</v>
      </c>
      <c r="L66" s="97">
        <v>5</v>
      </c>
      <c r="M66" s="449">
        <v>5</v>
      </c>
      <c r="N66" s="447">
        <v>5</v>
      </c>
    </row>
    <row r="67" spans="1:14" s="2" customFormat="1" ht="15" customHeight="1" thickBot="1">
      <c r="A67" s="1079"/>
      <c r="B67" s="1081"/>
      <c r="C67" s="1193"/>
      <c r="D67" s="1195"/>
      <c r="E67" s="1197"/>
      <c r="F67" s="1182"/>
      <c r="G67" s="126" t="s">
        <v>12</v>
      </c>
      <c r="H67" s="477">
        <f t="shared" ref="H67" si="6">SUM(H66)</f>
        <v>8689</v>
      </c>
      <c r="I67" s="471">
        <f>I66</f>
        <v>8689</v>
      </c>
      <c r="J67" s="471">
        <f>J66</f>
        <v>8689</v>
      </c>
      <c r="K67" s="177"/>
      <c r="L67" s="82"/>
      <c r="M67" s="342"/>
      <c r="N67" s="341"/>
    </row>
    <row r="68" spans="1:14" s="21" customFormat="1" ht="15" customHeight="1">
      <c r="A68" s="1138" t="s">
        <v>5</v>
      </c>
      <c r="B68" s="1139" t="s">
        <v>5</v>
      </c>
      <c r="C68" s="1157" t="s">
        <v>32</v>
      </c>
      <c r="D68" s="676" t="s">
        <v>143</v>
      </c>
      <c r="E68" s="1184"/>
      <c r="F68" s="1188" t="s">
        <v>48</v>
      </c>
      <c r="G68" s="148"/>
      <c r="H68" s="548"/>
      <c r="I68" s="492"/>
      <c r="J68" s="482"/>
      <c r="K68" s="145"/>
      <c r="L68" s="68"/>
      <c r="M68" s="39"/>
      <c r="N68" s="40"/>
    </row>
    <row r="69" spans="1:14" s="21" customFormat="1" ht="25.5" customHeight="1">
      <c r="A69" s="1078"/>
      <c r="B69" s="1080"/>
      <c r="C69" s="1158"/>
      <c r="D69" s="677" t="s">
        <v>145</v>
      </c>
      <c r="E69" s="1185"/>
      <c r="F69" s="1189"/>
      <c r="G69" s="674" t="s">
        <v>41</v>
      </c>
      <c r="H69" s="460">
        <f>988.793/3.4528*1000</f>
        <v>286374</v>
      </c>
      <c r="I69" s="675">
        <f>947/3.4528*1000</f>
        <v>274270</v>
      </c>
      <c r="J69" s="486">
        <f>947/3.4528*1000</f>
        <v>274270</v>
      </c>
      <c r="K69" s="163" t="s">
        <v>147</v>
      </c>
      <c r="L69" s="70">
        <v>780</v>
      </c>
      <c r="M69" s="63">
        <v>780</v>
      </c>
      <c r="N69" s="62">
        <v>780</v>
      </c>
    </row>
    <row r="70" spans="1:14" s="21" customFormat="1" ht="18.75" customHeight="1">
      <c r="A70" s="1078"/>
      <c r="B70" s="1080"/>
      <c r="C70" s="1183"/>
      <c r="D70" s="144" t="s">
        <v>144</v>
      </c>
      <c r="E70" s="1186"/>
      <c r="F70" s="1190"/>
      <c r="G70" s="149" t="s">
        <v>41</v>
      </c>
      <c r="H70" s="458">
        <v>7820</v>
      </c>
      <c r="I70" s="493">
        <f>33/3.4528*1000</f>
        <v>9557</v>
      </c>
      <c r="J70" s="488">
        <f>33/3.4528*1000</f>
        <v>9557</v>
      </c>
      <c r="K70" s="1175" t="s">
        <v>146</v>
      </c>
      <c r="L70" s="98">
        <v>1</v>
      </c>
      <c r="M70" s="99">
        <v>1</v>
      </c>
      <c r="N70" s="100">
        <v>1</v>
      </c>
    </row>
    <row r="71" spans="1:14" s="21" customFormat="1" ht="13.5" customHeight="1" thickBot="1">
      <c r="A71" s="1079"/>
      <c r="B71" s="1081"/>
      <c r="C71" s="1159"/>
      <c r="D71" s="147"/>
      <c r="E71" s="1187"/>
      <c r="F71" s="1191"/>
      <c r="G71" s="126" t="s">
        <v>12</v>
      </c>
      <c r="H71" s="494">
        <f>H70+H69</f>
        <v>294194</v>
      </c>
      <c r="I71" s="494">
        <f t="shared" ref="I71:J71" si="7">I70+I69</f>
        <v>283827</v>
      </c>
      <c r="J71" s="494">
        <f t="shared" si="7"/>
        <v>283827</v>
      </c>
      <c r="K71" s="1176"/>
      <c r="L71" s="82"/>
      <c r="M71" s="119"/>
      <c r="N71" s="120"/>
    </row>
    <row r="72" spans="1:14" s="2" customFormat="1" ht="13.5" thickBot="1">
      <c r="A72" s="291" t="s">
        <v>5</v>
      </c>
      <c r="B72" s="293" t="s">
        <v>5</v>
      </c>
      <c r="C72" s="1177" t="s">
        <v>13</v>
      </c>
      <c r="D72" s="1149"/>
      <c r="E72" s="1149"/>
      <c r="F72" s="1149"/>
      <c r="G72" s="1178"/>
      <c r="H72" s="495">
        <f>H71+H67+H65+H42+H40+H37+H32+H30+H28+H26+H24</f>
        <v>17251020</v>
      </c>
      <c r="I72" s="495">
        <f>I71+I67+I65+I42+I40+I37+I32+I30+I28+I26+I24</f>
        <v>12197839</v>
      </c>
      <c r="J72" s="495">
        <f>J71+J67+J65+J42+J40+J37+J32+J30+J28+J26+J24</f>
        <v>11352178</v>
      </c>
      <c r="K72" s="121"/>
      <c r="L72" s="146"/>
      <c r="M72" s="146"/>
      <c r="N72" s="122"/>
    </row>
    <row r="73" spans="1:14" s="2" customFormat="1" ht="13.5" thickBot="1">
      <c r="A73" s="160" t="s">
        <v>5</v>
      </c>
      <c r="B73" s="22" t="s">
        <v>6</v>
      </c>
      <c r="C73" s="1072" t="s">
        <v>59</v>
      </c>
      <c r="D73" s="1073"/>
      <c r="E73" s="1073"/>
      <c r="F73" s="1073"/>
      <c r="G73" s="1073"/>
      <c r="H73" s="1073"/>
      <c r="I73" s="1073"/>
      <c r="J73" s="1073"/>
      <c r="K73" s="1073"/>
      <c r="L73" s="1073"/>
      <c r="M73" s="1073"/>
      <c r="N73" s="1074"/>
    </row>
    <row r="74" spans="1:14" s="2" customFormat="1" ht="26.25" customHeight="1">
      <c r="A74" s="344" t="s">
        <v>5</v>
      </c>
      <c r="B74" s="346" t="s">
        <v>6</v>
      </c>
      <c r="C74" s="348" t="s">
        <v>5</v>
      </c>
      <c r="D74" s="178" t="s">
        <v>231</v>
      </c>
      <c r="E74" s="1179" t="s">
        <v>109</v>
      </c>
      <c r="F74" s="179" t="s">
        <v>47</v>
      </c>
      <c r="G74" s="285" t="s">
        <v>9</v>
      </c>
      <c r="H74" s="501">
        <f>1268.3/3.4528*1000</f>
        <v>367325</v>
      </c>
      <c r="I74" s="433">
        <f>973.5/3.4528*1000</f>
        <v>281945</v>
      </c>
      <c r="J74" s="434">
        <f>1173.5/3.4528*1000</f>
        <v>339869</v>
      </c>
      <c r="K74" s="413" t="s">
        <v>256</v>
      </c>
      <c r="L74" s="414" t="s">
        <v>234</v>
      </c>
      <c r="M74" s="415" t="s">
        <v>235</v>
      </c>
      <c r="N74" s="416" t="s">
        <v>236</v>
      </c>
    </row>
    <row r="75" spans="1:14" s="2" customFormat="1" ht="14.25" customHeight="1">
      <c r="A75" s="350"/>
      <c r="B75" s="351"/>
      <c r="C75" s="349"/>
      <c r="D75" s="1075" t="s">
        <v>232</v>
      </c>
      <c r="E75" s="1180"/>
      <c r="F75" s="77"/>
      <c r="G75" s="392"/>
      <c r="H75" s="502"/>
      <c r="I75" s="435"/>
      <c r="J75" s="436"/>
      <c r="K75" s="203" t="s">
        <v>135</v>
      </c>
      <c r="L75" s="403">
        <v>439</v>
      </c>
      <c r="M75" s="402">
        <v>439</v>
      </c>
      <c r="N75" s="404">
        <v>439</v>
      </c>
    </row>
    <row r="76" spans="1:14" s="2" customFormat="1" ht="15.75" customHeight="1">
      <c r="A76" s="411"/>
      <c r="B76" s="410"/>
      <c r="C76" s="409"/>
      <c r="D76" s="1077"/>
      <c r="E76" s="1180"/>
      <c r="F76" s="77"/>
      <c r="G76" s="392"/>
      <c r="H76" s="502"/>
      <c r="I76" s="435"/>
      <c r="J76" s="436"/>
      <c r="K76" s="417" t="s">
        <v>219</v>
      </c>
      <c r="L76" s="418">
        <v>1</v>
      </c>
      <c r="M76" s="419"/>
      <c r="N76" s="420"/>
    </row>
    <row r="77" spans="1:14" s="2" customFormat="1" ht="25.5">
      <c r="A77" s="350"/>
      <c r="B77" s="351"/>
      <c r="C77" s="349"/>
      <c r="D77" s="352" t="s">
        <v>233</v>
      </c>
      <c r="E77" s="1180"/>
      <c r="F77" s="77"/>
      <c r="G77" s="392"/>
      <c r="H77" s="478"/>
      <c r="I77" s="435"/>
      <c r="J77" s="436"/>
      <c r="K77" s="74" t="s">
        <v>221</v>
      </c>
      <c r="L77" s="421">
        <v>439</v>
      </c>
      <c r="M77" s="422"/>
      <c r="N77" s="423"/>
    </row>
    <row r="78" spans="1:14" s="2" customFormat="1" ht="54" customHeight="1">
      <c r="A78" s="350"/>
      <c r="B78" s="351"/>
      <c r="C78" s="349"/>
      <c r="D78" s="1095" t="s">
        <v>237</v>
      </c>
      <c r="E78" s="1180"/>
      <c r="F78" s="77"/>
      <c r="G78" s="406"/>
      <c r="H78" s="472"/>
      <c r="I78" s="437"/>
      <c r="J78" s="438"/>
      <c r="K78" s="412"/>
      <c r="L78" s="215"/>
      <c r="M78" s="398"/>
      <c r="N78" s="400"/>
    </row>
    <row r="79" spans="1:14" s="2" customFormat="1" ht="13.5" thickBot="1">
      <c r="A79" s="345"/>
      <c r="B79" s="347"/>
      <c r="C79" s="353"/>
      <c r="D79" s="1096"/>
      <c r="E79" s="332"/>
      <c r="F79" s="334"/>
      <c r="G79" s="424" t="s">
        <v>12</v>
      </c>
      <c r="H79" s="467">
        <f>H74</f>
        <v>367325</v>
      </c>
      <c r="I79" s="462">
        <f>SUM(I74:I78)</f>
        <v>281945</v>
      </c>
      <c r="J79" s="463">
        <f>SUM(J74:J78)</f>
        <v>339869</v>
      </c>
      <c r="K79" s="322"/>
      <c r="L79" s="323"/>
      <c r="M79" s="323"/>
      <c r="N79" s="324"/>
    </row>
    <row r="80" spans="1:14" s="11" customFormat="1" ht="18.75" customHeight="1">
      <c r="A80" s="294" t="s">
        <v>5</v>
      </c>
      <c r="B80" s="295" t="s">
        <v>6</v>
      </c>
      <c r="C80" s="91" t="s">
        <v>6</v>
      </c>
      <c r="D80" s="1165" t="s">
        <v>151</v>
      </c>
      <c r="E80" s="1168"/>
      <c r="F80" s="1171" t="s">
        <v>48</v>
      </c>
      <c r="G80" s="85" t="s">
        <v>9</v>
      </c>
      <c r="H80" s="503">
        <f>84.3/3.4528*1000</f>
        <v>24415</v>
      </c>
      <c r="I80" s="504"/>
      <c r="J80" s="505"/>
      <c r="K80" s="266" t="s">
        <v>156</v>
      </c>
      <c r="L80" s="207">
        <v>3</v>
      </c>
      <c r="M80" s="208"/>
      <c r="N80" s="209"/>
    </row>
    <row r="81" spans="1:14" s="11" customFormat="1">
      <c r="A81" s="294"/>
      <c r="B81" s="295"/>
      <c r="C81" s="91"/>
      <c r="D81" s="1165"/>
      <c r="E81" s="1168"/>
      <c r="F81" s="1171"/>
      <c r="G81" s="85" t="s">
        <v>105</v>
      </c>
      <c r="H81" s="503">
        <f>595/3.4528*1000</f>
        <v>172324</v>
      </c>
      <c r="I81" s="506"/>
      <c r="J81" s="505"/>
      <c r="K81" s="1174" t="s">
        <v>239</v>
      </c>
      <c r="L81" s="269" t="s">
        <v>47</v>
      </c>
      <c r="M81" s="267"/>
      <c r="N81" s="268"/>
    </row>
    <row r="82" spans="1:14" s="11" customFormat="1" ht="13.5" thickBot="1">
      <c r="A82" s="291"/>
      <c r="B82" s="293"/>
      <c r="C82" s="92"/>
      <c r="D82" s="1166"/>
      <c r="E82" s="1169"/>
      <c r="F82" s="1172"/>
      <c r="G82" s="180" t="s">
        <v>12</v>
      </c>
      <c r="H82" s="507">
        <f>H81+H80</f>
        <v>196739</v>
      </c>
      <c r="I82" s="508">
        <f t="shared" ref="I82:J82" si="8">I81+I80</f>
        <v>0</v>
      </c>
      <c r="J82" s="509">
        <f t="shared" si="8"/>
        <v>0</v>
      </c>
      <c r="K82" s="1094"/>
      <c r="L82" s="210"/>
      <c r="M82" s="211"/>
      <c r="N82" s="212"/>
    </row>
    <row r="83" spans="1:14" s="11" customFormat="1" ht="17.25" customHeight="1">
      <c r="A83" s="290" t="s">
        <v>5</v>
      </c>
      <c r="B83" s="292" t="s">
        <v>6</v>
      </c>
      <c r="C83" s="90" t="s">
        <v>7</v>
      </c>
      <c r="D83" s="1164" t="s">
        <v>152</v>
      </c>
      <c r="E83" s="1167" t="s">
        <v>102</v>
      </c>
      <c r="F83" s="1170" t="s">
        <v>47</v>
      </c>
      <c r="G83" s="71" t="s">
        <v>104</v>
      </c>
      <c r="H83" s="510">
        <f>2.1/3.4528*1000</f>
        <v>608</v>
      </c>
      <c r="I83" s="504"/>
      <c r="J83" s="511"/>
      <c r="K83" s="1147" t="s">
        <v>238</v>
      </c>
      <c r="L83" s="139">
        <v>30</v>
      </c>
      <c r="M83" s="140"/>
      <c r="N83" s="141"/>
    </row>
    <row r="84" spans="1:14" s="11" customFormat="1">
      <c r="A84" s="294"/>
      <c r="B84" s="295"/>
      <c r="C84" s="91"/>
      <c r="D84" s="1165"/>
      <c r="E84" s="1168"/>
      <c r="F84" s="1171"/>
      <c r="G84" s="85" t="s">
        <v>11</v>
      </c>
      <c r="H84" s="512">
        <f>12/3.4528*1000</f>
        <v>3475</v>
      </c>
      <c r="I84" s="513"/>
      <c r="J84" s="505"/>
      <c r="K84" s="1173"/>
      <c r="L84" s="273"/>
      <c r="M84" s="274"/>
      <c r="N84" s="275"/>
    </row>
    <row r="85" spans="1:14" s="11" customFormat="1" ht="13.5" thickBot="1">
      <c r="A85" s="291"/>
      <c r="B85" s="293"/>
      <c r="C85" s="92"/>
      <c r="D85" s="1166"/>
      <c r="E85" s="1169"/>
      <c r="F85" s="1172"/>
      <c r="G85" s="114" t="s">
        <v>12</v>
      </c>
      <c r="H85" s="514">
        <f>H84+H83</f>
        <v>4083</v>
      </c>
      <c r="I85" s="515">
        <f t="shared" ref="I85:J85" si="9">SUM(I83)</f>
        <v>0</v>
      </c>
      <c r="J85" s="516">
        <f t="shared" si="9"/>
        <v>0</v>
      </c>
      <c r="K85" s="277"/>
      <c r="L85" s="210"/>
      <c r="M85" s="211"/>
      <c r="N85" s="278"/>
    </row>
    <row r="86" spans="1:14" s="2" customFormat="1" ht="24" customHeight="1">
      <c r="A86" s="1151" t="s">
        <v>5</v>
      </c>
      <c r="B86" s="1154" t="s">
        <v>6</v>
      </c>
      <c r="C86" s="1157" t="s">
        <v>8</v>
      </c>
      <c r="D86" s="1141" t="s">
        <v>23</v>
      </c>
      <c r="E86" s="1161" t="s">
        <v>125</v>
      </c>
      <c r="F86" s="1097" t="s">
        <v>47</v>
      </c>
      <c r="G86" s="10" t="s">
        <v>9</v>
      </c>
      <c r="H86" s="475">
        <f>117.3/3.4528*1000</f>
        <v>33972</v>
      </c>
      <c r="I86" s="466"/>
      <c r="J86" s="517"/>
      <c r="K86" s="1147" t="s">
        <v>183</v>
      </c>
      <c r="L86" s="139">
        <v>1</v>
      </c>
      <c r="M86" s="297"/>
      <c r="N86" s="299"/>
    </row>
    <row r="87" spans="1:14" s="2" customFormat="1" ht="23.25" customHeight="1">
      <c r="A87" s="1152"/>
      <c r="B87" s="1155"/>
      <c r="C87" s="1158"/>
      <c r="D87" s="1160"/>
      <c r="E87" s="1162"/>
      <c r="F87" s="1137"/>
      <c r="G87" s="13" t="s">
        <v>11</v>
      </c>
      <c r="H87" s="483">
        <f>665.1/3.4528*1000</f>
        <v>192626</v>
      </c>
      <c r="I87" s="431"/>
      <c r="J87" s="518"/>
      <c r="K87" s="1148"/>
      <c r="L87" s="276"/>
      <c r="M87" s="99"/>
      <c r="N87" s="100"/>
    </row>
    <row r="88" spans="1:14" s="2" customFormat="1" ht="20.25" customHeight="1" thickBot="1">
      <c r="A88" s="1153"/>
      <c r="B88" s="1156"/>
      <c r="C88" s="1159"/>
      <c r="D88" s="1143"/>
      <c r="E88" s="1163"/>
      <c r="F88" s="1099"/>
      <c r="G88" s="181" t="s">
        <v>12</v>
      </c>
      <c r="H88" s="470">
        <f>SUM(H86:H87)</f>
        <v>226598</v>
      </c>
      <c r="I88" s="471"/>
      <c r="J88" s="494"/>
      <c r="K88" s="279"/>
      <c r="L88" s="307"/>
      <c r="M88" s="307"/>
      <c r="N88" s="280"/>
    </row>
    <row r="89" spans="1:14" s="2" customFormat="1" ht="13.5" thickBot="1">
      <c r="A89" s="160" t="s">
        <v>5</v>
      </c>
      <c r="B89" s="9" t="s">
        <v>6</v>
      </c>
      <c r="C89" s="1067" t="s">
        <v>13</v>
      </c>
      <c r="D89" s="1068"/>
      <c r="E89" s="1068"/>
      <c r="F89" s="1068"/>
      <c r="G89" s="1149"/>
      <c r="H89" s="439">
        <f>H88+H79+H82+H85</f>
        <v>794745</v>
      </c>
      <c r="I89" s="440">
        <f t="shared" ref="I89" si="10">I88+I79+I82+I85</f>
        <v>281945</v>
      </c>
      <c r="J89" s="441">
        <f>J88+J79+J82+J85</f>
        <v>339869</v>
      </c>
      <c r="K89" s="115"/>
      <c r="L89" s="116"/>
      <c r="M89" s="116"/>
      <c r="N89" s="117"/>
    </row>
    <row r="90" spans="1:14" s="2" customFormat="1" ht="13.5" thickBot="1">
      <c r="A90" s="290" t="s">
        <v>5</v>
      </c>
      <c r="B90" s="86" t="s">
        <v>7</v>
      </c>
      <c r="C90" s="1072" t="s">
        <v>35</v>
      </c>
      <c r="D90" s="1073"/>
      <c r="E90" s="1073"/>
      <c r="F90" s="1073"/>
      <c r="G90" s="1073"/>
      <c r="H90" s="1150"/>
      <c r="I90" s="1073"/>
      <c r="J90" s="1073"/>
      <c r="K90" s="1073"/>
      <c r="L90" s="1073"/>
      <c r="M90" s="1073"/>
      <c r="N90" s="1074"/>
    </row>
    <row r="91" spans="1:14" s="11" customFormat="1" ht="21" customHeight="1">
      <c r="A91" s="1138" t="s">
        <v>5</v>
      </c>
      <c r="B91" s="1139" t="s">
        <v>7</v>
      </c>
      <c r="C91" s="1140" t="s">
        <v>5</v>
      </c>
      <c r="D91" s="1141" t="s">
        <v>57</v>
      </c>
      <c r="E91" s="1144" t="s">
        <v>100</v>
      </c>
      <c r="F91" s="1097" t="s">
        <v>47</v>
      </c>
      <c r="G91" s="10" t="s">
        <v>9</v>
      </c>
      <c r="H91" s="519">
        <f>16.5/3.4528*1000</f>
        <v>4779</v>
      </c>
      <c r="I91" s="520"/>
      <c r="J91" s="521"/>
      <c r="K91" s="301" t="s">
        <v>63</v>
      </c>
      <c r="L91" s="297">
        <v>220</v>
      </c>
      <c r="M91" s="297"/>
      <c r="N91" s="299"/>
    </row>
    <row r="92" spans="1:14" s="11" customFormat="1" ht="18" customHeight="1">
      <c r="A92" s="1078"/>
      <c r="B92" s="1080"/>
      <c r="C92" s="1082"/>
      <c r="D92" s="1142"/>
      <c r="E92" s="1145"/>
      <c r="F92" s="1098"/>
      <c r="G92" s="20" t="s">
        <v>11</v>
      </c>
      <c r="H92" s="522">
        <f>93.1/3.4528*1000</f>
        <v>26964</v>
      </c>
      <c r="I92" s="523"/>
      <c r="J92" s="524"/>
      <c r="K92" s="262"/>
      <c r="L92" s="282"/>
      <c r="M92" s="73"/>
      <c r="N92" s="123"/>
    </row>
    <row r="93" spans="1:14" s="11" customFormat="1" ht="15" customHeight="1" thickBot="1">
      <c r="A93" s="1079"/>
      <c r="B93" s="1081"/>
      <c r="C93" s="1083"/>
      <c r="D93" s="1143"/>
      <c r="E93" s="1146"/>
      <c r="F93" s="1099"/>
      <c r="G93" s="126" t="s">
        <v>12</v>
      </c>
      <c r="H93" s="471">
        <f>H92+H91</f>
        <v>31743</v>
      </c>
      <c r="I93" s="494">
        <f t="shared" ref="I93:J93" si="11">I92+I91</f>
        <v>0</v>
      </c>
      <c r="J93" s="477">
        <f t="shared" si="11"/>
        <v>0</v>
      </c>
      <c r="K93" s="281"/>
      <c r="L93" s="298"/>
      <c r="M93" s="298"/>
      <c r="N93" s="300"/>
    </row>
    <row r="94" spans="1:14" s="2" customFormat="1" ht="24" customHeight="1">
      <c r="A94" s="1078" t="s">
        <v>5</v>
      </c>
      <c r="B94" s="1080" t="s">
        <v>7</v>
      </c>
      <c r="C94" s="1082" t="s">
        <v>6</v>
      </c>
      <c r="D94" s="1133" t="s">
        <v>153</v>
      </c>
      <c r="E94" s="1135"/>
      <c r="F94" s="1137" t="s">
        <v>47</v>
      </c>
      <c r="G94" s="20" t="s">
        <v>11</v>
      </c>
      <c r="H94" s="456">
        <f>3/3.4528*1000</f>
        <v>869</v>
      </c>
      <c r="I94" s="517"/>
      <c r="J94" s="525"/>
      <c r="K94" s="301" t="s">
        <v>257</v>
      </c>
      <c r="L94" s="306">
        <v>1</v>
      </c>
      <c r="M94" s="306"/>
      <c r="N94" s="305"/>
    </row>
    <row r="95" spans="1:14" s="2" customFormat="1" ht="15" customHeight="1" thickBot="1">
      <c r="A95" s="1079"/>
      <c r="B95" s="1081"/>
      <c r="C95" s="1083"/>
      <c r="D95" s="1134"/>
      <c r="E95" s="1136"/>
      <c r="F95" s="1099"/>
      <c r="G95" s="110" t="s">
        <v>12</v>
      </c>
      <c r="H95" s="471">
        <f>H94</f>
        <v>869</v>
      </c>
      <c r="I95" s="526"/>
      <c r="J95" s="477"/>
      <c r="K95" s="302"/>
      <c r="L95" s="298"/>
      <c r="M95" s="298"/>
      <c r="N95" s="300"/>
    </row>
    <row r="96" spans="1:14" s="2" customFormat="1" ht="13.5" thickBot="1">
      <c r="A96" s="160" t="s">
        <v>5</v>
      </c>
      <c r="B96" s="9" t="s">
        <v>7</v>
      </c>
      <c r="C96" s="1067" t="s">
        <v>13</v>
      </c>
      <c r="D96" s="1068"/>
      <c r="E96" s="1068"/>
      <c r="F96" s="1068"/>
      <c r="G96" s="1068"/>
      <c r="H96" s="527">
        <f t="shared" ref="H96:J96" si="12">H95+H93</f>
        <v>32612</v>
      </c>
      <c r="I96" s="528">
        <f t="shared" si="12"/>
        <v>0</v>
      </c>
      <c r="J96" s="529">
        <f t="shared" si="12"/>
        <v>0</v>
      </c>
      <c r="K96" s="1069"/>
      <c r="L96" s="1070"/>
      <c r="M96" s="1070"/>
      <c r="N96" s="1071"/>
    </row>
    <row r="97" spans="1:14" s="2" customFormat="1" ht="15" customHeight="1" thickBot="1">
      <c r="A97" s="160" t="s">
        <v>5</v>
      </c>
      <c r="B97" s="22" t="s">
        <v>8</v>
      </c>
      <c r="C97" s="1072" t="s">
        <v>58</v>
      </c>
      <c r="D97" s="1073"/>
      <c r="E97" s="1073"/>
      <c r="F97" s="1073"/>
      <c r="G97" s="1073"/>
      <c r="H97" s="1073"/>
      <c r="I97" s="1073"/>
      <c r="J97" s="1073"/>
      <c r="K97" s="1073"/>
      <c r="L97" s="1073"/>
      <c r="M97" s="1073"/>
      <c r="N97" s="1074"/>
    </row>
    <row r="98" spans="1:14" s="2" customFormat="1" ht="38.25">
      <c r="A98" s="290" t="s">
        <v>5</v>
      </c>
      <c r="B98" s="292" t="s">
        <v>8</v>
      </c>
      <c r="C98" s="309" t="s">
        <v>5</v>
      </c>
      <c r="D98" s="178" t="s">
        <v>127</v>
      </c>
      <c r="E98" s="236"/>
      <c r="F98" s="240" t="s">
        <v>47</v>
      </c>
      <c r="G98" s="52" t="s">
        <v>9</v>
      </c>
      <c r="H98" s="690">
        <f>1454.2/3.4528*1000</f>
        <v>421165</v>
      </c>
      <c r="I98" s="479"/>
      <c r="J98" s="559"/>
      <c r="K98" s="204"/>
      <c r="L98" s="205"/>
      <c r="M98" s="81"/>
      <c r="N98" s="89"/>
    </row>
    <row r="99" spans="1:14" s="2" customFormat="1" ht="25.5">
      <c r="A99" s="294"/>
      <c r="B99" s="295"/>
      <c r="C99" s="308"/>
      <c r="D99" s="304" t="s">
        <v>177</v>
      </c>
      <c r="E99" s="237"/>
      <c r="F99" s="241"/>
      <c r="G99" s="214"/>
      <c r="H99" s="560"/>
      <c r="I99" s="484"/>
      <c r="J99" s="485"/>
      <c r="K99" s="224" t="s">
        <v>260</v>
      </c>
      <c r="L99" s="137">
        <v>542.25</v>
      </c>
      <c r="M99" s="225"/>
      <c r="N99" s="138"/>
    </row>
    <row r="100" spans="1:14" s="2" customFormat="1">
      <c r="A100" s="294"/>
      <c r="B100" s="295"/>
      <c r="C100" s="308"/>
      <c r="D100" s="304" t="s">
        <v>201</v>
      </c>
      <c r="E100" s="237"/>
      <c r="F100" s="241"/>
      <c r="G100" s="214"/>
      <c r="H100" s="560"/>
      <c r="I100" s="484"/>
      <c r="J100" s="485"/>
      <c r="K100" s="74" t="s">
        <v>259</v>
      </c>
      <c r="L100" s="108">
        <v>268</v>
      </c>
      <c r="M100" s="75"/>
      <c r="N100" s="95"/>
    </row>
    <row r="101" spans="1:14" s="2" customFormat="1">
      <c r="A101" s="294"/>
      <c r="B101" s="295"/>
      <c r="C101" s="308"/>
      <c r="D101" s="303" t="s">
        <v>179</v>
      </c>
      <c r="E101" s="237"/>
      <c r="F101" s="241"/>
      <c r="G101" s="214"/>
      <c r="H101" s="560"/>
      <c r="I101" s="484"/>
      <c r="J101" s="485"/>
      <c r="K101" s="74" t="s">
        <v>261</v>
      </c>
      <c r="L101" s="108">
        <v>691</v>
      </c>
      <c r="M101" s="56"/>
      <c r="N101" s="57"/>
    </row>
    <row r="102" spans="1:14" s="2" customFormat="1">
      <c r="A102" s="294"/>
      <c r="B102" s="295"/>
      <c r="C102" s="308"/>
      <c r="D102" s="1075" t="s">
        <v>178</v>
      </c>
      <c r="E102" s="237"/>
      <c r="F102" s="241"/>
      <c r="G102" s="214"/>
      <c r="H102" s="530"/>
      <c r="I102" s="484"/>
      <c r="J102" s="485"/>
      <c r="K102" s="184" t="s">
        <v>262</v>
      </c>
      <c r="L102" s="215">
        <v>245</v>
      </c>
      <c r="M102" s="56"/>
      <c r="N102" s="57"/>
    </row>
    <row r="103" spans="1:14" s="2" customFormat="1" ht="25.5">
      <c r="A103" s="294"/>
      <c r="B103" s="295"/>
      <c r="C103" s="308"/>
      <c r="D103" s="1076"/>
      <c r="E103" s="237"/>
      <c r="F103" s="241"/>
      <c r="G103" s="214"/>
      <c r="H103" s="530"/>
      <c r="I103" s="484"/>
      <c r="J103" s="485"/>
      <c r="K103" s="203" t="s">
        <v>263</v>
      </c>
      <c r="L103" s="201">
        <v>300</v>
      </c>
      <c r="M103" s="216"/>
      <c r="N103" s="217"/>
    </row>
    <row r="104" spans="1:14" s="2" customFormat="1">
      <c r="A104" s="294"/>
      <c r="B104" s="295"/>
      <c r="C104" s="308"/>
      <c r="D104" s="1077"/>
      <c r="E104" s="237"/>
      <c r="F104" s="241"/>
      <c r="G104" s="214"/>
      <c r="H104" s="530"/>
      <c r="I104" s="484"/>
      <c r="J104" s="485"/>
      <c r="K104" s="224" t="s">
        <v>264</v>
      </c>
      <c r="L104" s="137">
        <v>700</v>
      </c>
      <c r="M104" s="225"/>
      <c r="N104" s="138"/>
    </row>
    <row r="105" spans="1:14" s="2" customFormat="1" ht="38.25">
      <c r="A105" s="294"/>
      <c r="B105" s="295"/>
      <c r="C105" s="308"/>
      <c r="D105" s="223" t="s">
        <v>270</v>
      </c>
      <c r="E105" s="237"/>
      <c r="F105" s="241"/>
      <c r="G105" s="214"/>
      <c r="H105" s="560"/>
      <c r="I105" s="484"/>
      <c r="J105" s="485"/>
      <c r="K105" s="224" t="s">
        <v>265</v>
      </c>
      <c r="L105" s="137">
        <v>431</v>
      </c>
      <c r="M105" s="225"/>
      <c r="N105" s="138"/>
    </row>
    <row r="106" spans="1:14" s="2" customFormat="1" ht="19.5" customHeight="1">
      <c r="A106" s="294"/>
      <c r="B106" s="295"/>
      <c r="C106" s="308"/>
      <c r="D106" s="1095" t="s">
        <v>154</v>
      </c>
      <c r="E106" s="237"/>
      <c r="F106" s="241"/>
      <c r="G106" s="12"/>
      <c r="H106" s="531"/>
      <c r="I106" s="486"/>
      <c r="J106" s="525"/>
      <c r="K106" s="1093" t="s">
        <v>266</v>
      </c>
      <c r="L106" s="270">
        <v>309</v>
      </c>
      <c r="M106" s="56"/>
      <c r="N106" s="57"/>
    </row>
    <row r="107" spans="1:14" s="2" customFormat="1" ht="15.75" customHeight="1" thickBot="1">
      <c r="A107" s="159"/>
      <c r="B107" s="105"/>
      <c r="C107" s="317"/>
      <c r="D107" s="1096"/>
      <c r="E107" s="333"/>
      <c r="F107" s="334"/>
      <c r="G107" s="110" t="s">
        <v>12</v>
      </c>
      <c r="H107" s="468">
        <f>H98</f>
        <v>421165</v>
      </c>
      <c r="I107" s="462">
        <f>I98</f>
        <v>0</v>
      </c>
      <c r="J107" s="467">
        <f>J98</f>
        <v>0</v>
      </c>
      <c r="K107" s="1094"/>
      <c r="L107" s="323"/>
      <c r="M107" s="323"/>
      <c r="N107" s="324"/>
    </row>
    <row r="108" spans="1:14" s="2" customFormat="1" ht="12.75" customHeight="1">
      <c r="A108" s="1078" t="s">
        <v>5</v>
      </c>
      <c r="B108" s="1080" t="s">
        <v>8</v>
      </c>
      <c r="C108" s="1082" t="s">
        <v>6</v>
      </c>
      <c r="D108" s="1084" t="s">
        <v>103</v>
      </c>
      <c r="E108" s="1087" t="s">
        <v>68</v>
      </c>
      <c r="F108" s="1089" t="s">
        <v>48</v>
      </c>
      <c r="G108" s="65" t="s">
        <v>9</v>
      </c>
      <c r="H108" s="510">
        <f>74.9/3.4528*1000</f>
        <v>21693</v>
      </c>
      <c r="I108" s="482">
        <f>16.1/3.4528*1000</f>
        <v>4663</v>
      </c>
      <c r="J108" s="517"/>
      <c r="K108" s="143" t="s">
        <v>142</v>
      </c>
      <c r="L108" s="364">
        <v>1</v>
      </c>
      <c r="M108" s="451"/>
      <c r="N108" s="142"/>
    </row>
    <row r="109" spans="1:14" s="2" customFormat="1">
      <c r="A109" s="1078"/>
      <c r="B109" s="1080"/>
      <c r="C109" s="1082"/>
      <c r="D109" s="1085"/>
      <c r="E109" s="1087"/>
      <c r="F109" s="1089"/>
      <c r="G109" s="65" t="s">
        <v>104</v>
      </c>
      <c r="H109" s="487">
        <f>290.9/3.4528*1000</f>
        <v>84250</v>
      </c>
      <c r="I109" s="532">
        <f>442.3/3.4528*1000</f>
        <v>128099</v>
      </c>
      <c r="J109" s="517"/>
      <c r="K109" s="1091" t="s">
        <v>198</v>
      </c>
      <c r="L109" s="365">
        <v>40</v>
      </c>
      <c r="M109" s="272">
        <v>100</v>
      </c>
      <c r="N109" s="265"/>
    </row>
    <row r="110" spans="1:14" s="2" customFormat="1" ht="15" customHeight="1" thickBot="1">
      <c r="A110" s="1079"/>
      <c r="B110" s="1081"/>
      <c r="C110" s="1083"/>
      <c r="D110" s="1086"/>
      <c r="E110" s="1088"/>
      <c r="F110" s="1090"/>
      <c r="G110" s="110" t="s">
        <v>12</v>
      </c>
      <c r="H110" s="477">
        <f>H109+H108</f>
        <v>105943</v>
      </c>
      <c r="I110" s="471">
        <f>I109+I108</f>
        <v>132762</v>
      </c>
      <c r="J110" s="494">
        <f t="shared" ref="J110" si="13">J109+J108</f>
        <v>0</v>
      </c>
      <c r="K110" s="1092"/>
      <c r="L110" s="132"/>
      <c r="M110" s="132"/>
      <c r="N110" s="452"/>
    </row>
    <row r="111" spans="1:14" s="2" customFormat="1" ht="13.5" thickBot="1">
      <c r="A111" s="160" t="s">
        <v>5</v>
      </c>
      <c r="B111" s="9" t="s">
        <v>8</v>
      </c>
      <c r="C111" s="1067" t="s">
        <v>13</v>
      </c>
      <c r="D111" s="1068"/>
      <c r="E111" s="1068"/>
      <c r="F111" s="1068"/>
      <c r="G111" s="1068"/>
      <c r="H111" s="533">
        <f>H110+H107</f>
        <v>527108</v>
      </c>
      <c r="I111" s="527">
        <f>I110+I107</f>
        <v>132762</v>
      </c>
      <c r="J111" s="529">
        <f t="shared" ref="J111" si="14">J110+J107</f>
        <v>0</v>
      </c>
      <c r="K111" s="1069"/>
      <c r="L111" s="1070"/>
      <c r="M111" s="1070"/>
      <c r="N111" s="1071"/>
    </row>
    <row r="112" spans="1:14" s="11" customFormat="1" ht="13.5" thickBot="1">
      <c r="A112" s="160" t="s">
        <v>5</v>
      </c>
      <c r="B112" s="1111" t="s">
        <v>15</v>
      </c>
      <c r="C112" s="1112"/>
      <c r="D112" s="1112"/>
      <c r="E112" s="1112"/>
      <c r="F112" s="1112"/>
      <c r="G112" s="1113"/>
      <c r="H112" s="534">
        <f>H111+H96+H72+H89</f>
        <v>18605485</v>
      </c>
      <c r="I112" s="535">
        <f>I111+I96+I72+I89</f>
        <v>12612546</v>
      </c>
      <c r="J112" s="536">
        <f>J111+J96+J72+J89</f>
        <v>11692047</v>
      </c>
      <c r="K112" s="1114"/>
      <c r="L112" s="1115"/>
      <c r="M112" s="1115"/>
      <c r="N112" s="1116"/>
    </row>
    <row r="113" spans="1:14" s="11" customFormat="1" ht="13.5" thickBot="1">
      <c r="A113" s="58" t="s">
        <v>7</v>
      </c>
      <c r="B113" s="1117" t="s">
        <v>14</v>
      </c>
      <c r="C113" s="1117"/>
      <c r="D113" s="1117"/>
      <c r="E113" s="1117"/>
      <c r="F113" s="1117"/>
      <c r="G113" s="1118"/>
      <c r="H113" s="537">
        <f>H112</f>
        <v>18605485</v>
      </c>
      <c r="I113" s="537">
        <f>I112</f>
        <v>12612546</v>
      </c>
      <c r="J113" s="538">
        <f t="shared" ref="J113" si="15">J112</f>
        <v>11692047</v>
      </c>
      <c r="K113" s="1119"/>
      <c r="L113" s="1120"/>
      <c r="M113" s="1120"/>
      <c r="N113" s="1121"/>
    </row>
    <row r="114" spans="1:14" s="64" customFormat="1">
      <c r="A114" s="1128"/>
      <c r="B114" s="1128"/>
      <c r="C114" s="1128"/>
      <c r="D114" s="1128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8"/>
    </row>
    <row r="115" spans="1:14" s="11" customFormat="1">
      <c r="A115" s="24"/>
      <c r="B115" s="7"/>
      <c r="C115" s="1129" t="s">
        <v>18</v>
      </c>
      <c r="D115" s="1129"/>
      <c r="E115" s="1129"/>
      <c r="F115" s="1129"/>
      <c r="G115" s="1129"/>
      <c r="H115" s="1129"/>
      <c r="I115" s="1129"/>
      <c r="J115" s="1129"/>
      <c r="K115" s="16"/>
      <c r="L115" s="44"/>
      <c r="M115" s="44"/>
      <c r="N115" s="44"/>
    </row>
    <row r="116" spans="1:14" s="11" customFormat="1" ht="13.5" thickBot="1">
      <c r="A116" s="24"/>
      <c r="B116" s="23"/>
      <c r="C116" s="23"/>
      <c r="D116" s="23"/>
      <c r="E116" s="29"/>
      <c r="F116" s="51"/>
      <c r="I116" s="14"/>
      <c r="J116" s="14"/>
      <c r="K116" s="16"/>
      <c r="L116" s="44"/>
      <c r="M116" s="44"/>
      <c r="N116" s="44"/>
    </row>
    <row r="117" spans="1:14" s="11" customFormat="1" ht="57" customHeight="1" thickBot="1">
      <c r="A117" s="2"/>
      <c r="B117" s="2"/>
      <c r="C117" s="1130" t="s">
        <v>16</v>
      </c>
      <c r="D117" s="1131"/>
      <c r="E117" s="1131"/>
      <c r="F117" s="1131"/>
      <c r="G117" s="1132"/>
      <c r="H117" s="339" t="s">
        <v>208</v>
      </c>
      <c r="I117" s="340" t="s">
        <v>162</v>
      </c>
      <c r="J117" s="340" t="s">
        <v>163</v>
      </c>
      <c r="K117" s="724"/>
      <c r="L117" s="725"/>
      <c r="M117" s="725"/>
      <c r="N117" s="725"/>
    </row>
    <row r="118" spans="1:14" s="11" customFormat="1">
      <c r="A118" s="2"/>
      <c r="B118" s="2"/>
      <c r="C118" s="1122" t="s">
        <v>19</v>
      </c>
      <c r="D118" s="1123"/>
      <c r="E118" s="1123"/>
      <c r="F118" s="1123"/>
      <c r="G118" s="1124"/>
      <c r="H118" s="539">
        <f ca="1">H119+H127+H126</f>
        <v>18285108</v>
      </c>
      <c r="I118" s="539">
        <f t="shared" ref="I118:J118" si="16">I119+I127+I126</f>
        <v>12475758</v>
      </c>
      <c r="J118" s="539">
        <f t="shared" si="16"/>
        <v>11683358</v>
      </c>
      <c r="K118" s="14"/>
      <c r="L118" s="726"/>
      <c r="M118" s="726"/>
      <c r="N118" s="726"/>
    </row>
    <row r="119" spans="1:14" s="11" customFormat="1">
      <c r="A119" s="2"/>
      <c r="B119" s="2"/>
      <c r="C119" s="1125" t="s">
        <v>25</v>
      </c>
      <c r="D119" s="1126"/>
      <c r="E119" s="1126"/>
      <c r="F119" s="1126"/>
      <c r="G119" s="1127"/>
      <c r="H119" s="540">
        <f ca="1">H120+H121+H122+H123+H124+H125</f>
        <v>18277854</v>
      </c>
      <c r="I119" s="540">
        <f t="shared" ref="I119:J119" si="17">I120+I121+I122+I123+I124+I125</f>
        <v>12471703</v>
      </c>
      <c r="J119" s="541">
        <f t="shared" si="17"/>
        <v>11681910</v>
      </c>
      <c r="K119" s="14"/>
      <c r="L119" s="726"/>
      <c r="M119" s="726"/>
      <c r="N119" s="726"/>
    </row>
    <row r="120" spans="1:14" s="11" customFormat="1">
      <c r="A120" s="2"/>
      <c r="B120" s="2"/>
      <c r="C120" s="1061" t="s">
        <v>50</v>
      </c>
      <c r="D120" s="1062"/>
      <c r="E120" s="1062"/>
      <c r="F120" s="1062"/>
      <c r="G120" s="1063"/>
      <c r="H120" s="542">
        <f>SUMIF(G12:G113,"sb",H12:H113)</f>
        <v>12278331</v>
      </c>
      <c r="I120" s="542">
        <f>SUMIF(G12:G113,"sb",I12:I113)</f>
        <v>11430056</v>
      </c>
      <c r="J120" s="543">
        <f>SUMIF(G12:G113,"sb",J12:J113)</f>
        <v>10640263</v>
      </c>
      <c r="K120" s="727"/>
      <c r="L120" s="725"/>
      <c r="M120" s="725"/>
      <c r="N120" s="725"/>
    </row>
    <row r="121" spans="1:14" s="11" customFormat="1">
      <c r="A121" s="2"/>
      <c r="B121" s="2"/>
      <c r="C121" s="1064" t="s">
        <v>122</v>
      </c>
      <c r="D121" s="1065"/>
      <c r="E121" s="1065"/>
      <c r="F121" s="1065"/>
      <c r="G121" s="1066"/>
      <c r="H121" s="542">
        <f>SUMIF(G12:G113,"sb(VR)",H12:H113)</f>
        <v>23720</v>
      </c>
      <c r="I121" s="542">
        <f>SUMIF(G12:G113,"sb(VR)",I12:I113)</f>
        <v>23459</v>
      </c>
      <c r="J121" s="543">
        <f>SUMIF(G12:G111,"sb(VR)",J12:J111)</f>
        <v>23459</v>
      </c>
      <c r="K121" s="727"/>
      <c r="L121" s="725"/>
      <c r="M121" s="725"/>
      <c r="N121" s="725"/>
    </row>
    <row r="122" spans="1:14" s="11" customFormat="1" ht="25.5" customHeight="1">
      <c r="A122" s="2"/>
      <c r="B122" s="2"/>
      <c r="C122" s="1058" t="s">
        <v>43</v>
      </c>
      <c r="D122" s="1059"/>
      <c r="E122" s="1059"/>
      <c r="F122" s="1059"/>
      <c r="G122" s="1060"/>
      <c r="H122" s="542">
        <f>SUMIF(G13:G113,"sb(Vb)",H13:H113)</f>
        <v>1008061</v>
      </c>
      <c r="I122" s="542">
        <f>SUMIF(G13:G110,"SB(VB)",I13:I110)</f>
        <v>1014828</v>
      </c>
      <c r="J122" s="543">
        <f>SUMIF(G13:G110,"SB(VB)",J13:J110)</f>
        <v>1014828</v>
      </c>
      <c r="K122" s="724"/>
      <c r="L122" s="725"/>
      <c r="M122" s="725"/>
      <c r="N122" s="725"/>
    </row>
    <row r="123" spans="1:14" s="11" customFormat="1">
      <c r="A123" s="2"/>
      <c r="B123" s="2"/>
      <c r="C123" s="1058" t="s">
        <v>106</v>
      </c>
      <c r="D123" s="1059"/>
      <c r="E123" s="1059"/>
      <c r="F123" s="1059"/>
      <c r="G123" s="1060"/>
      <c r="H123" s="542">
        <f ca="1">SUMIF(G12:G113,"sb(P)",H12:H111)</f>
        <v>172324</v>
      </c>
      <c r="I123" s="542">
        <f>SUMIF(G12:G113,"sb(P)",I12:I113)</f>
        <v>0</v>
      </c>
      <c r="J123" s="543">
        <f>SUMIF(G13:G111,"sb(P)",J13:J111)</f>
        <v>0</v>
      </c>
      <c r="K123" s="727"/>
      <c r="L123" s="725"/>
      <c r="M123" s="725"/>
      <c r="N123" s="725"/>
    </row>
    <row r="124" spans="1:14" s="2" customFormat="1">
      <c r="C124" s="1052" t="s">
        <v>54</v>
      </c>
      <c r="D124" s="1053"/>
      <c r="E124" s="1053"/>
      <c r="F124" s="1053"/>
      <c r="G124" s="1054"/>
      <c r="H124" s="542">
        <f>SUMIF(G12:G113,"SB(SP)",H12:H113)</f>
        <v>3360</v>
      </c>
      <c r="I124" s="542">
        <f>SUMIF(G13:G110,"SB(SP)",I13:I110)</f>
        <v>3360</v>
      </c>
      <c r="J124" s="543">
        <f>SUMIF(G13:G110,"SB(sP)",J13:J110)</f>
        <v>3360</v>
      </c>
      <c r="L124" s="38"/>
      <c r="M124" s="38"/>
      <c r="N124" s="38"/>
    </row>
    <row r="125" spans="1:14" s="2" customFormat="1">
      <c r="C125" s="1055" t="s">
        <v>199</v>
      </c>
      <c r="D125" s="1056"/>
      <c r="E125" s="1056"/>
      <c r="F125" s="1056"/>
      <c r="G125" s="1057"/>
      <c r="H125" s="743">
        <f>SUMIF(G12:G113,"sb(L)",H12:H113)</f>
        <v>4792058</v>
      </c>
      <c r="I125" s="743">
        <f t="shared" ref="I125:J125" si="18">SUMIF(H12:H113,"sb(L)",I12:I113)</f>
        <v>0</v>
      </c>
      <c r="J125" s="532">
        <f t="shared" si="18"/>
        <v>0</v>
      </c>
      <c r="K125" s="686"/>
      <c r="L125" s="38"/>
      <c r="M125" s="38"/>
      <c r="N125" s="38"/>
    </row>
    <row r="126" spans="1:14" s="2" customFormat="1">
      <c r="C126" s="1105" t="s">
        <v>348</v>
      </c>
      <c r="D126" s="1106"/>
      <c r="E126" s="1106"/>
      <c r="F126" s="1106"/>
      <c r="G126" s="1107"/>
      <c r="H126" s="540">
        <f>SUMIF(G13:G114,"sb(Lap)",H13:H114)</f>
        <v>3199</v>
      </c>
      <c r="I126" s="540">
        <f>SUMIF(H13:H114,"sb(Lap)",I13:I114)</f>
        <v>0</v>
      </c>
      <c r="J126" s="541">
        <f t="shared" ref="J126" si="19">SUMIF(I13:I114,"sb(L)",J13:J114)</f>
        <v>0</v>
      </c>
      <c r="K126" s="686"/>
      <c r="L126" s="38"/>
      <c r="M126" s="38"/>
      <c r="N126" s="38"/>
    </row>
    <row r="127" spans="1:14" s="2" customFormat="1">
      <c r="C127" s="1105" t="s">
        <v>138</v>
      </c>
      <c r="D127" s="1106"/>
      <c r="E127" s="1106"/>
      <c r="F127" s="1106"/>
      <c r="G127" s="1107"/>
      <c r="H127" s="540">
        <f>SUMIF(G13:G113,"pf",H13:H113)</f>
        <v>4055</v>
      </c>
      <c r="I127" s="540">
        <f>SUMIF(G13:G110,"pf",I13:I110)</f>
        <v>4055</v>
      </c>
      <c r="J127" s="541">
        <f>SUMIF(G13:G110,"pf",J13:J110)</f>
        <v>1448</v>
      </c>
      <c r="K127" s="15"/>
      <c r="L127" s="38"/>
      <c r="M127" s="38"/>
      <c r="N127" s="38"/>
    </row>
    <row r="128" spans="1:14" s="2" customFormat="1">
      <c r="C128" s="1108" t="s">
        <v>20</v>
      </c>
      <c r="D128" s="1109"/>
      <c r="E128" s="1109"/>
      <c r="F128" s="1109"/>
      <c r="G128" s="1110"/>
      <c r="H128" s="544">
        <f>SUM(H129:H132)</f>
        <v>320377</v>
      </c>
      <c r="I128" s="544">
        <f>SUM(I129:I132)</f>
        <v>136788</v>
      </c>
      <c r="J128" s="545">
        <f>SUM(J129:J132)</f>
        <v>8689</v>
      </c>
      <c r="K128" s="15"/>
      <c r="L128" s="38"/>
      <c r="M128" s="38"/>
      <c r="N128" s="38"/>
    </row>
    <row r="129" spans="3:14" s="2" customFormat="1">
      <c r="C129" s="1103" t="s">
        <v>51</v>
      </c>
      <c r="D129" s="1104"/>
      <c r="E129" s="1104"/>
      <c r="F129" s="1104"/>
      <c r="G129" s="1104"/>
      <c r="H129" s="542">
        <f>SUMIF(G12:G113,"es",H12:H113)</f>
        <v>223934</v>
      </c>
      <c r="I129" s="542">
        <f>SUMIF(G13:G110,"es",I13:I110)</f>
        <v>0</v>
      </c>
      <c r="J129" s="543">
        <f>SUMIF(G13:G110,"es",J13:J110)</f>
        <v>0</v>
      </c>
      <c r="L129" s="38"/>
      <c r="M129" s="38"/>
      <c r="N129" s="38"/>
    </row>
    <row r="130" spans="3:14" s="2" customFormat="1">
      <c r="C130" s="1061" t="s">
        <v>52</v>
      </c>
      <c r="D130" s="1062"/>
      <c r="E130" s="1062"/>
      <c r="F130" s="1062"/>
      <c r="G130" s="1063"/>
      <c r="H130" s="542">
        <f>SUMIF(G12:G113,"lrvb",H12:H113)</f>
        <v>84858</v>
      </c>
      <c r="I130" s="542">
        <f>SUMIF(G13:G110,"lrvb",I13:I110)</f>
        <v>128099</v>
      </c>
      <c r="J130" s="543">
        <f>SUMIF(G13:G110,"lrvb",J13:J110)</f>
        <v>0</v>
      </c>
      <c r="L130" s="38"/>
      <c r="M130" s="38"/>
      <c r="N130" s="38"/>
    </row>
    <row r="131" spans="3:14" s="2" customFormat="1">
      <c r="C131" s="1058" t="s">
        <v>207</v>
      </c>
      <c r="D131" s="1059"/>
      <c r="E131" s="1059"/>
      <c r="F131" s="1059"/>
      <c r="G131" s="1060"/>
      <c r="H131" s="542">
        <f>SUMIF(G12:G113,"kt",H12:H113)</f>
        <v>0</v>
      </c>
      <c r="I131" s="542">
        <f>SUMIF(G13:G110,"kt",I13:I110)</f>
        <v>0</v>
      </c>
      <c r="J131" s="543">
        <f>SUMIF(G13:G110,"kt",J13:J110)</f>
        <v>0</v>
      </c>
      <c r="K131" s="103"/>
      <c r="L131" s="38"/>
      <c r="M131" s="38"/>
      <c r="N131" s="38"/>
    </row>
    <row r="132" spans="3:14" s="2" customFormat="1">
      <c r="C132" s="1058" t="s">
        <v>40</v>
      </c>
      <c r="D132" s="1059"/>
      <c r="E132" s="1059"/>
      <c r="F132" s="1059"/>
      <c r="G132" s="1060"/>
      <c r="H132" s="542">
        <f>SUMIF(G13:G113,"kpp",H13:H113)</f>
        <v>11585</v>
      </c>
      <c r="I132" s="542">
        <f>SUMIF(G14:G111,"kpp",I14:I111)</f>
        <v>8689</v>
      </c>
      <c r="J132" s="543">
        <f>SUMIF(G14:G111,"kpp",J14:J111)</f>
        <v>8689</v>
      </c>
      <c r="K132" s="103"/>
      <c r="L132" s="38"/>
      <c r="M132" s="38"/>
      <c r="N132" s="38"/>
    </row>
    <row r="133" spans="3:14" s="2" customFormat="1" ht="13.5" thickBot="1">
      <c r="C133" s="1100" t="s">
        <v>21</v>
      </c>
      <c r="D133" s="1101"/>
      <c r="E133" s="1101"/>
      <c r="F133" s="1101"/>
      <c r="G133" s="1102"/>
      <c r="H133" s="546">
        <f ca="1">H118+H128</f>
        <v>18605485</v>
      </c>
      <c r="I133" s="546">
        <f>I118+I128</f>
        <v>12612546</v>
      </c>
      <c r="J133" s="547">
        <f>J128+J118</f>
        <v>11692047</v>
      </c>
      <c r="K133" s="103"/>
      <c r="L133" s="38"/>
      <c r="M133" s="38"/>
      <c r="N133" s="38"/>
    </row>
    <row r="134" spans="3:14" ht="12">
      <c r="C134" s="25"/>
      <c r="D134" s="88"/>
      <c r="E134" s="88"/>
      <c r="F134" s="296"/>
      <c r="G134" s="88"/>
      <c r="H134" s="26"/>
      <c r="I134" s="26"/>
      <c r="J134" s="26"/>
    </row>
    <row r="135" spans="3:14" ht="11.25">
      <c r="D135" s="1"/>
      <c r="E135" s="1"/>
      <c r="F135" s="1"/>
      <c r="H135" s="6"/>
      <c r="J135" s="5"/>
      <c r="L135" s="1"/>
      <c r="M135" s="1"/>
      <c r="N135" s="1"/>
    </row>
    <row r="136" spans="3:14" ht="11.25">
      <c r="D136" s="1"/>
      <c r="E136" s="1"/>
      <c r="F136" s="1"/>
      <c r="G136" s="5"/>
      <c r="H136" s="6"/>
      <c r="I136" s="5"/>
      <c r="J136" s="5"/>
      <c r="L136" s="1"/>
      <c r="M136" s="1"/>
      <c r="N136" s="1"/>
    </row>
    <row r="137" spans="3:14">
      <c r="H137" s="5"/>
    </row>
    <row r="138" spans="3:14">
      <c r="H138" s="5"/>
    </row>
    <row r="139" spans="3:14" ht="11.25">
      <c r="D139" s="1"/>
      <c r="E139" s="1"/>
      <c r="F139" s="1"/>
      <c r="G139" s="4"/>
      <c r="H139" s="3"/>
      <c r="L139" s="1"/>
      <c r="M139" s="1"/>
      <c r="N139" s="1"/>
    </row>
    <row r="140" spans="3:14" ht="11.25">
      <c r="D140" s="1"/>
      <c r="E140" s="1"/>
      <c r="F140" s="1"/>
      <c r="G140" s="5"/>
      <c r="H140" s="6"/>
      <c r="L140" s="1"/>
      <c r="M140" s="1"/>
      <c r="N140" s="1"/>
    </row>
    <row r="141" spans="3:14" ht="11.25">
      <c r="D141" s="1"/>
      <c r="E141" s="1"/>
      <c r="F141" s="1"/>
      <c r="H141" s="6"/>
      <c r="L141" s="1"/>
      <c r="M141" s="1"/>
      <c r="N141" s="1"/>
    </row>
    <row r="142" spans="3:14" ht="11.25">
      <c r="D142" s="1"/>
      <c r="E142" s="1"/>
      <c r="F142" s="1"/>
      <c r="G142" s="5"/>
      <c r="H142" s="6"/>
      <c r="L142" s="1"/>
      <c r="M142" s="1"/>
      <c r="N142" s="1"/>
    </row>
    <row r="144" spans="3:14" ht="11.25">
      <c r="D144" s="1"/>
      <c r="E144" s="1"/>
      <c r="F144" s="1"/>
      <c r="G144" s="4"/>
      <c r="L144" s="1"/>
      <c r="M144" s="1"/>
      <c r="N144" s="1"/>
    </row>
    <row r="145" spans="4:14" ht="11.25">
      <c r="D145" s="1"/>
      <c r="E145" s="1"/>
      <c r="F145" s="1"/>
      <c r="G145" s="5"/>
      <c r="L145" s="1"/>
      <c r="M145" s="1"/>
      <c r="N145" s="1"/>
    </row>
    <row r="147" spans="4:14" ht="11.25">
      <c r="D147" s="1"/>
      <c r="E147" s="1"/>
      <c r="F147" s="1"/>
      <c r="G147" s="5"/>
      <c r="L147" s="1"/>
      <c r="M147" s="1"/>
      <c r="N147" s="1"/>
    </row>
  </sheetData>
  <mergeCells count="170">
    <mergeCell ref="F63:F65"/>
    <mergeCell ref="F29:F30"/>
    <mergeCell ref="K29:K30"/>
    <mergeCell ref="K38:K40"/>
    <mergeCell ref="D57:D58"/>
    <mergeCell ref="A1:N1"/>
    <mergeCell ref="A3:N3"/>
    <mergeCell ref="A5:A7"/>
    <mergeCell ref="B5:B7"/>
    <mergeCell ref="C5:C7"/>
    <mergeCell ref="D5:D7"/>
    <mergeCell ref="E5:E7"/>
    <mergeCell ref="H5:H7"/>
    <mergeCell ref="K6:K7"/>
    <mergeCell ref="L6:N6"/>
    <mergeCell ref="A8:N8"/>
    <mergeCell ref="I5:I7"/>
    <mergeCell ref="J5:J7"/>
    <mergeCell ref="K5:N5"/>
    <mergeCell ref="N25:N26"/>
    <mergeCell ref="L25:L26"/>
    <mergeCell ref="M25:M26"/>
    <mergeCell ref="F5:F7"/>
    <mergeCell ref="G5:G7"/>
    <mergeCell ref="A9:N9"/>
    <mergeCell ref="B10:N10"/>
    <mergeCell ref="C11:N11"/>
    <mergeCell ref="A14:A20"/>
    <mergeCell ref="B14:B20"/>
    <mergeCell ref="C14:C20"/>
    <mergeCell ref="D12:D24"/>
    <mergeCell ref="E12:E24"/>
    <mergeCell ref="F12:F24"/>
    <mergeCell ref="K23:K24"/>
    <mergeCell ref="A27:A28"/>
    <mergeCell ref="B27:B28"/>
    <mergeCell ref="C27:C28"/>
    <mergeCell ref="D27:D28"/>
    <mergeCell ref="E27:E28"/>
    <mergeCell ref="F27:F28"/>
    <mergeCell ref="K27:K28"/>
    <mergeCell ref="F25:F26"/>
    <mergeCell ref="K25:K26"/>
    <mergeCell ref="A25:A26"/>
    <mergeCell ref="B25:B26"/>
    <mergeCell ref="C25:C26"/>
    <mergeCell ref="D25:D26"/>
    <mergeCell ref="E25:E26"/>
    <mergeCell ref="L29:L30"/>
    <mergeCell ref="M29:M30"/>
    <mergeCell ref="N29:N30"/>
    <mergeCell ref="A29:A30"/>
    <mergeCell ref="B29:B30"/>
    <mergeCell ref="C29:C30"/>
    <mergeCell ref="D29:D30"/>
    <mergeCell ref="E29:E30"/>
    <mergeCell ref="D31:D32"/>
    <mergeCell ref="F41:F42"/>
    <mergeCell ref="F31:F32"/>
    <mergeCell ref="A38:A40"/>
    <mergeCell ref="B38:B40"/>
    <mergeCell ref="C38:C40"/>
    <mergeCell ref="D38:D40"/>
    <mergeCell ref="E38:E40"/>
    <mergeCell ref="F38:F40"/>
    <mergeCell ref="A31:A32"/>
    <mergeCell ref="B31:B32"/>
    <mergeCell ref="C31:C32"/>
    <mergeCell ref="E31:E32"/>
    <mergeCell ref="D36:D37"/>
    <mergeCell ref="E36:E37"/>
    <mergeCell ref="F36:F37"/>
    <mergeCell ref="D43:D45"/>
    <mergeCell ref="D46:D48"/>
    <mergeCell ref="D49:D50"/>
    <mergeCell ref="D54:D55"/>
    <mergeCell ref="E63:E65"/>
    <mergeCell ref="A41:A42"/>
    <mergeCell ref="B41:B42"/>
    <mergeCell ref="C41:C42"/>
    <mergeCell ref="D41:D42"/>
    <mergeCell ref="E41:E42"/>
    <mergeCell ref="D59:D61"/>
    <mergeCell ref="D64:D65"/>
    <mergeCell ref="F66:F67"/>
    <mergeCell ref="A68:A71"/>
    <mergeCell ref="B68:B71"/>
    <mergeCell ref="C68:C71"/>
    <mergeCell ref="E68:E71"/>
    <mergeCell ref="F68:F71"/>
    <mergeCell ref="A66:A67"/>
    <mergeCell ref="B66:B67"/>
    <mergeCell ref="C66:C67"/>
    <mergeCell ref="D66:D67"/>
    <mergeCell ref="E66:E67"/>
    <mergeCell ref="D83:D85"/>
    <mergeCell ref="E83:E85"/>
    <mergeCell ref="F83:F85"/>
    <mergeCell ref="K83:K84"/>
    <mergeCell ref="D80:D82"/>
    <mergeCell ref="E80:E82"/>
    <mergeCell ref="F80:F82"/>
    <mergeCell ref="K81:K82"/>
    <mergeCell ref="K70:K71"/>
    <mergeCell ref="C72:G72"/>
    <mergeCell ref="C73:N73"/>
    <mergeCell ref="E74:E78"/>
    <mergeCell ref="D78:D79"/>
    <mergeCell ref="D75:D76"/>
    <mergeCell ref="F86:F88"/>
    <mergeCell ref="K86:K87"/>
    <mergeCell ref="C89:G89"/>
    <mergeCell ref="C90:N90"/>
    <mergeCell ref="A86:A88"/>
    <mergeCell ref="B86:B88"/>
    <mergeCell ref="C86:C88"/>
    <mergeCell ref="D86:D88"/>
    <mergeCell ref="E86:E88"/>
    <mergeCell ref="B94:B95"/>
    <mergeCell ref="C94:C95"/>
    <mergeCell ref="D94:D95"/>
    <mergeCell ref="E94:E95"/>
    <mergeCell ref="F94:F95"/>
    <mergeCell ref="A91:A93"/>
    <mergeCell ref="B91:B93"/>
    <mergeCell ref="C91:C93"/>
    <mergeCell ref="D91:D93"/>
    <mergeCell ref="E91:E93"/>
    <mergeCell ref="C133:G133"/>
    <mergeCell ref="C129:G129"/>
    <mergeCell ref="C130:G130"/>
    <mergeCell ref="C127:G127"/>
    <mergeCell ref="C128:G128"/>
    <mergeCell ref="C132:G132"/>
    <mergeCell ref="C111:G111"/>
    <mergeCell ref="K111:N111"/>
    <mergeCell ref="B112:G112"/>
    <mergeCell ref="K112:N112"/>
    <mergeCell ref="B113:G113"/>
    <mergeCell ref="K113:N113"/>
    <mergeCell ref="C118:G118"/>
    <mergeCell ref="C119:G119"/>
    <mergeCell ref="A114:N114"/>
    <mergeCell ref="C115:J115"/>
    <mergeCell ref="C117:G117"/>
    <mergeCell ref="C126:G126"/>
    <mergeCell ref="A2:N2"/>
    <mergeCell ref="L4:N4"/>
    <mergeCell ref="C124:G124"/>
    <mergeCell ref="C125:G125"/>
    <mergeCell ref="C122:G122"/>
    <mergeCell ref="C123:G123"/>
    <mergeCell ref="C120:G120"/>
    <mergeCell ref="C121:G121"/>
    <mergeCell ref="C131:G131"/>
    <mergeCell ref="C96:G96"/>
    <mergeCell ref="K96:N96"/>
    <mergeCell ref="C97:N97"/>
    <mergeCell ref="D102:D104"/>
    <mergeCell ref="A108:A110"/>
    <mergeCell ref="B108:B110"/>
    <mergeCell ref="C108:C110"/>
    <mergeCell ref="D108:D110"/>
    <mergeCell ref="E108:E110"/>
    <mergeCell ref="F108:F110"/>
    <mergeCell ref="K109:K110"/>
    <mergeCell ref="K106:K107"/>
    <mergeCell ref="D106:D107"/>
    <mergeCell ref="F91:F93"/>
    <mergeCell ref="A94:A95"/>
  </mergeCells>
  <pageMargins left="0.78740157480314965" right="0.19685039370078741" top="0.78740157480314965" bottom="0.39370078740157483" header="0" footer="0"/>
  <pageSetup paperSize="9" scale="70" orientation="portrait" r:id="rId1"/>
  <rowBreaks count="1" manualBreakCount="1">
    <brk id="96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83"/>
  <sheetViews>
    <sheetView tabSelected="1" topLeftCell="A133" zoomScaleNormal="100" zoomScaleSheetLayoutView="100" workbookViewId="0">
      <selection activeCell="Z140" sqref="Z140"/>
    </sheetView>
  </sheetViews>
  <sheetFormatPr defaultRowHeight="12.75"/>
  <cols>
    <col min="1" max="4" width="2.85546875" style="1" customWidth="1"/>
    <col min="5" max="5" width="37.85546875" style="2" customWidth="1"/>
    <col min="6" max="6" width="3.42578125" style="28" customWidth="1"/>
    <col min="7" max="7" width="5.28515625" style="1" customWidth="1"/>
    <col min="8" max="8" width="2.85546875" style="8" customWidth="1"/>
    <col min="9" max="9" width="10.5703125" style="1" customWidth="1"/>
    <col min="10" max="10" width="7.28515625" style="1" customWidth="1"/>
    <col min="11" max="11" width="10" style="1" customWidth="1"/>
    <col min="12" max="12" width="26" style="1" customWidth="1"/>
    <col min="13" max="13" width="6.140625" style="37" customWidth="1"/>
    <col min="14" max="16384" width="9.140625" style="1"/>
  </cols>
  <sheetData>
    <row r="1" spans="1:14" s="11" customFormat="1" ht="24" customHeight="1">
      <c r="A1" s="2"/>
      <c r="B1" s="2"/>
      <c r="C1" s="2"/>
      <c r="D1" s="2"/>
      <c r="E1" s="2"/>
      <c r="F1" s="2"/>
      <c r="G1" s="2"/>
      <c r="H1" s="567"/>
      <c r="I1" s="567"/>
      <c r="J1" s="939"/>
      <c r="K1" s="1312" t="s">
        <v>362</v>
      </c>
      <c r="L1" s="1313"/>
      <c r="M1" s="1313"/>
      <c r="N1" s="876"/>
    </row>
    <row r="2" spans="1:14" s="11" customFormat="1" ht="26.25" customHeight="1">
      <c r="A2" s="2"/>
      <c r="B2" s="2"/>
      <c r="C2" s="2"/>
      <c r="D2" s="2"/>
      <c r="E2" s="2"/>
      <c r="F2" s="2"/>
      <c r="G2" s="2"/>
      <c r="H2" s="567"/>
      <c r="I2" s="567"/>
      <c r="J2" s="940"/>
      <c r="K2" s="1313"/>
      <c r="L2" s="1313"/>
      <c r="M2" s="1313"/>
      <c r="N2" s="876"/>
    </row>
    <row r="3" spans="1:14" s="11" customFormat="1" ht="19.5" customHeight="1">
      <c r="A3" s="2"/>
      <c r="B3" s="2"/>
      <c r="C3" s="2"/>
      <c r="D3" s="2"/>
      <c r="E3" s="2"/>
      <c r="F3" s="2"/>
      <c r="G3" s="2"/>
      <c r="H3" s="567"/>
      <c r="I3" s="567"/>
      <c r="J3" s="939"/>
      <c r="K3" s="1312" t="s">
        <v>372</v>
      </c>
      <c r="L3" s="1314"/>
      <c r="M3" s="1314"/>
      <c r="N3" s="876"/>
    </row>
    <row r="4" spans="1:14" s="11" customFormat="1" ht="18.75" customHeight="1">
      <c r="A4" s="2"/>
      <c r="B4" s="2"/>
      <c r="C4" s="2"/>
      <c r="D4" s="2"/>
      <c r="E4" s="2"/>
      <c r="F4" s="2"/>
      <c r="G4" s="2"/>
      <c r="H4" s="567"/>
      <c r="I4" s="567"/>
      <c r="J4" s="940"/>
      <c r="K4" s="1314"/>
      <c r="L4" s="1314"/>
      <c r="M4" s="1314"/>
      <c r="N4" s="876"/>
    </row>
    <row r="5" spans="1:14" s="11" customFormat="1" ht="12" customHeight="1">
      <c r="A5" s="2"/>
      <c r="B5" s="2"/>
      <c r="C5" s="2"/>
      <c r="D5" s="2"/>
      <c r="E5" s="2"/>
      <c r="F5" s="2"/>
      <c r="G5" s="2"/>
      <c r="H5" s="567"/>
      <c r="I5" s="567"/>
      <c r="J5" s="568"/>
      <c r="K5" s="875"/>
      <c r="L5" s="875"/>
      <c r="M5" s="875"/>
    </row>
    <row r="6" spans="1:14" s="11" customFormat="1" ht="12" customHeight="1">
      <c r="A6" s="2"/>
      <c r="B6" s="2"/>
      <c r="C6" s="2"/>
      <c r="D6" s="2"/>
      <c r="E6" s="2"/>
      <c r="F6" s="2"/>
      <c r="G6" s="2"/>
      <c r="H6" s="567"/>
      <c r="I6" s="567"/>
      <c r="J6" s="568"/>
      <c r="K6" s="875"/>
      <c r="L6" s="875"/>
      <c r="M6" s="875"/>
    </row>
    <row r="7" spans="1:14" s="2" customFormat="1" ht="15">
      <c r="A7" s="1433" t="s">
        <v>296</v>
      </c>
      <c r="B7" s="1433"/>
      <c r="C7" s="1433"/>
      <c r="D7" s="1433"/>
      <c r="E7" s="1433"/>
      <c r="F7" s="1433"/>
      <c r="G7" s="1433"/>
      <c r="H7" s="1433"/>
      <c r="I7" s="1433"/>
      <c r="J7" s="1433"/>
      <c r="K7" s="1433"/>
      <c r="L7" s="1433"/>
      <c r="M7" s="1433"/>
    </row>
    <row r="8" spans="1:14" s="2" customFormat="1" ht="15" customHeight="1">
      <c r="A8" s="94"/>
      <c r="B8" s="94"/>
      <c r="C8" s="94"/>
      <c r="D8" s="94"/>
      <c r="E8" s="1442" t="s">
        <v>353</v>
      </c>
      <c r="F8" s="1443"/>
      <c r="G8" s="1443"/>
      <c r="H8" s="1443"/>
      <c r="I8" s="1443"/>
      <c r="J8" s="1443"/>
      <c r="K8" s="1443"/>
      <c r="L8" s="1443"/>
      <c r="M8" s="94"/>
    </row>
    <row r="9" spans="1:14" s="2" customFormat="1" ht="15">
      <c r="A9" s="1433" t="s">
        <v>53</v>
      </c>
      <c r="B9" s="1433"/>
      <c r="C9" s="1433"/>
      <c r="D9" s="1433"/>
      <c r="E9" s="1433"/>
      <c r="F9" s="1433"/>
      <c r="G9" s="1433"/>
      <c r="H9" s="1433"/>
      <c r="I9" s="1433"/>
      <c r="J9" s="1433"/>
      <c r="K9" s="1433"/>
      <c r="L9" s="1433"/>
      <c r="M9" s="1433"/>
    </row>
    <row r="10" spans="1:14" s="2" customFormat="1" ht="13.5" thickBot="1">
      <c r="F10" s="28"/>
      <c r="H10" s="50"/>
      <c r="L10" s="1434" t="s">
        <v>271</v>
      </c>
      <c r="M10" s="1434"/>
    </row>
    <row r="11" spans="1:14" s="11" customFormat="1" ht="32.25" customHeight="1">
      <c r="A11" s="1262" t="s">
        <v>157</v>
      </c>
      <c r="B11" s="1265" t="s">
        <v>0</v>
      </c>
      <c r="C11" s="1265" t="s">
        <v>1</v>
      </c>
      <c r="D11" s="1265" t="s">
        <v>158</v>
      </c>
      <c r="E11" s="1268" t="s">
        <v>17</v>
      </c>
      <c r="F11" s="1271" t="s">
        <v>2</v>
      </c>
      <c r="G11" s="1265" t="s">
        <v>297</v>
      </c>
      <c r="H11" s="1295" t="s">
        <v>3</v>
      </c>
      <c r="I11" s="1439" t="s">
        <v>159</v>
      </c>
      <c r="J11" s="1298" t="s">
        <v>4</v>
      </c>
      <c r="K11" s="1444" t="s">
        <v>295</v>
      </c>
      <c r="L11" s="1437" t="s">
        <v>298</v>
      </c>
      <c r="M11" s="1438"/>
    </row>
    <row r="12" spans="1:14" s="11" customFormat="1" ht="18" customHeight="1">
      <c r="A12" s="1263"/>
      <c r="B12" s="1266"/>
      <c r="C12" s="1266"/>
      <c r="D12" s="1266"/>
      <c r="E12" s="1269"/>
      <c r="F12" s="1272"/>
      <c r="G12" s="1435"/>
      <c r="H12" s="1296"/>
      <c r="I12" s="1440"/>
      <c r="J12" s="1299"/>
      <c r="K12" s="1445"/>
      <c r="L12" s="1277" t="s">
        <v>17</v>
      </c>
      <c r="M12" s="569" t="s">
        <v>243</v>
      </c>
    </row>
    <row r="13" spans="1:14" s="11" customFormat="1" ht="70.5" customHeight="1" thickBot="1">
      <c r="A13" s="1264"/>
      <c r="B13" s="1267"/>
      <c r="C13" s="1267"/>
      <c r="D13" s="1267"/>
      <c r="E13" s="1270"/>
      <c r="F13" s="1273"/>
      <c r="G13" s="1436"/>
      <c r="H13" s="1297"/>
      <c r="I13" s="1441"/>
      <c r="J13" s="1300"/>
      <c r="K13" s="1446"/>
      <c r="L13" s="1278"/>
      <c r="M13" s="264" t="s">
        <v>62</v>
      </c>
    </row>
    <row r="14" spans="1:14" s="2" customFormat="1" ht="15" customHeight="1">
      <c r="A14" s="1282" t="s">
        <v>24</v>
      </c>
      <c r="B14" s="1283"/>
      <c r="C14" s="1283"/>
      <c r="D14" s="1283"/>
      <c r="E14" s="1283"/>
      <c r="F14" s="1283"/>
      <c r="G14" s="1283"/>
      <c r="H14" s="1283"/>
      <c r="I14" s="1283"/>
      <c r="J14" s="1283"/>
      <c r="K14" s="1283"/>
      <c r="L14" s="1283"/>
      <c r="M14" s="1284"/>
    </row>
    <row r="15" spans="1:14" s="2" customFormat="1" ht="14.25" customHeight="1">
      <c r="A15" s="1239" t="s">
        <v>56</v>
      </c>
      <c r="B15" s="1240"/>
      <c r="C15" s="1240"/>
      <c r="D15" s="1240"/>
      <c r="E15" s="1240"/>
      <c r="F15" s="1240"/>
      <c r="G15" s="1240"/>
      <c r="H15" s="1240"/>
      <c r="I15" s="1240"/>
      <c r="J15" s="1240"/>
      <c r="K15" s="1240"/>
      <c r="L15" s="1240"/>
      <c r="M15" s="1241"/>
    </row>
    <row r="16" spans="1:14" s="2" customFormat="1" ht="13.5" customHeight="1">
      <c r="A16" s="152" t="s">
        <v>5</v>
      </c>
      <c r="B16" s="1242" t="s">
        <v>44</v>
      </c>
      <c r="C16" s="1242"/>
      <c r="D16" s="1242"/>
      <c r="E16" s="1242"/>
      <c r="F16" s="1242"/>
      <c r="G16" s="1242"/>
      <c r="H16" s="1242"/>
      <c r="I16" s="1242"/>
      <c r="J16" s="1242"/>
      <c r="K16" s="1242"/>
      <c r="L16" s="1242"/>
      <c r="M16" s="1243"/>
    </row>
    <row r="17" spans="1:16" s="2" customFormat="1" ht="15.75" customHeight="1">
      <c r="A17" s="153" t="s">
        <v>5</v>
      </c>
      <c r="B17" s="109" t="s">
        <v>5</v>
      </c>
      <c r="C17" s="1244" t="s">
        <v>46</v>
      </c>
      <c r="D17" s="1245"/>
      <c r="E17" s="1245"/>
      <c r="F17" s="1245"/>
      <c r="G17" s="1245"/>
      <c r="H17" s="1245"/>
      <c r="I17" s="1245"/>
      <c r="J17" s="1245"/>
      <c r="K17" s="1245"/>
      <c r="L17" s="1245"/>
      <c r="M17" s="1246"/>
    </row>
    <row r="18" spans="1:16" s="11" customFormat="1" ht="26.25" customHeight="1">
      <c r="A18" s="154" t="s">
        <v>5</v>
      </c>
      <c r="B18" s="47" t="s">
        <v>5</v>
      </c>
      <c r="C18" s="164" t="s">
        <v>5</v>
      </c>
      <c r="D18" s="772"/>
      <c r="E18" s="773" t="s">
        <v>74</v>
      </c>
      <c r="F18" s="599"/>
      <c r="G18" s="773"/>
      <c r="H18" s="599"/>
      <c r="I18" s="781"/>
      <c r="J18" s="65"/>
      <c r="K18" s="247"/>
      <c r="L18" s="401"/>
      <c r="M18" s="842"/>
    </row>
    <row r="19" spans="1:16" s="11" customFormat="1" ht="21.75" customHeight="1">
      <c r="A19" s="155"/>
      <c r="B19" s="83"/>
      <c r="C19" s="165"/>
      <c r="D19" s="150" t="s">
        <v>5</v>
      </c>
      <c r="E19" s="1095" t="s">
        <v>313</v>
      </c>
      <c r="F19" s="1455"/>
      <c r="G19" s="1365" t="s">
        <v>320</v>
      </c>
      <c r="H19" s="1471" t="s">
        <v>47</v>
      </c>
      <c r="I19" s="1356" t="s">
        <v>113</v>
      </c>
      <c r="J19" s="256" t="s">
        <v>9</v>
      </c>
      <c r="K19" s="615">
        <f>4622348+39737</f>
        <v>4662085</v>
      </c>
      <c r="L19" s="1175" t="s">
        <v>131</v>
      </c>
      <c r="M19" s="1371">
        <v>439.5</v>
      </c>
    </row>
    <row r="20" spans="1:16" s="11" customFormat="1" ht="18.75" customHeight="1">
      <c r="A20" s="154"/>
      <c r="B20" s="47"/>
      <c r="C20" s="164"/>
      <c r="D20" s="772"/>
      <c r="E20" s="1355"/>
      <c r="F20" s="1456"/>
      <c r="G20" s="1366"/>
      <c r="H20" s="1472"/>
      <c r="I20" s="1368"/>
      <c r="J20" s="594" t="s">
        <v>41</v>
      </c>
      <c r="K20" s="745">
        <f>713867+1210-2460-8788</f>
        <v>703829</v>
      </c>
      <c r="L20" s="1362"/>
      <c r="M20" s="1372"/>
    </row>
    <row r="21" spans="1:16" s="11" customFormat="1" ht="22.5" customHeight="1">
      <c r="A21" s="154"/>
      <c r="B21" s="379"/>
      <c r="C21" s="380"/>
      <c r="D21" s="772"/>
      <c r="E21" s="793" t="s">
        <v>314</v>
      </c>
      <c r="F21" s="825"/>
      <c r="G21" s="829"/>
      <c r="H21" s="802"/>
      <c r="I21" s="1357"/>
      <c r="J21" s="214" t="s">
        <v>9</v>
      </c>
      <c r="K21" s="614">
        <v>98269</v>
      </c>
      <c r="L21" s="831"/>
      <c r="M21" s="824"/>
    </row>
    <row r="22" spans="1:16" s="2" customFormat="1" ht="13.5" customHeight="1">
      <c r="A22" s="1078"/>
      <c r="B22" s="1231"/>
      <c r="C22" s="1470"/>
      <c r="D22" s="150" t="s">
        <v>6</v>
      </c>
      <c r="E22" s="1095" t="s">
        <v>164</v>
      </c>
      <c r="F22" s="1462"/>
      <c r="G22" s="1365" t="s">
        <v>320</v>
      </c>
      <c r="H22" s="1388" t="s">
        <v>47</v>
      </c>
      <c r="I22" s="592" t="s">
        <v>92</v>
      </c>
      <c r="J22" s="20" t="s">
        <v>9</v>
      </c>
      <c r="K22" s="744">
        <f>488023-1765</f>
        <v>486258</v>
      </c>
      <c r="L22" s="161"/>
      <c r="M22" s="96"/>
    </row>
    <row r="23" spans="1:16" s="2" customFormat="1" ht="15" customHeight="1">
      <c r="A23" s="1078"/>
      <c r="B23" s="1231"/>
      <c r="C23" s="1470"/>
      <c r="D23" s="772"/>
      <c r="E23" s="1233"/>
      <c r="F23" s="1463"/>
      <c r="G23" s="1366"/>
      <c r="H23" s="1382"/>
      <c r="I23" s="772"/>
      <c r="J23" s="595" t="s">
        <v>55</v>
      </c>
      <c r="K23" s="749">
        <f>3360+1118</f>
        <v>4478</v>
      </c>
      <c r="L23" s="835"/>
      <c r="M23" s="100"/>
    </row>
    <row r="24" spans="1:16" s="2" customFormat="1" ht="14.25" customHeight="1">
      <c r="A24" s="768"/>
      <c r="B24" s="792"/>
      <c r="C24" s="805"/>
      <c r="D24" s="772"/>
      <c r="E24" s="1233"/>
      <c r="F24" s="658"/>
      <c r="G24" s="1366"/>
      <c r="H24" s="810"/>
      <c r="I24" s="772"/>
      <c r="J24" s="595" t="s">
        <v>165</v>
      </c>
      <c r="K24" s="749">
        <v>3181</v>
      </c>
      <c r="L24" s="835"/>
      <c r="M24" s="100"/>
    </row>
    <row r="25" spans="1:16" s="2" customFormat="1" ht="14.25" customHeight="1">
      <c r="A25" s="768"/>
      <c r="B25" s="792"/>
      <c r="C25" s="805"/>
      <c r="D25" s="772"/>
      <c r="E25" s="1233"/>
      <c r="F25" s="825"/>
      <c r="G25" s="1367"/>
      <c r="H25" s="802"/>
      <c r="I25" s="772"/>
      <c r="J25" s="214"/>
      <c r="K25" s="614"/>
      <c r="L25" s="835"/>
      <c r="M25" s="100"/>
    </row>
    <row r="26" spans="1:16" s="2" customFormat="1" ht="29.25" customHeight="1">
      <c r="A26" s="768"/>
      <c r="B26" s="770"/>
      <c r="C26" s="834"/>
      <c r="D26" s="150" t="s">
        <v>7</v>
      </c>
      <c r="E26" s="774" t="s">
        <v>37</v>
      </c>
      <c r="F26" s="195"/>
      <c r="G26" s="755" t="s">
        <v>319</v>
      </c>
      <c r="H26" s="821" t="s">
        <v>47</v>
      </c>
      <c r="I26" s="832" t="s">
        <v>92</v>
      </c>
      <c r="J26" s="13" t="s">
        <v>9</v>
      </c>
      <c r="K26" s="746">
        <f>27514+1765</f>
        <v>29279</v>
      </c>
      <c r="L26" s="161"/>
      <c r="M26" s="96"/>
    </row>
    <row r="27" spans="1:16" s="2" customFormat="1" ht="50.25" customHeight="1">
      <c r="A27" s="768"/>
      <c r="B27" s="770"/>
      <c r="C27" s="834"/>
      <c r="D27" s="783" t="s">
        <v>8</v>
      </c>
      <c r="E27" s="786" t="s">
        <v>225</v>
      </c>
      <c r="F27" s="182" t="s">
        <v>299</v>
      </c>
      <c r="G27" s="660" t="s">
        <v>316</v>
      </c>
      <c r="H27" s="183" t="s">
        <v>47</v>
      </c>
      <c r="I27" s="589" t="s">
        <v>69</v>
      </c>
      <c r="J27" s="13" t="s">
        <v>9</v>
      </c>
      <c r="K27" s="746">
        <f>14481-3395</f>
        <v>11086</v>
      </c>
      <c r="L27" s="69" t="s">
        <v>272</v>
      </c>
      <c r="M27" s="41" t="s">
        <v>173</v>
      </c>
    </row>
    <row r="28" spans="1:16" s="2" customFormat="1" ht="17.25" customHeight="1">
      <c r="A28" s="1078"/>
      <c r="B28" s="1231"/>
      <c r="C28" s="1470"/>
      <c r="D28" s="772" t="s">
        <v>26</v>
      </c>
      <c r="E28" s="773" t="s">
        <v>137</v>
      </c>
      <c r="F28" s="1375"/>
      <c r="G28" s="1359" t="s">
        <v>315</v>
      </c>
      <c r="H28" s="1382" t="s">
        <v>47</v>
      </c>
      <c r="I28" s="1368" t="s">
        <v>120</v>
      </c>
      <c r="J28" s="214"/>
      <c r="K28" s="614"/>
      <c r="L28" s="189"/>
      <c r="M28" s="190"/>
    </row>
    <row r="29" spans="1:16" s="2" customFormat="1" ht="25.5" customHeight="1">
      <c r="A29" s="1078"/>
      <c r="B29" s="1231"/>
      <c r="C29" s="1470"/>
      <c r="D29" s="772"/>
      <c r="E29" s="187" t="s">
        <v>288</v>
      </c>
      <c r="F29" s="1375"/>
      <c r="G29" s="1385"/>
      <c r="H29" s="1382"/>
      <c r="I29" s="1368"/>
      <c r="J29" s="595" t="s">
        <v>9</v>
      </c>
      <c r="K29" s="748">
        <v>2028</v>
      </c>
      <c r="L29" s="192" t="s">
        <v>170</v>
      </c>
      <c r="M29" s="194">
        <v>1</v>
      </c>
    </row>
    <row r="30" spans="1:16" s="2" customFormat="1" ht="39.75" customHeight="1">
      <c r="A30" s="1078"/>
      <c r="B30" s="1231"/>
      <c r="C30" s="1470"/>
      <c r="D30" s="772"/>
      <c r="E30" s="187" t="s">
        <v>171</v>
      </c>
      <c r="F30" s="1375"/>
      <c r="G30" s="1385"/>
      <c r="H30" s="1382"/>
      <c r="I30" s="1368"/>
      <c r="J30" s="595" t="s">
        <v>9</v>
      </c>
      <c r="K30" s="749">
        <f>150/3.4528*1000</f>
        <v>43443</v>
      </c>
      <c r="L30" s="283" t="s">
        <v>123</v>
      </c>
      <c r="M30" s="202">
        <v>70</v>
      </c>
      <c r="P30" s="383"/>
    </row>
    <row r="31" spans="1:16" s="2" customFormat="1" ht="39" customHeight="1">
      <c r="A31" s="1078"/>
      <c r="B31" s="1231"/>
      <c r="C31" s="1470"/>
      <c r="D31" s="772"/>
      <c r="E31" s="1353" t="s">
        <v>107</v>
      </c>
      <c r="F31" s="1375"/>
      <c r="G31" s="1385"/>
      <c r="H31" s="1382"/>
      <c r="I31" s="772"/>
      <c r="J31" s="596" t="s">
        <v>9</v>
      </c>
      <c r="K31" s="747">
        <f>120/3.4528*1000</f>
        <v>34754</v>
      </c>
      <c r="L31" s="576" t="s">
        <v>354</v>
      </c>
      <c r="M31" s="381">
        <v>10</v>
      </c>
    </row>
    <row r="32" spans="1:16" s="2" customFormat="1" ht="12.75" customHeight="1">
      <c r="A32" s="1078"/>
      <c r="B32" s="1231"/>
      <c r="C32" s="1470"/>
      <c r="D32" s="772"/>
      <c r="E32" s="1354"/>
      <c r="F32" s="1375"/>
      <c r="G32" s="1385"/>
      <c r="H32" s="1382"/>
      <c r="I32" s="772"/>
      <c r="J32" s="555"/>
      <c r="K32" s="614"/>
      <c r="L32" s="577" t="s">
        <v>210</v>
      </c>
      <c r="M32" s="843">
        <v>2</v>
      </c>
    </row>
    <row r="33" spans="1:13" s="2" customFormat="1" ht="24.75" customHeight="1">
      <c r="A33" s="1078"/>
      <c r="B33" s="1231"/>
      <c r="C33" s="1470"/>
      <c r="D33" s="772"/>
      <c r="E33" s="1354"/>
      <c r="F33" s="1375"/>
      <c r="G33" s="1385"/>
      <c r="H33" s="1382"/>
      <c r="I33" s="772"/>
      <c r="J33" s="555"/>
      <c r="K33" s="614"/>
      <c r="L33" s="578" t="s">
        <v>273</v>
      </c>
      <c r="M33" s="844">
        <v>300</v>
      </c>
    </row>
    <row r="34" spans="1:13" s="2" customFormat="1" ht="16.5" customHeight="1">
      <c r="A34" s="1078"/>
      <c r="B34" s="1231"/>
      <c r="C34" s="1470"/>
      <c r="D34" s="772"/>
      <c r="E34" s="1355"/>
      <c r="F34" s="1375"/>
      <c r="G34" s="1385"/>
      <c r="H34" s="1382"/>
      <c r="I34" s="772"/>
      <c r="J34" s="597"/>
      <c r="K34" s="745"/>
      <c r="L34" s="578" t="s">
        <v>213</v>
      </c>
      <c r="M34" s="844">
        <v>100</v>
      </c>
    </row>
    <row r="35" spans="1:13" s="2" customFormat="1" ht="40.5" customHeight="1">
      <c r="A35" s="1078"/>
      <c r="B35" s="1231"/>
      <c r="C35" s="1470"/>
      <c r="D35" s="789"/>
      <c r="E35" s="187" t="s">
        <v>101</v>
      </c>
      <c r="F35" s="1375"/>
      <c r="G35" s="1461"/>
      <c r="H35" s="1382"/>
      <c r="I35" s="816"/>
      <c r="J35" s="595" t="s">
        <v>9</v>
      </c>
      <c r="K35" s="749">
        <f>50/3.4528*1000</f>
        <v>14481</v>
      </c>
      <c r="L35" s="387" t="s">
        <v>172</v>
      </c>
      <c r="M35" s="138">
        <v>3</v>
      </c>
    </row>
    <row r="36" spans="1:13" s="2" customFormat="1" ht="39" customHeight="1">
      <c r="A36" s="768"/>
      <c r="B36" s="792"/>
      <c r="C36" s="805"/>
      <c r="D36" s="150" t="s">
        <v>28</v>
      </c>
      <c r="E36" s="795" t="s">
        <v>289</v>
      </c>
      <c r="F36" s="1464"/>
      <c r="G36" s="1467" t="s">
        <v>346</v>
      </c>
      <c r="H36" s="659" t="s">
        <v>47</v>
      </c>
      <c r="I36" s="1380" t="s">
        <v>301</v>
      </c>
      <c r="J36" s="20" t="s">
        <v>9</v>
      </c>
      <c r="K36" s="615"/>
      <c r="L36" s="234"/>
      <c r="M36" s="845"/>
    </row>
    <row r="37" spans="1:13" s="2" customFormat="1" ht="26.25" customHeight="1">
      <c r="A37" s="768"/>
      <c r="B37" s="792"/>
      <c r="C37" s="805"/>
      <c r="D37" s="219"/>
      <c r="E37" s="206" t="s">
        <v>182</v>
      </c>
      <c r="F37" s="1465"/>
      <c r="G37" s="1468"/>
      <c r="H37" s="772"/>
      <c r="I37" s="1419"/>
      <c r="J37" s="595" t="s">
        <v>9</v>
      </c>
      <c r="K37" s="745">
        <f>100/3.4528*1000</f>
        <v>28962</v>
      </c>
      <c r="L37" s="835" t="s">
        <v>93</v>
      </c>
      <c r="M37" s="846">
        <v>130</v>
      </c>
    </row>
    <row r="38" spans="1:13" s="2" customFormat="1" ht="15.75" customHeight="1">
      <c r="A38" s="768"/>
      <c r="B38" s="792"/>
      <c r="C38" s="805"/>
      <c r="D38" s="218"/>
      <c r="E38" s="561" t="s">
        <v>224</v>
      </c>
      <c r="F38" s="1466"/>
      <c r="G38" s="1469"/>
      <c r="H38" s="811"/>
      <c r="I38" s="245"/>
      <c r="J38" s="598" t="s">
        <v>9</v>
      </c>
      <c r="K38" s="750">
        <f>(283.9+21.3+857.2+857.2)/3.4528*1000</f>
        <v>584917</v>
      </c>
      <c r="L38" s="685" t="s">
        <v>212</v>
      </c>
      <c r="M38" s="847">
        <v>2</v>
      </c>
    </row>
    <row r="39" spans="1:13" s="2" customFormat="1" ht="29.25" customHeight="1">
      <c r="A39" s="768"/>
      <c r="B39" s="770"/>
      <c r="C39" s="834"/>
      <c r="D39" s="286" t="s">
        <v>29</v>
      </c>
      <c r="E39" s="788" t="s">
        <v>136</v>
      </c>
      <c r="F39" s="784"/>
      <c r="G39" s="762" t="s">
        <v>320</v>
      </c>
      <c r="H39" s="815" t="s">
        <v>47</v>
      </c>
      <c r="I39" s="590" t="s">
        <v>66</v>
      </c>
      <c r="J39" s="12" t="s">
        <v>9</v>
      </c>
      <c r="K39" s="616">
        <f>64.3/3.4528*1000</f>
        <v>18623</v>
      </c>
      <c r="L39" s="798" t="s">
        <v>94</v>
      </c>
      <c r="M39" s="62">
        <v>18</v>
      </c>
    </row>
    <row r="40" spans="1:13" s="2" customFormat="1" ht="26.25" customHeight="1">
      <c r="A40" s="768"/>
      <c r="B40" s="770"/>
      <c r="C40" s="834"/>
      <c r="D40" s="150" t="s">
        <v>30</v>
      </c>
      <c r="E40" s="1095" t="s">
        <v>168</v>
      </c>
      <c r="F40" s="820"/>
      <c r="G40" s="1363" t="s">
        <v>345</v>
      </c>
      <c r="H40" s="823" t="s">
        <v>47</v>
      </c>
      <c r="I40" s="1356" t="s">
        <v>114</v>
      </c>
      <c r="J40" s="256" t="s">
        <v>9</v>
      </c>
      <c r="K40" s="615">
        <f>63.8/3.4528*1000</f>
        <v>18478</v>
      </c>
      <c r="L40" s="600" t="s">
        <v>64</v>
      </c>
      <c r="M40" s="848">
        <v>11</v>
      </c>
    </row>
    <row r="41" spans="1:13" s="2" customFormat="1" ht="38.25" customHeight="1">
      <c r="A41" s="156"/>
      <c r="B41" s="770"/>
      <c r="C41" s="834"/>
      <c r="D41" s="286"/>
      <c r="E41" s="1201"/>
      <c r="F41" s="817"/>
      <c r="G41" s="1364"/>
      <c r="H41" s="833"/>
      <c r="I41" s="1357"/>
      <c r="J41" s="12" t="s">
        <v>9</v>
      </c>
      <c r="K41" s="616">
        <f>3/3.4528*1000</f>
        <v>869</v>
      </c>
      <c r="L41" s="828" t="s">
        <v>169</v>
      </c>
      <c r="M41" s="138">
        <v>100</v>
      </c>
    </row>
    <row r="42" spans="1:13" s="2" customFormat="1" ht="30.75" customHeight="1">
      <c r="A42" s="156"/>
      <c r="B42" s="923"/>
      <c r="C42" s="927"/>
      <c r="D42" s="928" t="s">
        <v>31</v>
      </c>
      <c r="E42" s="1095" t="s">
        <v>290</v>
      </c>
      <c r="F42" s="820"/>
      <c r="G42" s="1359" t="s">
        <v>317</v>
      </c>
      <c r="H42" s="821" t="s">
        <v>47</v>
      </c>
      <c r="I42" s="1380" t="s">
        <v>141</v>
      </c>
      <c r="J42" s="763" t="s">
        <v>121</v>
      </c>
      <c r="K42" s="615">
        <f>23720+1965</f>
        <v>25685</v>
      </c>
      <c r="L42" s="924"/>
      <c r="M42" s="849"/>
    </row>
    <row r="43" spans="1:13" s="2" customFormat="1" ht="59.25" customHeight="1">
      <c r="A43" s="932"/>
      <c r="B43" s="925"/>
      <c r="C43" s="926"/>
      <c r="D43" s="286"/>
      <c r="E43" s="1358"/>
      <c r="F43" s="929"/>
      <c r="G43" s="1324"/>
      <c r="H43" s="930"/>
      <c r="I43" s="1381"/>
      <c r="J43" s="65" t="s">
        <v>349</v>
      </c>
      <c r="K43" s="616">
        <v>18</v>
      </c>
      <c r="L43" s="931"/>
      <c r="M43" s="850"/>
    </row>
    <row r="44" spans="1:13" s="2" customFormat="1" ht="31.5" customHeight="1">
      <c r="A44" s="1457"/>
      <c r="B44" s="1458"/>
      <c r="C44" s="1459"/>
      <c r="D44" s="772" t="s">
        <v>27</v>
      </c>
      <c r="E44" s="1233" t="s">
        <v>291</v>
      </c>
      <c r="F44" s="1375"/>
      <c r="G44" s="1377" t="s">
        <v>320</v>
      </c>
      <c r="H44" s="1382"/>
      <c r="I44" s="591" t="s">
        <v>65</v>
      </c>
      <c r="J44" s="12" t="s">
        <v>9</v>
      </c>
      <c r="K44" s="616">
        <f>140/3.4528*1000</f>
        <v>40547</v>
      </c>
      <c r="L44" s="828" t="s">
        <v>67</v>
      </c>
      <c r="M44" s="138">
        <v>35</v>
      </c>
    </row>
    <row r="45" spans="1:13" s="2" customFormat="1" ht="38.25" customHeight="1">
      <c r="A45" s="1078"/>
      <c r="B45" s="1231"/>
      <c r="C45" s="1460"/>
      <c r="D45" s="286"/>
      <c r="E45" s="1201"/>
      <c r="F45" s="1376"/>
      <c r="G45" s="1378"/>
      <c r="H45" s="1387"/>
      <c r="I45" s="593" t="s">
        <v>71</v>
      </c>
      <c r="J45" s="13" t="s">
        <v>9</v>
      </c>
      <c r="K45" s="616">
        <f>27/3.4528*1000</f>
        <v>7820</v>
      </c>
      <c r="L45" s="579" t="s">
        <v>140</v>
      </c>
      <c r="M45" s="95">
        <v>65</v>
      </c>
    </row>
    <row r="46" spans="1:13" s="2" customFormat="1" ht="45.75" customHeight="1">
      <c r="A46" s="156"/>
      <c r="B46" s="770"/>
      <c r="C46" s="805"/>
      <c r="D46" s="772" t="s">
        <v>32</v>
      </c>
      <c r="E46" s="781" t="s">
        <v>226</v>
      </c>
      <c r="F46" s="1369"/>
      <c r="G46" s="1385" t="s">
        <v>344</v>
      </c>
      <c r="H46" s="1383" t="s">
        <v>47</v>
      </c>
      <c r="I46" s="655" t="s">
        <v>71</v>
      </c>
      <c r="J46" s="65" t="s">
        <v>9</v>
      </c>
      <c r="K46" s="614">
        <f>85/3.4528*1000</f>
        <v>24618</v>
      </c>
      <c r="L46" s="163" t="s">
        <v>180</v>
      </c>
      <c r="M46" s="62">
        <v>10</v>
      </c>
    </row>
    <row r="47" spans="1:13" s="2" customFormat="1" ht="27.75" customHeight="1">
      <c r="A47" s="156"/>
      <c r="B47" s="770"/>
      <c r="C47" s="805"/>
      <c r="D47" s="772"/>
      <c r="E47" s="812" t="s">
        <v>111</v>
      </c>
      <c r="F47" s="1369"/>
      <c r="G47" s="1385"/>
      <c r="H47" s="1383"/>
      <c r="I47" s="808" t="s">
        <v>92</v>
      </c>
      <c r="J47" s="65" t="s">
        <v>9</v>
      </c>
      <c r="K47" s="746">
        <f>15/3.4528*1000</f>
        <v>4344</v>
      </c>
      <c r="L47" s="401" t="s">
        <v>274</v>
      </c>
      <c r="M47" s="123">
        <v>2</v>
      </c>
    </row>
    <row r="48" spans="1:13" s="2" customFormat="1" ht="39.75" customHeight="1">
      <c r="A48" s="156"/>
      <c r="B48" s="770"/>
      <c r="C48" s="805"/>
      <c r="D48" s="150" t="s">
        <v>33</v>
      </c>
      <c r="E48" s="812" t="s">
        <v>292</v>
      </c>
      <c r="F48" s="820"/>
      <c r="G48" s="1386"/>
      <c r="H48" s="821" t="s">
        <v>47</v>
      </c>
      <c r="I48" s="592" t="s">
        <v>71</v>
      </c>
      <c r="J48" s="149" t="s">
        <v>9</v>
      </c>
      <c r="K48" s="746">
        <f>49815+13666</f>
        <v>63481</v>
      </c>
      <c r="L48" s="196" t="s">
        <v>244</v>
      </c>
      <c r="M48" s="222" t="s">
        <v>181</v>
      </c>
    </row>
    <row r="49" spans="1:18" s="2" customFormat="1" ht="42" customHeight="1">
      <c r="A49" s="156"/>
      <c r="B49" s="770"/>
      <c r="C49" s="805"/>
      <c r="D49" s="783" t="s">
        <v>34</v>
      </c>
      <c r="E49" s="786" t="s">
        <v>139</v>
      </c>
      <c r="F49" s="807"/>
      <c r="G49" s="761" t="s">
        <v>318</v>
      </c>
      <c r="H49" s="183" t="s">
        <v>47</v>
      </c>
      <c r="I49" s="593" t="s">
        <v>113</v>
      </c>
      <c r="J49" s="626" t="s">
        <v>9</v>
      </c>
      <c r="K49" s="746">
        <f>16.2/3.4528*1000</f>
        <v>4692</v>
      </c>
      <c r="L49" s="196" t="s">
        <v>275</v>
      </c>
      <c r="M49" s="95">
        <v>54</v>
      </c>
      <c r="N49" s="15"/>
      <c r="O49" s="15"/>
    </row>
    <row r="50" spans="1:18" s="2" customFormat="1" ht="15" customHeight="1" thickBot="1">
      <c r="A50" s="157"/>
      <c r="B50" s="771"/>
      <c r="C50" s="166"/>
      <c r="D50" s="167"/>
      <c r="E50" s="167"/>
      <c r="F50" s="167"/>
      <c r="G50" s="167"/>
      <c r="H50" s="167"/>
      <c r="I50" s="1318" t="s">
        <v>95</v>
      </c>
      <c r="J50" s="1319"/>
      <c r="K50" s="617">
        <f>SUM(K19:K49)</f>
        <v>6916225</v>
      </c>
      <c r="L50" s="580"/>
      <c r="M50" s="168"/>
    </row>
    <row r="51" spans="1:18" s="2" customFormat="1" ht="19.5" customHeight="1">
      <c r="A51" s="1078" t="s">
        <v>5</v>
      </c>
      <c r="B51" s="1231" t="s">
        <v>5</v>
      </c>
      <c r="C51" s="1205" t="s">
        <v>6</v>
      </c>
      <c r="D51" s="802"/>
      <c r="E51" s="1233" t="s">
        <v>110</v>
      </c>
      <c r="F51" s="1369"/>
      <c r="G51" s="1343" t="s">
        <v>323</v>
      </c>
      <c r="H51" s="1383" t="s">
        <v>47</v>
      </c>
      <c r="I51" s="1373" t="s">
        <v>113</v>
      </c>
      <c r="J51" s="84" t="s">
        <v>9</v>
      </c>
      <c r="K51" s="616">
        <f>449.7/3.4528*1000</f>
        <v>130242</v>
      </c>
      <c r="L51" s="1360" t="s">
        <v>134</v>
      </c>
      <c r="M51" s="1291">
        <v>7</v>
      </c>
    </row>
    <row r="52" spans="1:18" s="2" customFormat="1" ht="14.25" customHeight="1" thickBot="1">
      <c r="A52" s="1079"/>
      <c r="B52" s="1232"/>
      <c r="C52" s="1193"/>
      <c r="D52" s="803"/>
      <c r="E52" s="1229"/>
      <c r="F52" s="1370"/>
      <c r="G52" s="1345"/>
      <c r="H52" s="1384"/>
      <c r="I52" s="1374"/>
      <c r="J52" s="776" t="s">
        <v>12</v>
      </c>
      <c r="K52" s="618">
        <f t="shared" ref="K52" si="0">K51</f>
        <v>130242</v>
      </c>
      <c r="L52" s="1361"/>
      <c r="M52" s="1292"/>
    </row>
    <row r="53" spans="1:18" s="2" customFormat="1" ht="27" customHeight="1">
      <c r="A53" s="1078" t="s">
        <v>5</v>
      </c>
      <c r="B53" s="1231" t="s">
        <v>5</v>
      </c>
      <c r="C53" s="1205" t="s">
        <v>7</v>
      </c>
      <c r="D53" s="802"/>
      <c r="E53" s="1233" t="s">
        <v>42</v>
      </c>
      <c r="F53" s="1369"/>
      <c r="G53" s="1343" t="s">
        <v>321</v>
      </c>
      <c r="H53" s="1383" t="s">
        <v>47</v>
      </c>
      <c r="I53" s="1373" t="s">
        <v>113</v>
      </c>
      <c r="J53" s="18" t="s">
        <v>9</v>
      </c>
      <c r="K53" s="616">
        <f>244700+6477</f>
        <v>251177</v>
      </c>
      <c r="L53" s="1379" t="s">
        <v>133</v>
      </c>
      <c r="M53" s="796">
        <v>31</v>
      </c>
    </row>
    <row r="54" spans="1:18" s="2" customFormat="1" ht="15.75" customHeight="1" thickBot="1">
      <c r="A54" s="1079"/>
      <c r="B54" s="1232"/>
      <c r="C54" s="1193"/>
      <c r="D54" s="803"/>
      <c r="E54" s="1229"/>
      <c r="F54" s="1370"/>
      <c r="G54" s="1345"/>
      <c r="H54" s="1384"/>
      <c r="I54" s="1374"/>
      <c r="J54" s="776" t="s">
        <v>12</v>
      </c>
      <c r="K54" s="618">
        <f t="shared" ref="K54" si="1">K53</f>
        <v>251177</v>
      </c>
      <c r="L54" s="1251"/>
      <c r="M54" s="797"/>
    </row>
    <row r="55" spans="1:18" s="2" customFormat="1" ht="26.25" customHeight="1">
      <c r="A55" s="1138" t="s">
        <v>5</v>
      </c>
      <c r="B55" s="1139" t="s">
        <v>5</v>
      </c>
      <c r="C55" s="1192" t="s">
        <v>8</v>
      </c>
      <c r="D55" s="801"/>
      <c r="E55" s="1228" t="s">
        <v>128</v>
      </c>
      <c r="F55" s="1398"/>
      <c r="G55" s="1343" t="s">
        <v>322</v>
      </c>
      <c r="H55" s="1397" t="s">
        <v>47</v>
      </c>
      <c r="I55" s="1373" t="s">
        <v>113</v>
      </c>
      <c r="J55" s="570" t="s">
        <v>9</v>
      </c>
      <c r="K55" s="718">
        <f>93345+13403</f>
        <v>106748</v>
      </c>
      <c r="L55" s="1360" t="s">
        <v>72</v>
      </c>
      <c r="M55" s="1226">
        <v>7</v>
      </c>
    </row>
    <row r="56" spans="1:18" s="2" customFormat="1" ht="17.25" customHeight="1" thickBot="1">
      <c r="A56" s="1079"/>
      <c r="B56" s="1081"/>
      <c r="C56" s="1193"/>
      <c r="D56" s="803"/>
      <c r="E56" s="1229"/>
      <c r="F56" s="1370"/>
      <c r="G56" s="1345"/>
      <c r="H56" s="1384"/>
      <c r="I56" s="1374"/>
      <c r="J56" s="571" t="s">
        <v>12</v>
      </c>
      <c r="K56" s="619">
        <f t="shared" ref="K56" si="2">K55</f>
        <v>106748</v>
      </c>
      <c r="L56" s="1361"/>
      <c r="M56" s="1227"/>
    </row>
    <row r="57" spans="1:18" s="2" customFormat="1" ht="29.25" customHeight="1">
      <c r="A57" s="1138" t="s">
        <v>5</v>
      </c>
      <c r="B57" s="1139" t="s">
        <v>5</v>
      </c>
      <c r="C57" s="1192" t="s">
        <v>26</v>
      </c>
      <c r="D57" s="801"/>
      <c r="E57" s="1228" t="s">
        <v>148</v>
      </c>
      <c r="F57" s="1398"/>
      <c r="G57" s="1399" t="s">
        <v>332</v>
      </c>
      <c r="H57" s="1397" t="s">
        <v>47</v>
      </c>
      <c r="I57" s="799" t="s">
        <v>92</v>
      </c>
      <c r="J57" s="84" t="s">
        <v>9</v>
      </c>
      <c r="K57" s="620">
        <f>42.4/3.4528*1000</f>
        <v>12280</v>
      </c>
      <c r="L57" s="830"/>
      <c r="M57" s="796"/>
      <c r="R57" s="336"/>
    </row>
    <row r="58" spans="1:18" s="2" customFormat="1" ht="14.25" customHeight="1" thickBot="1">
      <c r="A58" s="1079"/>
      <c r="B58" s="1081"/>
      <c r="C58" s="1193"/>
      <c r="D58" s="803"/>
      <c r="E58" s="1230"/>
      <c r="F58" s="1370"/>
      <c r="G58" s="1345"/>
      <c r="H58" s="1384"/>
      <c r="I58" s="822"/>
      <c r="J58" s="776" t="s">
        <v>12</v>
      </c>
      <c r="K58" s="618">
        <f t="shared" ref="K58" si="3">SUM(K57:K57)</f>
        <v>12280</v>
      </c>
      <c r="L58" s="552"/>
      <c r="M58" s="688"/>
    </row>
    <row r="59" spans="1:18" s="2" customFormat="1" ht="25.5" customHeight="1">
      <c r="A59" s="768" t="s">
        <v>5</v>
      </c>
      <c r="B59" s="101" t="s">
        <v>5</v>
      </c>
      <c r="C59" s="170" t="s">
        <v>28</v>
      </c>
      <c r="D59" s="802"/>
      <c r="E59" s="773" t="s">
        <v>130</v>
      </c>
      <c r="F59" s="337"/>
      <c r="G59" s="338"/>
      <c r="H59" s="816"/>
      <c r="I59" s="385"/>
      <c r="J59" s="18" t="s">
        <v>9</v>
      </c>
      <c r="K59" s="616"/>
      <c r="L59" s="66"/>
      <c r="M59" s="62"/>
    </row>
    <row r="60" spans="1:18" s="2" customFormat="1" ht="49.5" customHeight="1">
      <c r="A60" s="768"/>
      <c r="B60" s="101"/>
      <c r="C60" s="170"/>
      <c r="D60" s="183" t="s">
        <v>5</v>
      </c>
      <c r="E60" s="786" t="s">
        <v>112</v>
      </c>
      <c r="F60" s="124"/>
      <c r="G60" s="756" t="s">
        <v>331</v>
      </c>
      <c r="H60" s="125" t="s">
        <v>47</v>
      </c>
      <c r="I60" s="254" t="s">
        <v>113</v>
      </c>
      <c r="J60" s="18" t="s">
        <v>9</v>
      </c>
      <c r="K60" s="746">
        <v>37187</v>
      </c>
      <c r="L60" s="66" t="s">
        <v>108</v>
      </c>
      <c r="M60" s="62">
        <v>1</v>
      </c>
    </row>
    <row r="61" spans="1:18" s="2" customFormat="1" ht="89.25" customHeight="1">
      <c r="A61" s="768"/>
      <c r="B61" s="101"/>
      <c r="C61" s="170"/>
      <c r="D61" s="259" t="s">
        <v>6</v>
      </c>
      <c r="E61" s="260" t="s">
        <v>206</v>
      </c>
      <c r="F61" s="662"/>
      <c r="G61" s="867" t="s">
        <v>330</v>
      </c>
      <c r="H61" s="663" t="s">
        <v>48</v>
      </c>
      <c r="I61" s="1391" t="s">
        <v>115</v>
      </c>
      <c r="J61" s="186" t="s">
        <v>9</v>
      </c>
      <c r="K61" s="615">
        <f>92/3.4528*1000</f>
        <v>26645</v>
      </c>
      <c r="L61" s="581" t="s">
        <v>276</v>
      </c>
      <c r="M61" s="199">
        <v>7</v>
      </c>
      <c r="N61" s="686"/>
    </row>
    <row r="62" spans="1:18" s="2" customFormat="1" ht="54" customHeight="1">
      <c r="A62" s="768"/>
      <c r="B62" s="101"/>
      <c r="C62" s="170"/>
      <c r="D62" s="815" t="s">
        <v>7</v>
      </c>
      <c r="E62" s="258" t="s">
        <v>193</v>
      </c>
      <c r="F62" s="661"/>
      <c r="G62" s="866" t="s">
        <v>330</v>
      </c>
      <c r="H62" s="815"/>
      <c r="I62" s="1392"/>
      <c r="J62" s="572" t="s">
        <v>9</v>
      </c>
      <c r="K62" s="621">
        <f>15.8/3.4528*1000</f>
        <v>4576</v>
      </c>
      <c r="L62" s="582" t="s">
        <v>245</v>
      </c>
      <c r="M62" s="129">
        <v>2</v>
      </c>
    </row>
    <row r="63" spans="1:18" s="2" customFormat="1" ht="16.5" customHeight="1" thickBot="1">
      <c r="A63" s="769"/>
      <c r="B63" s="771"/>
      <c r="C63" s="166"/>
      <c r="D63" s="167"/>
      <c r="E63" s="167"/>
      <c r="F63" s="167"/>
      <c r="G63" s="167"/>
      <c r="H63" s="167"/>
      <c r="I63" s="1318" t="s">
        <v>95</v>
      </c>
      <c r="J63" s="1319"/>
      <c r="K63" s="622">
        <f t="shared" ref="K63" si="4">SUM(K60:K62)</f>
        <v>68408</v>
      </c>
      <c r="L63" s="394"/>
      <c r="M63" s="176"/>
    </row>
    <row r="64" spans="1:18" s="11" customFormat="1" ht="19.5" customHeight="1">
      <c r="A64" s="1078" t="s">
        <v>5</v>
      </c>
      <c r="B64" s="1080" t="s">
        <v>5</v>
      </c>
      <c r="C64" s="1205" t="s">
        <v>29</v>
      </c>
      <c r="D64" s="48"/>
      <c r="E64" s="1216" t="s">
        <v>22</v>
      </c>
      <c r="F64" s="1395"/>
      <c r="G64" s="1400" t="s">
        <v>343</v>
      </c>
      <c r="H64" s="1447" t="s">
        <v>47</v>
      </c>
      <c r="I64" s="1348" t="s">
        <v>116</v>
      </c>
      <c r="J64" s="719" t="s">
        <v>9</v>
      </c>
      <c r="K64" s="562">
        <f>4439883-393070-93039-220217</f>
        <v>3733557</v>
      </c>
      <c r="L64" s="1379" t="s">
        <v>99</v>
      </c>
      <c r="M64" s="796">
        <v>6</v>
      </c>
    </row>
    <row r="65" spans="1:14" s="11" customFormat="1" ht="20.25" customHeight="1">
      <c r="A65" s="1078"/>
      <c r="B65" s="1080"/>
      <c r="C65" s="1205"/>
      <c r="D65" s="48"/>
      <c r="E65" s="1216"/>
      <c r="F65" s="1395"/>
      <c r="G65" s="1401"/>
      <c r="H65" s="1447"/>
      <c r="I65" s="1348"/>
      <c r="J65" s="51" t="s">
        <v>166</v>
      </c>
      <c r="K65" s="613">
        <v>4792058</v>
      </c>
      <c r="L65" s="1389"/>
      <c r="M65" s="100"/>
    </row>
    <row r="66" spans="1:14" s="11" customFormat="1" ht="16.5" customHeight="1" thickBot="1">
      <c r="A66" s="1079"/>
      <c r="B66" s="1081"/>
      <c r="C66" s="1193"/>
      <c r="D66" s="49"/>
      <c r="E66" s="1207"/>
      <c r="F66" s="1396"/>
      <c r="G66" s="1402"/>
      <c r="H66" s="1394"/>
      <c r="I66" s="1349"/>
      <c r="J66" s="607" t="s">
        <v>12</v>
      </c>
      <c r="K66" s="644">
        <f>K64+K65</f>
        <v>8525615</v>
      </c>
      <c r="L66" s="1390"/>
      <c r="M66" s="797"/>
    </row>
    <row r="67" spans="1:14" s="11" customFormat="1" ht="21" customHeight="1">
      <c r="A67" s="1138" t="s">
        <v>5</v>
      </c>
      <c r="B67" s="1139" t="s">
        <v>5</v>
      </c>
      <c r="C67" s="1205" t="s">
        <v>30</v>
      </c>
      <c r="D67" s="48"/>
      <c r="E67" s="1206" t="s">
        <v>75</v>
      </c>
      <c r="F67" s="1395"/>
      <c r="G67" s="1453" t="s">
        <v>324</v>
      </c>
      <c r="H67" s="1393" t="s">
        <v>47</v>
      </c>
      <c r="I67" s="1424" t="s">
        <v>113</v>
      </c>
      <c r="J67" s="573" t="s">
        <v>9</v>
      </c>
      <c r="K67" s="613">
        <f>100/3.4528*1000</f>
        <v>28962</v>
      </c>
      <c r="L67" s="583"/>
      <c r="M67" s="40"/>
    </row>
    <row r="68" spans="1:14" s="11" customFormat="1" ht="20.25" customHeight="1" thickBot="1">
      <c r="A68" s="1079"/>
      <c r="B68" s="1081"/>
      <c r="C68" s="1193"/>
      <c r="D68" s="49"/>
      <c r="E68" s="1207"/>
      <c r="F68" s="1396"/>
      <c r="G68" s="1454"/>
      <c r="H68" s="1394"/>
      <c r="I68" s="1425"/>
      <c r="J68" s="608" t="s">
        <v>12</v>
      </c>
      <c r="K68" s="646">
        <f>K67</f>
        <v>28962</v>
      </c>
      <c r="L68" s="584"/>
      <c r="M68" s="43"/>
    </row>
    <row r="69" spans="1:14" s="2" customFormat="1" ht="37.5" customHeight="1">
      <c r="A69" s="158" t="s">
        <v>5</v>
      </c>
      <c r="B69" s="46" t="s">
        <v>5</v>
      </c>
      <c r="C69" s="171" t="s">
        <v>31</v>
      </c>
      <c r="D69" s="107"/>
      <c r="E69" s="178" t="s">
        <v>129</v>
      </c>
      <c r="F69" s="601"/>
      <c r="G69" s="920"/>
      <c r="H69" s="602">
        <v>1</v>
      </c>
      <c r="I69" s="603"/>
      <c r="J69" s="84"/>
      <c r="K69" s="271"/>
      <c r="L69" s="604"/>
      <c r="M69" s="40"/>
    </row>
    <row r="70" spans="1:14" s="2" customFormat="1" ht="26.25" customHeight="1">
      <c r="A70" s="154"/>
      <c r="B70" s="47"/>
      <c r="C70" s="164"/>
      <c r="D70" s="1452" t="s">
        <v>5</v>
      </c>
      <c r="E70" s="1201" t="s">
        <v>293</v>
      </c>
      <c r="F70" s="54"/>
      <c r="G70" s="1449" t="s">
        <v>327</v>
      </c>
      <c r="H70" s="151">
        <v>1</v>
      </c>
      <c r="I70" s="1418" t="s">
        <v>117</v>
      </c>
      <c r="J70" s="188" t="s">
        <v>9</v>
      </c>
      <c r="K70" s="614">
        <v>36317</v>
      </c>
      <c r="L70" s="835" t="s">
        <v>277</v>
      </c>
      <c r="M70" s="100">
        <v>100</v>
      </c>
    </row>
    <row r="71" spans="1:14" s="2" customFormat="1" ht="24.75" customHeight="1">
      <c r="A71" s="154"/>
      <c r="B71" s="47"/>
      <c r="C71" s="164"/>
      <c r="D71" s="1205"/>
      <c r="E71" s="1198"/>
      <c r="F71" s="610"/>
      <c r="G71" s="1450"/>
      <c r="H71" s="611"/>
      <c r="I71" s="1419"/>
      <c r="J71" s="389" t="s">
        <v>360</v>
      </c>
      <c r="K71" s="747">
        <f>40/3.4528*1000</f>
        <v>11585</v>
      </c>
      <c r="L71" s="250" t="s">
        <v>96</v>
      </c>
      <c r="M71" s="252">
        <v>38</v>
      </c>
    </row>
    <row r="72" spans="1:14" s="2" customFormat="1" ht="13.5" customHeight="1">
      <c r="A72" s="154"/>
      <c r="B72" s="47"/>
      <c r="C72" s="164"/>
      <c r="D72" s="1205"/>
      <c r="E72" s="1095"/>
      <c r="F72" s="610"/>
      <c r="G72" s="1450"/>
      <c r="H72" s="611"/>
      <c r="I72" s="605"/>
      <c r="J72" s="18"/>
      <c r="K72" s="616"/>
      <c r="L72" s="128" t="s">
        <v>184</v>
      </c>
      <c r="M72" s="100">
        <v>65</v>
      </c>
    </row>
    <row r="73" spans="1:14" s="2" customFormat="1" ht="15" customHeight="1">
      <c r="A73" s="154"/>
      <c r="B73" s="47"/>
      <c r="C73" s="164"/>
      <c r="D73" s="665" t="s">
        <v>6</v>
      </c>
      <c r="E73" s="1199" t="s">
        <v>45</v>
      </c>
      <c r="F73" s="610"/>
      <c r="G73" s="1450"/>
      <c r="H73" s="611"/>
      <c r="I73" s="605"/>
      <c r="J73" s="684" t="s">
        <v>9</v>
      </c>
      <c r="K73" s="744">
        <f>103.5/3.4528*1000</f>
        <v>29976</v>
      </c>
      <c r="L73" s="197" t="s">
        <v>250</v>
      </c>
      <c r="M73" s="199">
        <v>19</v>
      </c>
    </row>
    <row r="74" spans="1:14" s="2" customFormat="1" ht="15" customHeight="1">
      <c r="A74" s="154"/>
      <c r="B74" s="47"/>
      <c r="C74" s="164"/>
      <c r="D74" s="287"/>
      <c r="E74" s="1200"/>
      <c r="F74" s="610"/>
      <c r="G74" s="751"/>
      <c r="H74" s="611"/>
      <c r="I74" s="868"/>
      <c r="J74" s="53"/>
      <c r="K74" s="616"/>
      <c r="L74" s="232"/>
      <c r="M74" s="357"/>
    </row>
    <row r="75" spans="1:14" s="2" customFormat="1" ht="54.75" customHeight="1">
      <c r="A75" s="154"/>
      <c r="B75" s="47"/>
      <c r="C75" s="164"/>
      <c r="D75" s="287" t="s">
        <v>7</v>
      </c>
      <c r="E75" s="938" t="s">
        <v>73</v>
      </c>
      <c r="F75" s="610"/>
      <c r="G75" s="751"/>
      <c r="H75" s="611"/>
      <c r="I75" s="606"/>
      <c r="J75" s="53" t="s">
        <v>9</v>
      </c>
      <c r="K75" s="614">
        <f>71535-4000</f>
        <v>67535</v>
      </c>
      <c r="L75" s="261" t="s">
        <v>185</v>
      </c>
      <c r="M75" s="358">
        <v>5</v>
      </c>
    </row>
    <row r="76" spans="1:14" s="2" customFormat="1" ht="39" customHeight="1">
      <c r="A76" s="288"/>
      <c r="B76" s="289"/>
      <c r="C76" s="921"/>
      <c r="D76" s="287" t="s">
        <v>8</v>
      </c>
      <c r="E76" s="938" t="s">
        <v>186</v>
      </c>
      <c r="F76" s="732"/>
      <c r="G76" s="922"/>
      <c r="H76" s="752"/>
      <c r="I76" s="136"/>
      <c r="J76" s="53" t="s">
        <v>9</v>
      </c>
      <c r="K76" s="746">
        <f>48/3.4528*1000</f>
        <v>13902</v>
      </c>
      <c r="L76" s="66" t="s">
        <v>97</v>
      </c>
      <c r="M76" s="62">
        <v>48</v>
      </c>
      <c r="N76" s="15"/>
    </row>
    <row r="77" spans="1:14" s="2" customFormat="1" ht="53.25" customHeight="1">
      <c r="A77" s="154"/>
      <c r="B77" s="104"/>
      <c r="C77" s="172"/>
      <c r="D77" s="173" t="s">
        <v>26</v>
      </c>
      <c r="E77" s="766" t="s">
        <v>150</v>
      </c>
      <c r="F77" s="610"/>
      <c r="G77" s="919"/>
      <c r="H77" s="611"/>
      <c r="I77" s="827"/>
      <c r="J77" s="93" t="s">
        <v>9</v>
      </c>
      <c r="K77" s="616">
        <f>43/3.4528*1000</f>
        <v>12454</v>
      </c>
      <c r="L77" s="66" t="s">
        <v>251</v>
      </c>
      <c r="M77" s="62">
        <v>116</v>
      </c>
    </row>
    <row r="78" spans="1:14" s="2" customFormat="1" ht="20.25" customHeight="1">
      <c r="A78" s="154"/>
      <c r="B78" s="47"/>
      <c r="C78" s="172"/>
      <c r="D78" s="1406" t="s">
        <v>28</v>
      </c>
      <c r="E78" s="1408" t="s">
        <v>60</v>
      </c>
      <c r="F78" s="610"/>
      <c r="G78" s="753"/>
      <c r="H78" s="611"/>
      <c r="I78" s="827"/>
      <c r="J78" s="391" t="s">
        <v>9</v>
      </c>
      <c r="K78" s="745">
        <f>17.1/3.4528*1000</f>
        <v>4953</v>
      </c>
      <c r="L78" s="654" t="s">
        <v>187</v>
      </c>
      <c r="M78" s="430">
        <v>31</v>
      </c>
    </row>
    <row r="79" spans="1:14" s="2" customFormat="1" ht="20.25" customHeight="1">
      <c r="A79" s="154"/>
      <c r="B79" s="47"/>
      <c r="C79" s="172"/>
      <c r="D79" s="1407"/>
      <c r="E79" s="1408"/>
      <c r="F79" s="610"/>
      <c r="G79" s="753"/>
      <c r="H79" s="752"/>
      <c r="I79" s="826"/>
      <c r="J79" s="93" t="s">
        <v>10</v>
      </c>
      <c r="K79" s="616">
        <f>14/3.4528*1000</f>
        <v>4055</v>
      </c>
      <c r="L79" s="585" t="s">
        <v>188</v>
      </c>
      <c r="M79" s="362" t="s">
        <v>38</v>
      </c>
    </row>
    <row r="80" spans="1:14" s="2" customFormat="1" ht="40.5" customHeight="1">
      <c r="A80" s="154"/>
      <c r="B80" s="104"/>
      <c r="C80" s="172"/>
      <c r="D80" s="870" t="s">
        <v>29</v>
      </c>
      <c r="E80" s="871" t="s">
        <v>268</v>
      </c>
      <c r="F80" s="612"/>
      <c r="G80" s="753"/>
      <c r="H80" s="873">
        <v>1</v>
      </c>
      <c r="I80" s="1418" t="s">
        <v>117</v>
      </c>
      <c r="J80" s="133" t="s">
        <v>9</v>
      </c>
      <c r="K80" s="746">
        <f>9/3.4528*1000</f>
        <v>2607</v>
      </c>
      <c r="L80" s="161" t="s">
        <v>196</v>
      </c>
      <c r="M80" s="41">
        <v>30</v>
      </c>
    </row>
    <row r="81" spans="1:15" s="2" customFormat="1" ht="28.5" customHeight="1">
      <c r="A81" s="154"/>
      <c r="B81" s="104"/>
      <c r="C81" s="172"/>
      <c r="D81" s="1451" t="s">
        <v>30</v>
      </c>
      <c r="E81" s="1075" t="s">
        <v>190</v>
      </c>
      <c r="F81" s="612"/>
      <c r="G81" s="753"/>
      <c r="H81" s="611"/>
      <c r="I81" s="1419"/>
      <c r="J81" s="684" t="s">
        <v>9</v>
      </c>
      <c r="K81" s="744">
        <f>32/3.4528*1000+4000</f>
        <v>13268</v>
      </c>
      <c r="L81" s="234" t="s">
        <v>278</v>
      </c>
      <c r="M81" s="199">
        <v>1</v>
      </c>
    </row>
    <row r="82" spans="1:15" s="2" customFormat="1" ht="40.5" customHeight="1">
      <c r="A82" s="154"/>
      <c r="B82" s="104"/>
      <c r="C82" s="172"/>
      <c r="D82" s="1077"/>
      <c r="E82" s="1077"/>
      <c r="F82" s="612"/>
      <c r="G82" s="753"/>
      <c r="H82" s="752"/>
      <c r="I82" s="733"/>
      <c r="J82" s="93"/>
      <c r="K82" s="616"/>
      <c r="L82" s="66" t="s">
        <v>195</v>
      </c>
      <c r="M82" s="62">
        <v>1</v>
      </c>
    </row>
    <row r="83" spans="1:15" s="2" customFormat="1" ht="27" customHeight="1">
      <c r="A83" s="154"/>
      <c r="B83" s="104"/>
      <c r="C83" s="172"/>
      <c r="D83" s="682" t="s">
        <v>31</v>
      </c>
      <c r="E83" s="1210" t="s">
        <v>189</v>
      </c>
      <c r="F83" s="612"/>
      <c r="G83" s="753"/>
      <c r="H83" s="611">
        <v>1</v>
      </c>
      <c r="I83" s="1418" t="s">
        <v>356</v>
      </c>
      <c r="J83" s="683" t="s">
        <v>9</v>
      </c>
      <c r="K83" s="744">
        <f>134.5/3.4528*1000</f>
        <v>38954</v>
      </c>
      <c r="L83" s="679" t="s">
        <v>279</v>
      </c>
      <c r="M83" s="199">
        <v>2</v>
      </c>
    </row>
    <row r="84" spans="1:15" s="2" customFormat="1" ht="39" customHeight="1">
      <c r="A84" s="154"/>
      <c r="B84" s="104"/>
      <c r="C84" s="172"/>
      <c r="D84" s="316"/>
      <c r="E84" s="1211"/>
      <c r="F84" s="612"/>
      <c r="G84" s="754"/>
      <c r="H84" s="611"/>
      <c r="I84" s="1448"/>
      <c r="J84" s="391"/>
      <c r="K84" s="745"/>
      <c r="L84" s="698" t="s">
        <v>307</v>
      </c>
      <c r="M84" s="388">
        <v>1</v>
      </c>
    </row>
    <row r="85" spans="1:15" s="2" customFormat="1" ht="54" customHeight="1">
      <c r="A85" s="154"/>
      <c r="B85" s="104"/>
      <c r="C85" s="172"/>
      <c r="D85" s="680"/>
      <c r="E85" s="1077"/>
      <c r="F85" s="612"/>
      <c r="G85" s="681"/>
      <c r="H85" s="611"/>
      <c r="I85" s="881" t="s">
        <v>357</v>
      </c>
      <c r="J85" s="93" t="s">
        <v>9</v>
      </c>
      <c r="K85" s="616">
        <v>8000</v>
      </c>
      <c r="L85" s="163" t="s">
        <v>312</v>
      </c>
      <c r="M85" s="138">
        <v>60</v>
      </c>
    </row>
    <row r="86" spans="1:15" s="2" customFormat="1" ht="24" customHeight="1">
      <c r="A86" s="154"/>
      <c r="B86" s="104"/>
      <c r="C86" s="172"/>
      <c r="D86" s="174" t="s">
        <v>27</v>
      </c>
      <c r="E86" s="812" t="s">
        <v>192</v>
      </c>
      <c r="F86" s="666"/>
      <c r="G86" s="757" t="s">
        <v>329</v>
      </c>
      <c r="H86" s="667"/>
      <c r="I86" s="136"/>
      <c r="J86" s="93" t="s">
        <v>9</v>
      </c>
      <c r="K86" s="616"/>
      <c r="L86" s="66" t="s">
        <v>191</v>
      </c>
      <c r="M86" s="62"/>
    </row>
    <row r="87" spans="1:15" s="2" customFormat="1" ht="51.75" customHeight="1">
      <c r="A87" s="154"/>
      <c r="B87" s="104"/>
      <c r="C87" s="172"/>
      <c r="D87" s="243">
        <v>11</v>
      </c>
      <c r="E87" s="812" t="s">
        <v>194</v>
      </c>
      <c r="F87" s="244"/>
      <c r="G87" s="668" t="s">
        <v>328</v>
      </c>
      <c r="H87" s="246">
        <v>1</v>
      </c>
      <c r="I87" s="185" t="s">
        <v>203</v>
      </c>
      <c r="J87" s="93" t="s">
        <v>9</v>
      </c>
      <c r="K87" s="746">
        <f>50/3.4528*1000-5808</f>
        <v>8673</v>
      </c>
      <c r="L87" s="163" t="s">
        <v>280</v>
      </c>
      <c r="M87" s="851" t="s">
        <v>204</v>
      </c>
      <c r="N87" s="15"/>
    </row>
    <row r="88" spans="1:15" s="2" customFormat="1" ht="27.75" customHeight="1">
      <c r="A88" s="154"/>
      <c r="B88" s="104"/>
      <c r="C88" s="172"/>
      <c r="D88" s="243">
        <v>12</v>
      </c>
      <c r="E88" s="812" t="s">
        <v>309</v>
      </c>
      <c r="F88" s="244"/>
      <c r="G88" s="758" t="s">
        <v>334</v>
      </c>
      <c r="H88" s="246">
        <v>1</v>
      </c>
      <c r="I88" s="185" t="s">
        <v>117</v>
      </c>
      <c r="J88" s="93" t="s">
        <v>9</v>
      </c>
      <c r="K88" s="614">
        <v>7000</v>
      </c>
      <c r="L88" s="163" t="s">
        <v>310</v>
      </c>
      <c r="M88" s="851" t="s">
        <v>311</v>
      </c>
      <c r="N88" s="15"/>
      <c r="O88" s="686"/>
    </row>
    <row r="89" spans="1:15" s="2" customFormat="1" ht="15" customHeight="1" thickBot="1">
      <c r="A89" s="159"/>
      <c r="B89" s="105"/>
      <c r="C89" s="167"/>
      <c r="D89" s="167"/>
      <c r="E89" s="167"/>
      <c r="F89" s="167"/>
      <c r="G89" s="167"/>
      <c r="H89" s="167"/>
      <c r="I89" s="1318" t="s">
        <v>95</v>
      </c>
      <c r="J89" s="1319"/>
      <c r="K89" s="644">
        <f>SUM(K70:K88)</f>
        <v>259279</v>
      </c>
      <c r="L89" s="394"/>
      <c r="M89" s="852"/>
    </row>
    <row r="90" spans="1:15" s="2" customFormat="1" ht="33.75" customHeight="1">
      <c r="A90" s="1138" t="s">
        <v>5</v>
      </c>
      <c r="B90" s="1139" t="s">
        <v>5</v>
      </c>
      <c r="C90" s="1192" t="s">
        <v>27</v>
      </c>
      <c r="D90" s="1409"/>
      <c r="E90" s="1404" t="s">
        <v>49</v>
      </c>
      <c r="F90" s="1398"/>
      <c r="G90" s="1343" t="s">
        <v>325</v>
      </c>
      <c r="H90" s="1416">
        <v>1</v>
      </c>
      <c r="I90" s="1309" t="s">
        <v>300</v>
      </c>
      <c r="J90" s="574" t="s">
        <v>9</v>
      </c>
      <c r="K90" s="643">
        <f>30/3.4528*1000+5808</f>
        <v>14497</v>
      </c>
      <c r="L90" s="586" t="s">
        <v>255</v>
      </c>
      <c r="M90" s="796">
        <v>5</v>
      </c>
    </row>
    <row r="91" spans="1:15" s="2" customFormat="1" ht="18.75" customHeight="1" thickBot="1">
      <c r="A91" s="1079"/>
      <c r="B91" s="1081"/>
      <c r="C91" s="1193"/>
      <c r="D91" s="1410"/>
      <c r="E91" s="1405"/>
      <c r="F91" s="1370"/>
      <c r="G91" s="1345"/>
      <c r="H91" s="1417"/>
      <c r="I91" s="1311"/>
      <c r="J91" s="609" t="s">
        <v>12</v>
      </c>
      <c r="K91" s="644">
        <f t="shared" ref="K91" si="5">SUM(K90)</f>
        <v>14497</v>
      </c>
      <c r="L91" s="587"/>
      <c r="M91" s="797"/>
    </row>
    <row r="92" spans="1:15" s="21" customFormat="1" ht="15" customHeight="1">
      <c r="A92" s="1138" t="s">
        <v>5</v>
      </c>
      <c r="B92" s="1139" t="s">
        <v>5</v>
      </c>
      <c r="C92" s="1157" t="s">
        <v>32</v>
      </c>
      <c r="D92" s="1426"/>
      <c r="E92" s="676" t="s">
        <v>143</v>
      </c>
      <c r="F92" s="1420"/>
      <c r="G92" s="1306" t="s">
        <v>326</v>
      </c>
      <c r="H92" s="1097" t="s">
        <v>48</v>
      </c>
      <c r="I92" s="1373" t="s">
        <v>118</v>
      </c>
      <c r="J92" s="575"/>
      <c r="K92" s="664"/>
      <c r="L92" s="145"/>
      <c r="M92" s="40"/>
    </row>
    <row r="93" spans="1:15" s="21" customFormat="1" ht="16.5" customHeight="1">
      <c r="A93" s="1078"/>
      <c r="B93" s="1080"/>
      <c r="C93" s="1158"/>
      <c r="D93" s="1427"/>
      <c r="E93" s="677" t="s">
        <v>145</v>
      </c>
      <c r="F93" s="1421"/>
      <c r="G93" s="1403"/>
      <c r="H93" s="1137"/>
      <c r="I93" s="1368"/>
      <c r="J93" s="678" t="s">
        <v>41</v>
      </c>
      <c r="K93" s="616">
        <f>988.793/3.4528*1000</f>
        <v>286374</v>
      </c>
      <c r="L93" s="163" t="s">
        <v>147</v>
      </c>
      <c r="M93" s="62">
        <v>780</v>
      </c>
    </row>
    <row r="94" spans="1:15" s="21" customFormat="1" ht="20.25" customHeight="1">
      <c r="A94" s="1078"/>
      <c r="B94" s="1080"/>
      <c r="C94" s="1183"/>
      <c r="D94" s="1428"/>
      <c r="E94" s="767" t="s">
        <v>144</v>
      </c>
      <c r="F94" s="1422"/>
      <c r="G94" s="1414" t="s">
        <v>333</v>
      </c>
      <c r="H94" s="1098"/>
      <c r="I94" s="1368"/>
      <c r="J94" s="127" t="s">
        <v>41</v>
      </c>
      <c r="K94" s="614">
        <v>7820</v>
      </c>
      <c r="L94" s="1175" t="s">
        <v>146</v>
      </c>
      <c r="M94" s="100">
        <v>1</v>
      </c>
    </row>
    <row r="95" spans="1:15" s="21" customFormat="1" ht="14.25" customHeight="1" thickBot="1">
      <c r="A95" s="1079"/>
      <c r="B95" s="1081"/>
      <c r="C95" s="1159"/>
      <c r="D95" s="1429"/>
      <c r="E95" s="147"/>
      <c r="F95" s="1423"/>
      <c r="G95" s="1415"/>
      <c r="H95" s="1099"/>
      <c r="I95" s="1374"/>
      <c r="J95" s="609" t="s">
        <v>12</v>
      </c>
      <c r="K95" s="644">
        <f>SUM(K92:K94)</f>
        <v>294194</v>
      </c>
      <c r="L95" s="1176"/>
      <c r="M95" s="797"/>
    </row>
    <row r="96" spans="1:15" s="2" customFormat="1" ht="14.25" customHeight="1" thickBot="1">
      <c r="A96" s="769" t="s">
        <v>5</v>
      </c>
      <c r="B96" s="771" t="s">
        <v>5</v>
      </c>
      <c r="C96" s="1177" t="s">
        <v>13</v>
      </c>
      <c r="D96" s="1149"/>
      <c r="E96" s="1149"/>
      <c r="F96" s="1149"/>
      <c r="G96" s="1149"/>
      <c r="H96" s="1149"/>
      <c r="I96" s="1149"/>
      <c r="J96" s="1149"/>
      <c r="K96" s="645">
        <f>K95+K91+K89+K68+K66+K63+K58+K56+K54+K52+K50</f>
        <v>16607627</v>
      </c>
      <c r="L96" s="588"/>
      <c r="M96" s="122"/>
    </row>
    <row r="97" spans="1:14" s="2" customFormat="1" ht="15.75" customHeight="1" thickBot="1">
      <c r="A97" s="160" t="s">
        <v>5</v>
      </c>
      <c r="B97" s="22" t="s">
        <v>6</v>
      </c>
      <c r="C97" s="1072" t="s">
        <v>59</v>
      </c>
      <c r="D97" s="1073"/>
      <c r="E97" s="1073"/>
      <c r="F97" s="1073"/>
      <c r="G97" s="1073"/>
      <c r="H97" s="1073"/>
      <c r="I97" s="1073"/>
      <c r="J97" s="1073"/>
      <c r="K97" s="1073"/>
      <c r="L97" s="1073"/>
      <c r="M97" s="1074"/>
    </row>
    <row r="98" spans="1:14" s="2" customFormat="1" ht="29.25" customHeight="1">
      <c r="A98" s="779" t="s">
        <v>5</v>
      </c>
      <c r="B98" s="780" t="s">
        <v>6</v>
      </c>
      <c r="C98" s="804" t="s">
        <v>5</v>
      </c>
      <c r="D98" s="813"/>
      <c r="E98" s="785" t="s">
        <v>36</v>
      </c>
      <c r="F98" s="782"/>
      <c r="G98" s="670"/>
      <c r="H98" s="179" t="s">
        <v>47</v>
      </c>
      <c r="I98" s="425"/>
      <c r="J98" s="285" t="s">
        <v>9</v>
      </c>
      <c r="K98" s="200"/>
      <c r="L98" s="395"/>
      <c r="M98" s="213"/>
    </row>
    <row r="99" spans="1:14" s="2" customFormat="1" ht="27" customHeight="1">
      <c r="A99" s="768"/>
      <c r="B99" s="770"/>
      <c r="C99" s="805"/>
      <c r="D99" s="255" t="s">
        <v>5</v>
      </c>
      <c r="E99" s="405" t="s">
        <v>222</v>
      </c>
      <c r="F99" s="1411" t="s">
        <v>109</v>
      </c>
      <c r="G99" s="1322" t="s">
        <v>335</v>
      </c>
      <c r="H99" s="255"/>
      <c r="I99" s="1320" t="s">
        <v>200</v>
      </c>
      <c r="J99" s="397" t="s">
        <v>9</v>
      </c>
      <c r="K99" s="884">
        <v>137569</v>
      </c>
      <c r="L99" s="399" t="s">
        <v>155</v>
      </c>
      <c r="M99" s="853">
        <v>11</v>
      </c>
      <c r="N99" s="686"/>
    </row>
    <row r="100" spans="1:14" s="2" customFormat="1" ht="15.75" customHeight="1">
      <c r="A100" s="768"/>
      <c r="B100" s="770"/>
      <c r="C100" s="805"/>
      <c r="D100" s="816"/>
      <c r="E100" s="206" t="s">
        <v>214</v>
      </c>
      <c r="F100" s="1180"/>
      <c r="G100" s="1323"/>
      <c r="H100" s="77"/>
      <c r="I100" s="1321"/>
      <c r="J100" s="392" t="s">
        <v>41</v>
      </c>
      <c r="K100" s="885">
        <f>29860+16137+4836</f>
        <v>50833</v>
      </c>
      <c r="L100" s="393" t="s">
        <v>218</v>
      </c>
      <c r="M100" s="202">
        <v>125</v>
      </c>
    </row>
    <row r="101" spans="1:14" s="2" customFormat="1" ht="16.5" customHeight="1">
      <c r="A101" s="768"/>
      <c r="B101" s="770"/>
      <c r="C101" s="805"/>
      <c r="D101" s="816"/>
      <c r="E101" s="206" t="s">
        <v>215</v>
      </c>
      <c r="F101" s="1180"/>
      <c r="G101" s="1323"/>
      <c r="H101" s="77"/>
      <c r="I101" s="1321"/>
      <c r="J101" s="392"/>
      <c r="K101" s="639"/>
      <c r="L101" s="382" t="s">
        <v>219</v>
      </c>
      <c r="M101" s="202">
        <v>1</v>
      </c>
    </row>
    <row r="102" spans="1:14" s="2" customFormat="1" ht="15" customHeight="1">
      <c r="A102" s="768"/>
      <c r="B102" s="770"/>
      <c r="C102" s="805"/>
      <c r="D102" s="816"/>
      <c r="E102" s="206" t="s">
        <v>216</v>
      </c>
      <c r="F102" s="1180"/>
      <c r="G102" s="1323"/>
      <c r="H102" s="77"/>
      <c r="I102" s="384"/>
      <c r="J102" s="392"/>
      <c r="K102" s="639"/>
      <c r="L102" s="382" t="s">
        <v>220</v>
      </c>
      <c r="M102" s="202">
        <v>1</v>
      </c>
    </row>
    <row r="103" spans="1:14" s="2" customFormat="1" ht="41.25" customHeight="1">
      <c r="A103" s="768"/>
      <c r="B103" s="770"/>
      <c r="C103" s="805"/>
      <c r="D103" s="816"/>
      <c r="E103" s="765" t="s">
        <v>217</v>
      </c>
      <c r="F103" s="1403"/>
      <c r="G103" s="1324"/>
      <c r="H103" s="228"/>
      <c r="I103" s="385"/>
      <c r="J103" s="406"/>
      <c r="K103" s="640"/>
      <c r="L103" s="828" t="s">
        <v>135</v>
      </c>
      <c r="M103" s="854">
        <v>439</v>
      </c>
    </row>
    <row r="104" spans="1:14" s="2" customFormat="1" ht="25.5" customHeight="1">
      <c r="A104" s="836"/>
      <c r="B104" s="838"/>
      <c r="C104" s="840"/>
      <c r="D104" s="255" t="s">
        <v>6</v>
      </c>
      <c r="E104" s="408" t="s">
        <v>223</v>
      </c>
      <c r="F104" s="1411" t="s">
        <v>109</v>
      </c>
      <c r="G104" s="396"/>
      <c r="H104" s="77"/>
      <c r="I104" s="1320" t="s">
        <v>200</v>
      </c>
      <c r="J104" s="392" t="s">
        <v>9</v>
      </c>
      <c r="K104" s="614">
        <f>793.3/3.4528*1000</f>
        <v>229756</v>
      </c>
      <c r="L104" s="401"/>
      <c r="M104" s="853"/>
    </row>
    <row r="105" spans="1:14" s="2" customFormat="1" ht="27" customHeight="1">
      <c r="A105" s="836"/>
      <c r="B105" s="838"/>
      <c r="C105" s="840"/>
      <c r="D105" s="841"/>
      <c r="E105" s="206" t="s">
        <v>227</v>
      </c>
      <c r="F105" s="1180"/>
      <c r="G105" s="1325" t="s">
        <v>335</v>
      </c>
      <c r="H105" s="837"/>
      <c r="I105" s="1321"/>
      <c r="J105" s="624"/>
      <c r="K105" s="687"/>
      <c r="L105" s="382"/>
      <c r="M105" s="202"/>
    </row>
    <row r="106" spans="1:14" s="2" customFormat="1" ht="39" customHeight="1">
      <c r="A106" s="836"/>
      <c r="B106" s="838"/>
      <c r="C106" s="840"/>
      <c r="D106" s="841"/>
      <c r="E106" s="206" t="s">
        <v>294</v>
      </c>
      <c r="F106" s="1180"/>
      <c r="G106" s="1326"/>
      <c r="H106" s="837"/>
      <c r="I106" s="1321"/>
      <c r="J106" s="624"/>
      <c r="K106" s="641"/>
      <c r="L106" s="382"/>
      <c r="M106" s="202"/>
    </row>
    <row r="107" spans="1:14" s="2" customFormat="1" ht="20.25" customHeight="1">
      <c r="A107" s="836"/>
      <c r="B107" s="838"/>
      <c r="C107" s="840"/>
      <c r="D107" s="77"/>
      <c r="E107" s="206" t="s">
        <v>176</v>
      </c>
      <c r="F107" s="1180"/>
      <c r="G107" s="1326"/>
      <c r="H107" s="837"/>
      <c r="I107" s="591"/>
      <c r="J107" s="624"/>
      <c r="K107" s="641"/>
      <c r="L107" s="1333" t="s">
        <v>221</v>
      </c>
      <c r="M107" s="381">
        <v>439</v>
      </c>
    </row>
    <row r="108" spans="1:14" s="2" customFormat="1" ht="40.5" customHeight="1">
      <c r="A108" s="836"/>
      <c r="B108" s="838"/>
      <c r="C108" s="840"/>
      <c r="D108" s="841"/>
      <c r="E108" s="206" t="s">
        <v>228</v>
      </c>
      <c r="F108" s="839"/>
      <c r="G108" s="219"/>
      <c r="H108" s="837"/>
      <c r="I108" s="591"/>
      <c r="J108" s="624"/>
      <c r="K108" s="641"/>
      <c r="L108" s="1334"/>
      <c r="M108" s="874"/>
    </row>
    <row r="109" spans="1:14" s="2" customFormat="1" ht="25.5" customHeight="1">
      <c r="A109" s="768"/>
      <c r="B109" s="770"/>
      <c r="C109" s="805"/>
      <c r="D109" s="226"/>
      <c r="E109" s="765" t="s">
        <v>175</v>
      </c>
      <c r="F109" s="777"/>
      <c r="G109" s="227"/>
      <c r="H109" s="228"/>
      <c r="I109" s="385"/>
      <c r="J109" s="406"/>
      <c r="K109" s="642"/>
      <c r="L109" s="407"/>
      <c r="M109" s="138"/>
    </row>
    <row r="110" spans="1:14" s="2" customFormat="1" ht="15.75" customHeight="1" thickBot="1">
      <c r="A110" s="769"/>
      <c r="B110" s="771"/>
      <c r="C110" s="806"/>
      <c r="D110" s="167"/>
      <c r="E110" s="167"/>
      <c r="F110" s="284"/>
      <c r="G110" s="167"/>
      <c r="H110" s="167"/>
      <c r="I110" s="1318" t="s">
        <v>95</v>
      </c>
      <c r="J110" s="1319"/>
      <c r="K110" s="617">
        <f>SUM(K99:K109)</f>
        <v>418158</v>
      </c>
      <c r="L110" s="394"/>
      <c r="M110" s="176"/>
    </row>
    <row r="111" spans="1:14" s="11" customFormat="1" ht="24" customHeight="1">
      <c r="A111" s="768" t="s">
        <v>5</v>
      </c>
      <c r="B111" s="770" t="s">
        <v>6</v>
      </c>
      <c r="C111" s="91" t="s">
        <v>6</v>
      </c>
      <c r="D111" s="78"/>
      <c r="E111" s="1165" t="s">
        <v>151</v>
      </c>
      <c r="F111" s="1168"/>
      <c r="G111" s="1430" t="s">
        <v>336</v>
      </c>
      <c r="H111" s="1171" t="s">
        <v>48</v>
      </c>
      <c r="I111" s="1331" t="s">
        <v>119</v>
      </c>
      <c r="J111" s="85" t="s">
        <v>9</v>
      </c>
      <c r="K111" s="954">
        <f>24415-4146-16025</f>
        <v>4244</v>
      </c>
      <c r="L111" s="266" t="s">
        <v>156</v>
      </c>
      <c r="M111" s="855">
        <v>3</v>
      </c>
    </row>
    <row r="112" spans="1:14" s="11" customFormat="1" ht="15" customHeight="1">
      <c r="A112" s="768"/>
      <c r="B112" s="770"/>
      <c r="C112" s="91"/>
      <c r="D112" s="78"/>
      <c r="E112" s="1165"/>
      <c r="F112" s="1168"/>
      <c r="G112" s="1431"/>
      <c r="H112" s="1171"/>
      <c r="I112" s="1331"/>
      <c r="J112" s="85" t="s">
        <v>105</v>
      </c>
      <c r="K112" s="953">
        <f>172324</f>
        <v>172324</v>
      </c>
      <c r="L112" s="1174" t="s">
        <v>197</v>
      </c>
      <c r="M112" s="856" t="s">
        <v>47</v>
      </c>
    </row>
    <row r="113" spans="1:13" s="11" customFormat="1" ht="15" customHeight="1" thickBot="1">
      <c r="A113" s="769"/>
      <c r="B113" s="771"/>
      <c r="C113" s="92"/>
      <c r="D113" s="80"/>
      <c r="E113" s="1166"/>
      <c r="F113" s="1169"/>
      <c r="G113" s="1432"/>
      <c r="H113" s="1172"/>
      <c r="I113" s="1332"/>
      <c r="J113" s="180" t="s">
        <v>12</v>
      </c>
      <c r="K113" s="637">
        <f t="shared" ref="K113" si="6">K112+K111</f>
        <v>176568</v>
      </c>
      <c r="L113" s="1094"/>
      <c r="M113" s="857"/>
    </row>
    <row r="114" spans="1:13" s="11" customFormat="1" ht="14.25" customHeight="1">
      <c r="A114" s="779" t="s">
        <v>5</v>
      </c>
      <c r="B114" s="780" t="s">
        <v>6</v>
      </c>
      <c r="C114" s="90" t="s">
        <v>7</v>
      </c>
      <c r="D114" s="79"/>
      <c r="E114" s="1164" t="s">
        <v>152</v>
      </c>
      <c r="F114" s="1167" t="s">
        <v>302</v>
      </c>
      <c r="G114" s="1315" t="s">
        <v>337</v>
      </c>
      <c r="H114" s="1170" t="s">
        <v>47</v>
      </c>
      <c r="I114" s="1330" t="s">
        <v>120</v>
      </c>
      <c r="J114" s="71" t="s">
        <v>104</v>
      </c>
      <c r="K114" s="627">
        <f>2.1/3.4528*1000</f>
        <v>608</v>
      </c>
      <c r="L114" s="1147" t="s">
        <v>132</v>
      </c>
      <c r="M114" s="858">
        <v>30</v>
      </c>
    </row>
    <row r="115" spans="1:13" s="11" customFormat="1" ht="14.25" customHeight="1">
      <c r="A115" s="768"/>
      <c r="B115" s="770"/>
      <c r="C115" s="91"/>
      <c r="D115" s="78"/>
      <c r="E115" s="1165"/>
      <c r="F115" s="1168"/>
      <c r="G115" s="1316"/>
      <c r="H115" s="1171"/>
      <c r="I115" s="1331"/>
      <c r="J115" s="85" t="s">
        <v>11</v>
      </c>
      <c r="K115" s="628">
        <f>12/3.4528*1000</f>
        <v>3475</v>
      </c>
      <c r="L115" s="1173"/>
      <c r="M115" s="859"/>
    </row>
    <row r="116" spans="1:13" s="11" customFormat="1" ht="16.5" customHeight="1" thickBot="1">
      <c r="A116" s="769"/>
      <c r="B116" s="771"/>
      <c r="C116" s="92"/>
      <c r="D116" s="80"/>
      <c r="E116" s="1166"/>
      <c r="F116" s="1169"/>
      <c r="G116" s="1317"/>
      <c r="H116" s="1172"/>
      <c r="I116" s="1332"/>
      <c r="J116" s="114" t="s">
        <v>12</v>
      </c>
      <c r="K116" s="638">
        <f t="shared" ref="K116" si="7">K115+K114</f>
        <v>4083</v>
      </c>
      <c r="L116" s="277"/>
      <c r="M116" s="857"/>
    </row>
    <row r="117" spans="1:13" s="2" customFormat="1" ht="24.75" customHeight="1">
      <c r="A117" s="1151" t="s">
        <v>5</v>
      </c>
      <c r="B117" s="1154" t="s">
        <v>6</v>
      </c>
      <c r="C117" s="1157" t="s">
        <v>8</v>
      </c>
      <c r="D117" s="1412"/>
      <c r="E117" s="1141" t="s">
        <v>23</v>
      </c>
      <c r="F117" s="1161" t="s">
        <v>303</v>
      </c>
      <c r="G117" s="1350" t="s">
        <v>342</v>
      </c>
      <c r="H117" s="1097" t="s">
        <v>47</v>
      </c>
      <c r="I117" s="1309" t="s">
        <v>120</v>
      </c>
      <c r="J117" s="10" t="s">
        <v>9</v>
      </c>
      <c r="K117" s="889">
        <f>117.3/3.4528*1000+68039</f>
        <v>102011</v>
      </c>
      <c r="L117" s="1147" t="s">
        <v>183</v>
      </c>
      <c r="M117" s="858">
        <v>1</v>
      </c>
    </row>
    <row r="118" spans="1:13" s="2" customFormat="1" ht="17.25" customHeight="1">
      <c r="A118" s="1152"/>
      <c r="B118" s="1155"/>
      <c r="C118" s="1158"/>
      <c r="D118" s="1382"/>
      <c r="E118" s="1160"/>
      <c r="F118" s="1162"/>
      <c r="G118" s="1316"/>
      <c r="H118" s="1137"/>
      <c r="I118" s="1310"/>
      <c r="J118" s="13" t="s">
        <v>11</v>
      </c>
      <c r="K118" s="628">
        <f>665.1/3.4528*1000</f>
        <v>192626</v>
      </c>
      <c r="L118" s="1148"/>
      <c r="M118" s="860"/>
    </row>
    <row r="119" spans="1:13" s="2" customFormat="1" ht="23.25" customHeight="1" thickBot="1">
      <c r="A119" s="1153"/>
      <c r="B119" s="1156"/>
      <c r="C119" s="1159"/>
      <c r="D119" s="1413"/>
      <c r="E119" s="1143"/>
      <c r="F119" s="1163"/>
      <c r="G119" s="1317"/>
      <c r="H119" s="1099"/>
      <c r="I119" s="1311"/>
      <c r="J119" s="181" t="s">
        <v>12</v>
      </c>
      <c r="K119" s="632">
        <f t="shared" ref="K119" si="8">SUM(K117:K118)</f>
        <v>294637</v>
      </c>
      <c r="L119" s="279"/>
      <c r="M119" s="797"/>
    </row>
    <row r="120" spans="1:13" s="2" customFormat="1" ht="14.25" customHeight="1" thickBot="1">
      <c r="A120" s="160" t="s">
        <v>5</v>
      </c>
      <c r="B120" s="9" t="s">
        <v>6</v>
      </c>
      <c r="C120" s="1067" t="s">
        <v>13</v>
      </c>
      <c r="D120" s="1068"/>
      <c r="E120" s="1068"/>
      <c r="F120" s="1068"/>
      <c r="G120" s="1068"/>
      <c r="H120" s="1068"/>
      <c r="I120" s="1149"/>
      <c r="J120" s="1149"/>
      <c r="K120" s="633">
        <f t="shared" ref="K120" si="9">K119+K110+K113+K116</f>
        <v>893446</v>
      </c>
      <c r="L120" s="115"/>
      <c r="M120" s="117"/>
    </row>
    <row r="121" spans="1:13" s="2" customFormat="1" ht="15" customHeight="1" thickBot="1">
      <c r="A121" s="779" t="s">
        <v>5</v>
      </c>
      <c r="B121" s="86" t="s">
        <v>7</v>
      </c>
      <c r="C121" s="1072" t="s">
        <v>35</v>
      </c>
      <c r="D121" s="1073"/>
      <c r="E121" s="1073"/>
      <c r="F121" s="1073"/>
      <c r="G121" s="1073"/>
      <c r="H121" s="1073"/>
      <c r="I121" s="1073"/>
      <c r="J121" s="1073"/>
      <c r="K121" s="1150"/>
      <c r="L121" s="1073"/>
      <c r="M121" s="1074"/>
    </row>
    <row r="122" spans="1:13" s="11" customFormat="1" ht="17.25" customHeight="1">
      <c r="A122" s="1138" t="s">
        <v>5</v>
      </c>
      <c r="B122" s="1139" t="s">
        <v>7</v>
      </c>
      <c r="C122" s="1140" t="s">
        <v>5</v>
      </c>
      <c r="D122" s="814"/>
      <c r="E122" s="1141" t="s">
        <v>57</v>
      </c>
      <c r="F122" s="1179" t="s">
        <v>100</v>
      </c>
      <c r="G122" s="1306" t="s">
        <v>339</v>
      </c>
      <c r="H122" s="1097" t="s">
        <v>47</v>
      </c>
      <c r="I122" s="1309" t="s">
        <v>69</v>
      </c>
      <c r="J122" s="10" t="s">
        <v>9</v>
      </c>
      <c r="K122" s="634">
        <f>16.5/3.4528*1000</f>
        <v>4779</v>
      </c>
      <c r="L122" s="794" t="s">
        <v>63</v>
      </c>
      <c r="M122" s="790">
        <v>220</v>
      </c>
    </row>
    <row r="123" spans="1:13" s="11" customFormat="1" ht="14.25" customHeight="1">
      <c r="A123" s="1078"/>
      <c r="B123" s="1080"/>
      <c r="C123" s="1082"/>
      <c r="D123" s="819"/>
      <c r="E123" s="1142"/>
      <c r="F123" s="1304"/>
      <c r="G123" s="1307"/>
      <c r="H123" s="1098"/>
      <c r="I123" s="1310"/>
      <c r="J123" s="20" t="s">
        <v>11</v>
      </c>
      <c r="K123" s="635">
        <f>93.1/3.4528*1000</f>
        <v>26964</v>
      </c>
      <c r="L123" s="262"/>
      <c r="M123" s="861"/>
    </row>
    <row r="124" spans="1:13" s="11" customFormat="1" ht="20.25" customHeight="1" thickBot="1">
      <c r="A124" s="1079"/>
      <c r="B124" s="1081"/>
      <c r="C124" s="1083"/>
      <c r="D124" s="818"/>
      <c r="E124" s="1143"/>
      <c r="F124" s="1305"/>
      <c r="G124" s="1308"/>
      <c r="H124" s="1099"/>
      <c r="I124" s="1311"/>
      <c r="J124" s="126" t="s">
        <v>12</v>
      </c>
      <c r="K124" s="636">
        <f>K123+K122</f>
        <v>31743</v>
      </c>
      <c r="L124" s="281"/>
      <c r="M124" s="791"/>
    </row>
    <row r="125" spans="1:13" s="11" customFormat="1" ht="39" customHeight="1">
      <c r="A125" s="1138" t="s">
        <v>5</v>
      </c>
      <c r="B125" s="1139" t="s">
        <v>7</v>
      </c>
      <c r="C125" s="1140" t="s">
        <v>5</v>
      </c>
      <c r="D125" s="964"/>
      <c r="E125" s="1301" t="s">
        <v>368</v>
      </c>
      <c r="F125" s="1179" t="s">
        <v>100</v>
      </c>
      <c r="G125" s="1306" t="s">
        <v>369</v>
      </c>
      <c r="H125" s="1097" t="s">
        <v>47</v>
      </c>
      <c r="I125" s="1309" t="s">
        <v>69</v>
      </c>
      <c r="J125" s="10" t="s">
        <v>9</v>
      </c>
      <c r="K125" s="718">
        <v>3395</v>
      </c>
      <c r="L125" s="961" t="s">
        <v>63</v>
      </c>
      <c r="M125" s="959"/>
    </row>
    <row r="126" spans="1:13" s="11" customFormat="1" ht="20.25" customHeight="1">
      <c r="A126" s="1078"/>
      <c r="B126" s="1080"/>
      <c r="C126" s="1082"/>
      <c r="D126" s="962"/>
      <c r="E126" s="1302"/>
      <c r="F126" s="1304"/>
      <c r="G126" s="1307"/>
      <c r="H126" s="1098"/>
      <c r="I126" s="1310"/>
      <c r="J126" s="20" t="s">
        <v>11</v>
      </c>
      <c r="K126" s="214"/>
      <c r="L126" s="262"/>
      <c r="M126" s="861"/>
    </row>
    <row r="127" spans="1:13" s="11" customFormat="1" ht="25.5" customHeight="1" thickBot="1">
      <c r="A127" s="1079"/>
      <c r="B127" s="1081"/>
      <c r="C127" s="1083"/>
      <c r="D127" s="963"/>
      <c r="E127" s="1303"/>
      <c r="F127" s="1305"/>
      <c r="G127" s="1308"/>
      <c r="H127" s="1099"/>
      <c r="I127" s="1311"/>
      <c r="J127" s="126" t="s">
        <v>12</v>
      </c>
      <c r="K127" s="636">
        <f>K126+K125</f>
        <v>3395</v>
      </c>
      <c r="L127" s="281"/>
      <c r="M127" s="960"/>
    </row>
    <row r="128" spans="1:13" s="2" customFormat="1" ht="28.5" customHeight="1">
      <c r="A128" s="1078" t="s">
        <v>5</v>
      </c>
      <c r="B128" s="1080" t="s">
        <v>7</v>
      </c>
      <c r="C128" s="1082" t="s">
        <v>6</v>
      </c>
      <c r="D128" s="950"/>
      <c r="E128" s="1133" t="s">
        <v>153</v>
      </c>
      <c r="F128" s="1135"/>
      <c r="G128" s="1351" t="s">
        <v>338</v>
      </c>
      <c r="H128" s="1137" t="s">
        <v>47</v>
      </c>
      <c r="I128" s="1310" t="s">
        <v>70</v>
      </c>
      <c r="J128" s="20" t="s">
        <v>11</v>
      </c>
      <c r="K128" s="635">
        <f>3/3.4528*1000</f>
        <v>869</v>
      </c>
      <c r="L128" s="1235" t="s">
        <v>257</v>
      </c>
      <c r="M128" s="949">
        <v>1</v>
      </c>
    </row>
    <row r="129" spans="1:13" s="2" customFormat="1" ht="15.75" customHeight="1" thickBot="1">
      <c r="A129" s="1079"/>
      <c r="B129" s="1081"/>
      <c r="C129" s="1083"/>
      <c r="D129" s="951"/>
      <c r="E129" s="1134"/>
      <c r="F129" s="1136"/>
      <c r="G129" s="1352"/>
      <c r="H129" s="1099"/>
      <c r="I129" s="1311"/>
      <c r="J129" s="110" t="s">
        <v>12</v>
      </c>
      <c r="K129" s="636">
        <f>K128</f>
        <v>869</v>
      </c>
      <c r="L129" s="1236"/>
      <c r="M129" s="947"/>
    </row>
    <row r="130" spans="1:13" s="11" customFormat="1" ht="17.25" customHeight="1">
      <c r="A130" s="1138" t="s">
        <v>5</v>
      </c>
      <c r="B130" s="1139" t="s">
        <v>7</v>
      </c>
      <c r="C130" s="1140" t="s">
        <v>7</v>
      </c>
      <c r="D130" s="952"/>
      <c r="E130" s="1141" t="s">
        <v>363</v>
      </c>
      <c r="F130" s="1179"/>
      <c r="G130" s="1306" t="s">
        <v>366</v>
      </c>
      <c r="H130" s="1097" t="s">
        <v>47</v>
      </c>
      <c r="I130" s="1309" t="s">
        <v>69</v>
      </c>
      <c r="J130" s="10" t="s">
        <v>9</v>
      </c>
      <c r="K130" s="744">
        <v>4146</v>
      </c>
      <c r="L130" s="948" t="s">
        <v>364</v>
      </c>
      <c r="M130" s="949">
        <v>1</v>
      </c>
    </row>
    <row r="131" spans="1:13" s="11" customFormat="1" ht="24.75" customHeight="1">
      <c r="A131" s="1078"/>
      <c r="B131" s="1080"/>
      <c r="C131" s="1082"/>
      <c r="D131" s="950"/>
      <c r="E131" s="1160"/>
      <c r="F131" s="1304"/>
      <c r="G131" s="1307"/>
      <c r="H131" s="1137"/>
      <c r="I131" s="1310"/>
      <c r="J131" s="214"/>
      <c r="K131" s="746"/>
      <c r="L131" s="335" t="s">
        <v>365</v>
      </c>
      <c r="M131" s="221">
        <v>1</v>
      </c>
    </row>
    <row r="132" spans="1:13" s="11" customFormat="1" ht="12.75" customHeight="1" thickBot="1">
      <c r="A132" s="1079"/>
      <c r="B132" s="1081"/>
      <c r="C132" s="1083"/>
      <c r="D132" s="951"/>
      <c r="E132" s="1143"/>
      <c r="F132" s="1305"/>
      <c r="G132" s="1308"/>
      <c r="H132" s="1099"/>
      <c r="I132" s="1311"/>
      <c r="J132" s="126" t="s">
        <v>12</v>
      </c>
      <c r="K132" s="618">
        <f>SUM(K130:K131)</f>
        <v>4146</v>
      </c>
      <c r="L132" s="281"/>
      <c r="M132" s="947"/>
    </row>
    <row r="133" spans="1:13" s="2" customFormat="1" ht="13.5" thickBot="1">
      <c r="A133" s="160" t="s">
        <v>5</v>
      </c>
      <c r="B133" s="9" t="s">
        <v>7</v>
      </c>
      <c r="C133" s="1067" t="s">
        <v>13</v>
      </c>
      <c r="D133" s="1068"/>
      <c r="E133" s="1068"/>
      <c r="F133" s="1068"/>
      <c r="G133" s="1068"/>
      <c r="H133" s="1068"/>
      <c r="I133" s="1068"/>
      <c r="J133" s="1068"/>
      <c r="K133" s="633">
        <f>K132+K124+K129+K127</f>
        <v>40153</v>
      </c>
      <c r="L133" s="1069"/>
      <c r="M133" s="1071"/>
    </row>
    <row r="134" spans="1:13" s="2" customFormat="1" ht="15.75" customHeight="1" thickBot="1">
      <c r="A134" s="160" t="s">
        <v>5</v>
      </c>
      <c r="B134" s="22" t="s">
        <v>8</v>
      </c>
      <c r="C134" s="1072" t="s">
        <v>58</v>
      </c>
      <c r="D134" s="1073"/>
      <c r="E134" s="1073"/>
      <c r="F134" s="1073"/>
      <c r="G134" s="1073"/>
      <c r="H134" s="1073"/>
      <c r="I134" s="1073"/>
      <c r="J134" s="1073"/>
      <c r="K134" s="1346"/>
      <c r="L134" s="1073"/>
      <c r="M134" s="1074"/>
    </row>
    <row r="135" spans="1:13" s="2" customFormat="1" ht="41.25" customHeight="1">
      <c r="A135" s="779" t="s">
        <v>5</v>
      </c>
      <c r="B135" s="780" t="s">
        <v>8</v>
      </c>
      <c r="C135" s="253" t="s">
        <v>5</v>
      </c>
      <c r="D135" s="814"/>
      <c r="E135" s="178" t="s">
        <v>127</v>
      </c>
      <c r="F135" s="236"/>
      <c r="G135" s="239" t="s">
        <v>5</v>
      </c>
      <c r="H135" s="240" t="s">
        <v>47</v>
      </c>
      <c r="I135" s="799" t="s">
        <v>126</v>
      </c>
      <c r="J135" s="84"/>
      <c r="K135" s="625"/>
      <c r="L135" s="204"/>
      <c r="M135" s="862"/>
    </row>
    <row r="136" spans="1:13" s="2" customFormat="1" ht="42.75" customHeight="1">
      <c r="A136" s="768"/>
      <c r="B136" s="770"/>
      <c r="C136" s="834"/>
      <c r="D136" s="775" t="s">
        <v>5</v>
      </c>
      <c r="E136" s="787" t="s">
        <v>177</v>
      </c>
      <c r="F136" s="671"/>
      <c r="G136" s="759">
        <v>3010502</v>
      </c>
      <c r="H136" s="91"/>
      <c r="I136" s="169"/>
      <c r="J136" s="18" t="s">
        <v>9</v>
      </c>
      <c r="K136" s="652">
        <v>231899</v>
      </c>
      <c r="L136" s="764" t="s">
        <v>260</v>
      </c>
      <c r="M136" s="854">
        <v>542.25</v>
      </c>
    </row>
    <row r="137" spans="1:13" s="2" customFormat="1" ht="27.75" customHeight="1">
      <c r="A137" s="768"/>
      <c r="B137" s="770"/>
      <c r="C137" s="834"/>
      <c r="D137" s="815" t="s">
        <v>6</v>
      </c>
      <c r="E137" s="787" t="s">
        <v>201</v>
      </c>
      <c r="F137" s="672"/>
      <c r="G137" s="1327" t="s">
        <v>340</v>
      </c>
      <c r="H137" s="91"/>
      <c r="I137" s="169"/>
      <c r="J137" s="18" t="s">
        <v>9</v>
      </c>
      <c r="K137" s="652">
        <v>52420</v>
      </c>
      <c r="L137" s="74" t="s">
        <v>281</v>
      </c>
      <c r="M137" s="863">
        <v>268</v>
      </c>
    </row>
    <row r="138" spans="1:13" s="2" customFormat="1" ht="22.5" customHeight="1">
      <c r="A138" s="768"/>
      <c r="B138" s="770"/>
      <c r="C138" s="834"/>
      <c r="D138" s="778" t="s">
        <v>7</v>
      </c>
      <c r="E138" s="809" t="s">
        <v>179</v>
      </c>
      <c r="F138" s="623"/>
      <c r="G138" s="1328"/>
      <c r="H138" s="91"/>
      <c r="I138" s="169"/>
      <c r="J138" s="18" t="s">
        <v>9</v>
      </c>
      <c r="K138" s="652">
        <v>0</v>
      </c>
      <c r="L138" s="764" t="s">
        <v>282</v>
      </c>
      <c r="M138" s="854">
        <v>691</v>
      </c>
    </row>
    <row r="139" spans="1:13" s="2" customFormat="1" ht="15" customHeight="1">
      <c r="A139" s="768"/>
      <c r="B139" s="770"/>
      <c r="C139" s="834"/>
      <c r="D139" s="819" t="s">
        <v>8</v>
      </c>
      <c r="E139" s="1075" t="s">
        <v>367</v>
      </c>
      <c r="F139" s="623"/>
      <c r="G139" s="1328"/>
      <c r="H139" s="91"/>
      <c r="I139" s="169"/>
      <c r="J139" s="188" t="s">
        <v>9</v>
      </c>
      <c r="K139" s="653">
        <f>19984+82976</f>
        <v>102960</v>
      </c>
      <c r="L139" s="184" t="s">
        <v>283</v>
      </c>
      <c r="M139" s="853">
        <v>245</v>
      </c>
    </row>
    <row r="140" spans="1:13" s="2" customFormat="1" ht="25.5" customHeight="1">
      <c r="A140" s="768"/>
      <c r="B140" s="770"/>
      <c r="C140" s="834"/>
      <c r="D140" s="819"/>
      <c r="E140" s="1076"/>
      <c r="F140" s="623"/>
      <c r="G140" s="1328"/>
      <c r="H140" s="91"/>
      <c r="I140" s="169"/>
      <c r="J140" s="390"/>
      <c r="K140" s="614"/>
      <c r="L140" s="203" t="s">
        <v>284</v>
      </c>
      <c r="M140" s="202">
        <v>300</v>
      </c>
    </row>
    <row r="141" spans="1:13" s="2" customFormat="1" ht="25.5" customHeight="1">
      <c r="A141" s="768"/>
      <c r="B141" s="770"/>
      <c r="C141" s="834"/>
      <c r="D141" s="815"/>
      <c r="E141" s="1077"/>
      <c r="F141" s="673"/>
      <c r="G141" s="1329"/>
      <c r="H141" s="91"/>
      <c r="I141" s="169"/>
      <c r="J141" s="18"/>
      <c r="K141" s="616"/>
      <c r="L141" s="764" t="s">
        <v>285</v>
      </c>
      <c r="M141" s="854">
        <v>700</v>
      </c>
    </row>
    <row r="142" spans="1:13" s="2" customFormat="1" ht="42" customHeight="1">
      <c r="A142" s="768"/>
      <c r="B142" s="770"/>
      <c r="C142" s="834"/>
      <c r="D142" s="778" t="s">
        <v>26</v>
      </c>
      <c r="E142" s="426" t="s">
        <v>229</v>
      </c>
      <c r="F142" s="671"/>
      <c r="G142" s="760">
        <v>3010506</v>
      </c>
      <c r="H142" s="91"/>
      <c r="I142" s="169"/>
      <c r="J142" s="18" t="s">
        <v>9</v>
      </c>
      <c r="K142" s="652">
        <f>47.3/3.4528*1000</f>
        <v>13699</v>
      </c>
      <c r="L142" s="764" t="s">
        <v>286</v>
      </c>
      <c r="M142" s="854">
        <v>431</v>
      </c>
    </row>
    <row r="143" spans="1:13" s="2" customFormat="1" ht="38.25" customHeight="1">
      <c r="A143" s="768"/>
      <c r="B143" s="770"/>
      <c r="C143" s="834"/>
      <c r="D143" s="815" t="s">
        <v>28</v>
      </c>
      <c r="E143" s="788" t="s">
        <v>230</v>
      </c>
      <c r="F143" s="238"/>
      <c r="G143" s="759">
        <v>3010505</v>
      </c>
      <c r="H143" s="242"/>
      <c r="I143" s="231"/>
      <c r="J143" s="18" t="s">
        <v>9</v>
      </c>
      <c r="K143" s="652">
        <f>69.7/3.4528*1000</f>
        <v>20187</v>
      </c>
      <c r="L143" s="764" t="s">
        <v>287</v>
      </c>
      <c r="M143" s="854">
        <v>309</v>
      </c>
    </row>
    <row r="144" spans="1:13" s="2" customFormat="1" ht="15" customHeight="1" thickBot="1">
      <c r="A144" s="159"/>
      <c r="B144" s="105"/>
      <c r="C144" s="167"/>
      <c r="D144" s="167"/>
      <c r="E144" s="167"/>
      <c r="F144" s="167"/>
      <c r="G144" s="167"/>
      <c r="H144" s="167"/>
      <c r="I144" s="1318" t="s">
        <v>95</v>
      </c>
      <c r="J144" s="1319"/>
      <c r="K144" s="644">
        <f>SUM(K136:K143)</f>
        <v>421165</v>
      </c>
      <c r="L144" s="175"/>
      <c r="M144" s="176"/>
    </row>
    <row r="145" spans="1:33" s="2" customFormat="1" ht="27" customHeight="1">
      <c r="A145" s="1078" t="s">
        <v>5</v>
      </c>
      <c r="B145" s="1080" t="s">
        <v>8</v>
      </c>
      <c r="C145" s="1082" t="s">
        <v>6</v>
      </c>
      <c r="D145" s="819"/>
      <c r="E145" s="1084" t="s">
        <v>103</v>
      </c>
      <c r="F145" s="1087" t="s">
        <v>68</v>
      </c>
      <c r="G145" s="1343" t="s">
        <v>341</v>
      </c>
      <c r="H145" s="1089" t="s">
        <v>48</v>
      </c>
      <c r="I145" s="1348" t="s">
        <v>119</v>
      </c>
      <c r="J145" s="65" t="s">
        <v>9</v>
      </c>
      <c r="K145" s="718">
        <v>41693</v>
      </c>
      <c r="L145" s="143" t="s">
        <v>142</v>
      </c>
      <c r="M145" s="864">
        <v>1</v>
      </c>
    </row>
    <row r="146" spans="1:33" s="2" customFormat="1" ht="16.5" customHeight="1">
      <c r="A146" s="1078"/>
      <c r="B146" s="1080"/>
      <c r="C146" s="1082"/>
      <c r="D146" s="819"/>
      <c r="E146" s="1085"/>
      <c r="F146" s="1087"/>
      <c r="G146" s="1344"/>
      <c r="H146" s="1089"/>
      <c r="I146" s="1348"/>
      <c r="J146" s="65" t="s">
        <v>104</v>
      </c>
      <c r="K146" s="631">
        <v>0</v>
      </c>
      <c r="L146" s="1091" t="s">
        <v>198</v>
      </c>
      <c r="M146" s="865">
        <v>40</v>
      </c>
    </row>
    <row r="147" spans="1:33" s="2" customFormat="1" ht="17.25" customHeight="1" thickBot="1">
      <c r="A147" s="1079"/>
      <c r="B147" s="1081"/>
      <c r="C147" s="1083"/>
      <c r="D147" s="818"/>
      <c r="E147" s="1086"/>
      <c r="F147" s="1088"/>
      <c r="G147" s="1345"/>
      <c r="H147" s="1090"/>
      <c r="I147" s="1349"/>
      <c r="J147" s="110" t="s">
        <v>12</v>
      </c>
      <c r="K147" s="632">
        <f>K146+K145</f>
        <v>41693</v>
      </c>
      <c r="L147" s="1092"/>
      <c r="M147" s="800"/>
    </row>
    <row r="148" spans="1:33" s="2" customFormat="1" ht="15.75" customHeight="1" thickBot="1">
      <c r="A148" s="160" t="s">
        <v>5</v>
      </c>
      <c r="B148" s="9" t="s">
        <v>8</v>
      </c>
      <c r="C148" s="1067" t="s">
        <v>13</v>
      </c>
      <c r="D148" s="1068"/>
      <c r="E148" s="1068"/>
      <c r="F148" s="1068"/>
      <c r="G148" s="1068"/>
      <c r="H148" s="1068"/>
      <c r="I148" s="1068"/>
      <c r="J148" s="1068"/>
      <c r="K148" s="633">
        <f>K147+K144</f>
        <v>462858</v>
      </c>
      <c r="L148" s="1069"/>
      <c r="M148" s="1071"/>
    </row>
    <row r="149" spans="1:33" s="11" customFormat="1" ht="15.75" customHeight="1" thickBot="1">
      <c r="A149" s="160" t="s">
        <v>5</v>
      </c>
      <c r="B149" s="1111" t="s">
        <v>15</v>
      </c>
      <c r="C149" s="1112"/>
      <c r="D149" s="1112"/>
      <c r="E149" s="1112"/>
      <c r="F149" s="1112"/>
      <c r="G149" s="1112"/>
      <c r="H149" s="1112"/>
      <c r="I149" s="1112"/>
      <c r="J149" s="1113"/>
      <c r="K149" s="629">
        <f>K148+K133+K120+K96</f>
        <v>18004084</v>
      </c>
      <c r="L149" s="1114"/>
      <c r="M149" s="1116"/>
    </row>
    <row r="150" spans="1:33" s="11" customFormat="1" ht="15.75" customHeight="1" thickBot="1">
      <c r="A150" s="58" t="s">
        <v>7</v>
      </c>
      <c r="B150" s="1117" t="s">
        <v>14</v>
      </c>
      <c r="C150" s="1117"/>
      <c r="D150" s="1117"/>
      <c r="E150" s="1117"/>
      <c r="F150" s="1117"/>
      <c r="G150" s="1117"/>
      <c r="H150" s="1117"/>
      <c r="I150" s="1117"/>
      <c r="J150" s="1118"/>
      <c r="K150" s="630">
        <f t="shared" ref="K150" si="10">K149</f>
        <v>18004084</v>
      </c>
      <c r="L150" s="1119"/>
      <c r="M150" s="1121"/>
    </row>
    <row r="151" spans="1:33" s="64" customFormat="1" ht="14.25" customHeight="1">
      <c r="A151" s="1335" t="s">
        <v>370</v>
      </c>
      <c r="B151" s="1335"/>
      <c r="C151" s="1335"/>
      <c r="D151" s="1335"/>
      <c r="E151" s="1335"/>
      <c r="F151" s="1335"/>
      <c r="G151" s="1335"/>
      <c r="H151" s="1335"/>
      <c r="I151" s="1335"/>
      <c r="J151" s="1335"/>
      <c r="K151" s="1335"/>
      <c r="L151" s="1335"/>
      <c r="M151" s="1335"/>
      <c r="N151" s="656"/>
      <c r="O151" s="656"/>
      <c r="P151" s="656"/>
      <c r="Q151" s="656"/>
      <c r="R151" s="656"/>
      <c r="S151" s="656"/>
      <c r="T151" s="656"/>
      <c r="U151" s="656"/>
      <c r="V151" s="656"/>
      <c r="W151" s="656"/>
      <c r="X151" s="656"/>
      <c r="Y151" s="656"/>
      <c r="Z151" s="656"/>
      <c r="AA151" s="656"/>
      <c r="AB151" s="656"/>
      <c r="AC151" s="656"/>
      <c r="AD151" s="656"/>
      <c r="AE151" s="656"/>
      <c r="AF151" s="656"/>
      <c r="AG151" s="656"/>
    </row>
    <row r="152" spans="1:33" s="11" customFormat="1" ht="15.75" customHeight="1">
      <c r="A152" s="24"/>
      <c r="B152" s="7"/>
      <c r="C152" s="1129" t="s">
        <v>18</v>
      </c>
      <c r="D152" s="1129"/>
      <c r="E152" s="1129"/>
      <c r="F152" s="1129"/>
      <c r="G152" s="1129"/>
      <c r="H152" s="1129"/>
      <c r="I152" s="1129"/>
      <c r="J152" s="1129"/>
      <c r="K152" s="1129"/>
      <c r="L152" s="16"/>
      <c r="M152" s="44"/>
    </row>
    <row r="153" spans="1:33" s="11" customFormat="1" ht="13.5" thickBot="1">
      <c r="A153" s="24"/>
      <c r="B153" s="23"/>
      <c r="C153" s="23"/>
      <c r="D153" s="23"/>
      <c r="E153" s="23"/>
      <c r="F153" s="29"/>
      <c r="G153" s="23"/>
      <c r="H153" s="51"/>
      <c r="I153" s="23"/>
      <c r="K153" s="16"/>
      <c r="L153" s="727"/>
      <c r="M153" s="725"/>
    </row>
    <row r="154" spans="1:33" s="11" customFormat="1" ht="56.25" customHeight="1" thickBot="1">
      <c r="A154" s="2"/>
      <c r="B154" s="2"/>
      <c r="C154" s="1130" t="s">
        <v>16</v>
      </c>
      <c r="D154" s="1131"/>
      <c r="E154" s="1131"/>
      <c r="F154" s="1131"/>
      <c r="G154" s="1131"/>
      <c r="H154" s="1131"/>
      <c r="I154" s="1131"/>
      <c r="J154" s="1132"/>
      <c r="K154" s="566" t="s">
        <v>295</v>
      </c>
      <c r="L154" s="724"/>
      <c r="M154" s="725"/>
    </row>
    <row r="155" spans="1:33" s="11" customFormat="1">
      <c r="A155" s="2"/>
      <c r="B155" s="2"/>
      <c r="C155" s="1122" t="s">
        <v>19</v>
      </c>
      <c r="D155" s="1347"/>
      <c r="E155" s="1123"/>
      <c r="F155" s="1123"/>
      <c r="G155" s="1123"/>
      <c r="H155" s="1123"/>
      <c r="I155" s="1124"/>
      <c r="J155" s="1124"/>
      <c r="K155" s="647">
        <f>K156+K166+K164+K165</f>
        <v>17779542</v>
      </c>
      <c r="L155" s="14"/>
      <c r="M155" s="726"/>
    </row>
    <row r="156" spans="1:33" s="11" customFormat="1">
      <c r="A156" s="2"/>
      <c r="B156" s="2"/>
      <c r="C156" s="1125" t="s">
        <v>25</v>
      </c>
      <c r="D156" s="1126"/>
      <c r="E156" s="1126"/>
      <c r="F156" s="1126"/>
      <c r="G156" s="1126"/>
      <c r="H156" s="1126"/>
      <c r="I156" s="1126"/>
      <c r="J156" s="1127"/>
      <c r="K156" s="648">
        <f>K157+K158+K159+K160+K161+K162+K163</f>
        <v>17772288</v>
      </c>
      <c r="L156" s="14"/>
      <c r="M156" s="726"/>
    </row>
    <row r="157" spans="1:33" s="11" customFormat="1">
      <c r="A157" s="2"/>
      <c r="B157" s="2"/>
      <c r="C157" s="1061" t="s">
        <v>50</v>
      </c>
      <c r="D157" s="1336"/>
      <c r="E157" s="1062"/>
      <c r="F157" s="1062"/>
      <c r="G157" s="1062"/>
      <c r="H157" s="1062"/>
      <c r="I157" s="1063"/>
      <c r="J157" s="1063"/>
      <c r="K157" s="649">
        <f>SUMIF(J19:J150,"sb",K19:K150)</f>
        <v>11717302</v>
      </c>
      <c r="L157" s="727"/>
      <c r="M157" s="725"/>
    </row>
    <row r="158" spans="1:33" s="11" customFormat="1" ht="14.25" customHeight="1">
      <c r="A158" s="2"/>
      <c r="B158" s="2"/>
      <c r="C158" s="1064" t="s">
        <v>122</v>
      </c>
      <c r="D158" s="1065"/>
      <c r="E158" s="1065"/>
      <c r="F158" s="1065"/>
      <c r="G158" s="1065"/>
      <c r="H158" s="1065"/>
      <c r="I158" s="1065"/>
      <c r="J158" s="1066"/>
      <c r="K158" s="649">
        <f>SUMIF(J18:J148,"sb(VR)",K18:K148)</f>
        <v>25685</v>
      </c>
      <c r="L158" s="727"/>
      <c r="M158" s="725"/>
    </row>
    <row r="159" spans="1:33" s="2" customFormat="1">
      <c r="C159" s="1052" t="s">
        <v>54</v>
      </c>
      <c r="D159" s="1339"/>
      <c r="E159" s="1053"/>
      <c r="F159" s="1053"/>
      <c r="G159" s="1053"/>
      <c r="H159" s="1053"/>
      <c r="I159" s="1054"/>
      <c r="J159" s="1054"/>
      <c r="K159" s="649">
        <f>SUMIF(J18:J150,"SB(Sp)",K18:K150)</f>
        <v>4478</v>
      </c>
      <c r="L159" s="906"/>
      <c r="M159" s="907"/>
    </row>
    <row r="160" spans="1:33" s="11" customFormat="1">
      <c r="A160" s="2"/>
      <c r="B160" s="2"/>
      <c r="C160" s="1064" t="s">
        <v>43</v>
      </c>
      <c r="D160" s="1065"/>
      <c r="E160" s="1065"/>
      <c r="F160" s="1065"/>
      <c r="G160" s="1065"/>
      <c r="H160" s="1065"/>
      <c r="I160" s="1065"/>
      <c r="J160" s="1066"/>
      <c r="K160" s="728">
        <f>SUMIF(J19:J147,"SB(VB)",K19:K147)</f>
        <v>1048856</v>
      </c>
      <c r="L160" s="727"/>
      <c r="M160" s="725"/>
    </row>
    <row r="161" spans="1:13" s="11" customFormat="1">
      <c r="A161" s="2"/>
      <c r="B161" s="2"/>
      <c r="C161" s="1064" t="s">
        <v>106</v>
      </c>
      <c r="D161" s="1065"/>
      <c r="E161" s="1065"/>
      <c r="F161" s="1065"/>
      <c r="G161" s="1065"/>
      <c r="H161" s="1065"/>
      <c r="I161" s="1065"/>
      <c r="J161" s="1066"/>
      <c r="K161" s="728">
        <f>SUMIF(J19:J147,"sb(P)",K19:K147)</f>
        <v>172324</v>
      </c>
      <c r="L161" s="727"/>
      <c r="M161" s="725"/>
    </row>
    <row r="162" spans="1:13" s="2" customFormat="1">
      <c r="C162" s="1055" t="s">
        <v>350</v>
      </c>
      <c r="D162" s="1340"/>
      <c r="E162" s="1056"/>
      <c r="F162" s="1056"/>
      <c r="G162" s="1056"/>
      <c r="H162" s="1056"/>
      <c r="I162" s="1057"/>
      <c r="J162" s="1057"/>
      <c r="K162" s="728">
        <f>SUMIF(J16:J147,"sb(L)",K16:K147)</f>
        <v>4792058</v>
      </c>
      <c r="L162" s="656"/>
      <c r="M162" s="907"/>
    </row>
    <row r="163" spans="1:13" s="2" customFormat="1">
      <c r="C163" s="1058" t="s">
        <v>359</v>
      </c>
      <c r="D163" s="1059"/>
      <c r="E163" s="1059"/>
      <c r="F163" s="1059"/>
      <c r="G163" s="1059"/>
      <c r="H163" s="1059"/>
      <c r="I163" s="1059"/>
      <c r="J163" s="1060"/>
      <c r="K163" s="728">
        <f>SUMIF(J17:J148,"SB(KPP)",K17:K148)</f>
        <v>11585</v>
      </c>
      <c r="L163" s="656"/>
      <c r="M163" s="907"/>
    </row>
    <row r="164" spans="1:13" s="2" customFormat="1">
      <c r="C164" s="1105" t="s">
        <v>352</v>
      </c>
      <c r="D164" s="1338"/>
      <c r="E164" s="1106"/>
      <c r="F164" s="1106"/>
      <c r="G164" s="1106"/>
      <c r="H164" s="1106"/>
      <c r="I164" s="1107"/>
      <c r="J164" s="1107"/>
      <c r="K164" s="648">
        <f>SUMIF(J17:J148,"sb(SPL)",K17:K148)</f>
        <v>3181</v>
      </c>
      <c r="L164" s="656"/>
      <c r="M164" s="907"/>
    </row>
    <row r="165" spans="1:13" s="2" customFormat="1">
      <c r="C165" s="1105" t="s">
        <v>351</v>
      </c>
      <c r="D165" s="1338"/>
      <c r="E165" s="1106"/>
      <c r="F165" s="1106"/>
      <c r="G165" s="1106"/>
      <c r="H165" s="1106"/>
      <c r="I165" s="1107"/>
      <c r="J165" s="1107"/>
      <c r="K165" s="648">
        <f>SUMIF(J18:J149,"sb(VRL)",K18:K149)</f>
        <v>18</v>
      </c>
      <c r="L165" s="656"/>
      <c r="M165" s="907"/>
    </row>
    <row r="166" spans="1:13" s="2" customFormat="1">
      <c r="C166" s="1105" t="s">
        <v>138</v>
      </c>
      <c r="D166" s="1338"/>
      <c r="E166" s="1106"/>
      <c r="F166" s="1106"/>
      <c r="G166" s="1106"/>
      <c r="H166" s="1106"/>
      <c r="I166" s="1107"/>
      <c r="J166" s="1107"/>
      <c r="K166" s="648">
        <f>SUMIF(J19:J147,"pf",K19:K147)</f>
        <v>4055</v>
      </c>
      <c r="L166" s="906"/>
      <c r="M166" s="907"/>
    </row>
    <row r="167" spans="1:13" s="2" customFormat="1">
      <c r="C167" s="1108" t="s">
        <v>20</v>
      </c>
      <c r="D167" s="1337"/>
      <c r="E167" s="1109"/>
      <c r="F167" s="1109"/>
      <c r="G167" s="1109"/>
      <c r="H167" s="1109"/>
      <c r="I167" s="1110"/>
      <c r="J167" s="1110"/>
      <c r="K167" s="650">
        <f>K168+K169+K170</f>
        <v>224542</v>
      </c>
      <c r="L167" s="906"/>
      <c r="M167" s="907"/>
    </row>
    <row r="168" spans="1:13" s="2" customFormat="1">
      <c r="C168" s="1103" t="s">
        <v>51</v>
      </c>
      <c r="D168" s="1104"/>
      <c r="E168" s="1104"/>
      <c r="F168" s="1104"/>
      <c r="G168" s="1104"/>
      <c r="H168" s="1104"/>
      <c r="I168" s="1104"/>
      <c r="J168" s="1104"/>
      <c r="K168" s="649">
        <f>SUMIF(J19:J147,"es",K19:K147)</f>
        <v>223934</v>
      </c>
      <c r="L168" s="656"/>
      <c r="M168" s="907"/>
    </row>
    <row r="169" spans="1:13" s="2" customFormat="1">
      <c r="C169" s="1061" t="s">
        <v>52</v>
      </c>
      <c r="D169" s="1336"/>
      <c r="E169" s="1062"/>
      <c r="F169" s="1062"/>
      <c r="G169" s="1062"/>
      <c r="H169" s="1062"/>
      <c r="I169" s="1063"/>
      <c r="J169" s="1063"/>
      <c r="K169" s="649">
        <f>SUMIF(J19:J147,"lrvb",K19:K147)</f>
        <v>608</v>
      </c>
      <c r="L169" s="656"/>
      <c r="M169" s="907"/>
    </row>
    <row r="170" spans="1:13" s="2" customFormat="1">
      <c r="C170" s="1058" t="s">
        <v>202</v>
      </c>
      <c r="D170" s="1341"/>
      <c r="E170" s="1341"/>
      <c r="F170" s="1341"/>
      <c r="G170" s="1341"/>
      <c r="H170" s="1341"/>
      <c r="I170" s="1341"/>
      <c r="J170" s="1342"/>
      <c r="K170" s="649">
        <f>SUMIF(J19:J147,"Kt",K19:K147)</f>
        <v>0</v>
      </c>
      <c r="L170" s="656"/>
      <c r="M170" s="907"/>
    </row>
    <row r="171" spans="1:13" s="2" customFormat="1" ht="13.5" thickBot="1">
      <c r="C171" s="1100" t="s">
        <v>21</v>
      </c>
      <c r="D171" s="1101"/>
      <c r="E171" s="1101"/>
      <c r="F171" s="1101"/>
      <c r="G171" s="1101"/>
      <c r="H171" s="1101"/>
      <c r="I171" s="1101"/>
      <c r="J171" s="1102"/>
      <c r="K171" s="651">
        <f>K155+K167</f>
        <v>18004084</v>
      </c>
      <c r="L171" s="908"/>
      <c r="M171" s="907"/>
    </row>
    <row r="172" spans="1:13" ht="11.25">
      <c r="E172" s="1"/>
      <c r="F172" s="1"/>
      <c r="H172" s="1"/>
      <c r="J172" s="911"/>
      <c r="K172" s="912"/>
      <c r="L172" s="909"/>
      <c r="M172" s="909"/>
    </row>
    <row r="173" spans="1:13">
      <c r="J173" s="909"/>
      <c r="K173" s="909"/>
      <c r="L173" s="909"/>
      <c r="M173" s="910"/>
    </row>
    <row r="174" spans="1:13">
      <c r="K174" s="5"/>
      <c r="L174" s="909"/>
      <c r="M174" s="910"/>
    </row>
    <row r="175" spans="1:13" ht="11.25">
      <c r="E175" s="1"/>
      <c r="F175" s="1"/>
      <c r="H175" s="1"/>
      <c r="J175" s="4"/>
      <c r="K175" s="27"/>
      <c r="M175" s="1"/>
    </row>
    <row r="176" spans="1:13" ht="11.25">
      <c r="E176" s="1"/>
      <c r="F176" s="1"/>
      <c r="H176" s="1"/>
      <c r="J176" s="5"/>
      <c r="K176" s="5"/>
      <c r="M176" s="1"/>
    </row>
    <row r="177" spans="5:13" ht="11.25">
      <c r="E177" s="1"/>
      <c r="F177" s="1"/>
      <c r="H177" s="1"/>
      <c r="M177" s="1"/>
    </row>
    <row r="178" spans="5:13" ht="11.25">
      <c r="E178" s="1"/>
      <c r="F178" s="1"/>
      <c r="H178" s="1"/>
      <c r="J178" s="5"/>
      <c r="K178" s="5"/>
      <c r="M178" s="1"/>
    </row>
    <row r="180" spans="5:13" ht="11.25">
      <c r="E180" s="1"/>
      <c r="F180" s="1"/>
      <c r="H180" s="1"/>
      <c r="J180" s="4"/>
      <c r="M180" s="1"/>
    </row>
    <row r="181" spans="5:13" ht="11.25">
      <c r="E181" s="1"/>
      <c r="F181" s="1"/>
      <c r="H181" s="1"/>
      <c r="J181" s="5"/>
      <c r="M181" s="1"/>
    </row>
    <row r="183" spans="5:13" ht="11.25">
      <c r="E183" s="1"/>
      <c r="F183" s="1"/>
      <c r="H183" s="1"/>
      <c r="J183" s="5"/>
      <c r="M183" s="1"/>
    </row>
  </sheetData>
  <mergeCells count="260">
    <mergeCell ref="A15:M15"/>
    <mergeCell ref="B22:B23"/>
    <mergeCell ref="F19:F20"/>
    <mergeCell ref="C51:C52"/>
    <mergeCell ref="E51:E52"/>
    <mergeCell ref="A44:A45"/>
    <mergeCell ref="B44:B45"/>
    <mergeCell ref="C44:C45"/>
    <mergeCell ref="F46:F47"/>
    <mergeCell ref="H46:H47"/>
    <mergeCell ref="G28:G35"/>
    <mergeCell ref="L51:L52"/>
    <mergeCell ref="F22:F23"/>
    <mergeCell ref="A22:A23"/>
    <mergeCell ref="A28:A35"/>
    <mergeCell ref="B28:B35"/>
    <mergeCell ref="F36:F38"/>
    <mergeCell ref="G36:G38"/>
    <mergeCell ref="I36:I37"/>
    <mergeCell ref="C22:C23"/>
    <mergeCell ref="C28:C35"/>
    <mergeCell ref="B51:B52"/>
    <mergeCell ref="H19:H20"/>
    <mergeCell ref="E40:E41"/>
    <mergeCell ref="E70:E72"/>
    <mergeCell ref="H64:H66"/>
    <mergeCell ref="F64:F66"/>
    <mergeCell ref="I83:I84"/>
    <mergeCell ref="I70:I71"/>
    <mergeCell ref="G70:G73"/>
    <mergeCell ref="D81:D82"/>
    <mergeCell ref="H53:H54"/>
    <mergeCell ref="D70:D72"/>
    <mergeCell ref="E83:E85"/>
    <mergeCell ref="E67:E68"/>
    <mergeCell ref="E73:E74"/>
    <mergeCell ref="E81:E82"/>
    <mergeCell ref="G55:G56"/>
    <mergeCell ref="H55:H56"/>
    <mergeCell ref="I55:I56"/>
    <mergeCell ref="I63:J63"/>
    <mergeCell ref="F53:F54"/>
    <mergeCell ref="G53:G54"/>
    <mergeCell ref="G67:G68"/>
    <mergeCell ref="F55:F56"/>
    <mergeCell ref="A64:A66"/>
    <mergeCell ref="B64:B66"/>
    <mergeCell ref="C64:C66"/>
    <mergeCell ref="E64:E66"/>
    <mergeCell ref="A57:A58"/>
    <mergeCell ref="B57:B58"/>
    <mergeCell ref="C57:C58"/>
    <mergeCell ref="A55:A56"/>
    <mergeCell ref="B55:B56"/>
    <mergeCell ref="C53:C54"/>
    <mergeCell ref="E57:E58"/>
    <mergeCell ref="B53:B54"/>
    <mergeCell ref="A53:A54"/>
    <mergeCell ref="C55:C56"/>
    <mergeCell ref="E55:E56"/>
    <mergeCell ref="E53:E54"/>
    <mergeCell ref="A7:M7"/>
    <mergeCell ref="A9:M9"/>
    <mergeCell ref="L10:M10"/>
    <mergeCell ref="A11:A13"/>
    <mergeCell ref="B11:B13"/>
    <mergeCell ref="C11:C13"/>
    <mergeCell ref="E11:E13"/>
    <mergeCell ref="F11:F13"/>
    <mergeCell ref="G11:G13"/>
    <mergeCell ref="H11:H13"/>
    <mergeCell ref="L12:L13"/>
    <mergeCell ref="L11:M11"/>
    <mergeCell ref="I11:I13"/>
    <mergeCell ref="D11:D13"/>
    <mergeCell ref="E8:L8"/>
    <mergeCell ref="K11:K13"/>
    <mergeCell ref="A14:M14"/>
    <mergeCell ref="J11:J13"/>
    <mergeCell ref="B16:M16"/>
    <mergeCell ref="C17:M17"/>
    <mergeCell ref="I67:I68"/>
    <mergeCell ref="A51:A52"/>
    <mergeCell ref="A117:A119"/>
    <mergeCell ref="B117:B119"/>
    <mergeCell ref="A67:A68"/>
    <mergeCell ref="B67:B68"/>
    <mergeCell ref="C67:C68"/>
    <mergeCell ref="L94:L95"/>
    <mergeCell ref="D92:D95"/>
    <mergeCell ref="C92:C95"/>
    <mergeCell ref="H114:H116"/>
    <mergeCell ref="E111:E113"/>
    <mergeCell ref="F111:F113"/>
    <mergeCell ref="G111:G113"/>
    <mergeCell ref="C96:J96"/>
    <mergeCell ref="C97:M97"/>
    <mergeCell ref="L114:L115"/>
    <mergeCell ref="B92:B95"/>
    <mergeCell ref="A92:A95"/>
    <mergeCell ref="B90:B91"/>
    <mergeCell ref="C90:C91"/>
    <mergeCell ref="E90:E91"/>
    <mergeCell ref="D78:D79"/>
    <mergeCell ref="E78:E79"/>
    <mergeCell ref="A90:A91"/>
    <mergeCell ref="D90:D91"/>
    <mergeCell ref="H122:H124"/>
    <mergeCell ref="I122:I124"/>
    <mergeCell ref="I117:I119"/>
    <mergeCell ref="E114:E116"/>
    <mergeCell ref="F114:F116"/>
    <mergeCell ref="F99:F103"/>
    <mergeCell ref="F104:F107"/>
    <mergeCell ref="C120:J120"/>
    <mergeCell ref="C121:M121"/>
    <mergeCell ref="D117:D119"/>
    <mergeCell ref="E117:E119"/>
    <mergeCell ref="G94:G95"/>
    <mergeCell ref="I90:I91"/>
    <mergeCell ref="G90:G91"/>
    <mergeCell ref="H90:H91"/>
    <mergeCell ref="I89:J89"/>
    <mergeCell ref="I80:I81"/>
    <mergeCell ref="H92:H95"/>
    <mergeCell ref="F92:F95"/>
    <mergeCell ref="L64:L66"/>
    <mergeCell ref="I64:I66"/>
    <mergeCell ref="I61:I62"/>
    <mergeCell ref="H67:H68"/>
    <mergeCell ref="F67:F68"/>
    <mergeCell ref="I92:I95"/>
    <mergeCell ref="H57:H58"/>
    <mergeCell ref="F57:F58"/>
    <mergeCell ref="G57:G58"/>
    <mergeCell ref="G64:G66"/>
    <mergeCell ref="G92:G93"/>
    <mergeCell ref="F90:F91"/>
    <mergeCell ref="M19:M20"/>
    <mergeCell ref="I51:I52"/>
    <mergeCell ref="I50:J50"/>
    <mergeCell ref="F44:F45"/>
    <mergeCell ref="G44:G45"/>
    <mergeCell ref="L53:L54"/>
    <mergeCell ref="M51:M52"/>
    <mergeCell ref="M55:M56"/>
    <mergeCell ref="I53:I54"/>
    <mergeCell ref="I42:I43"/>
    <mergeCell ref="H28:H35"/>
    <mergeCell ref="H51:H52"/>
    <mergeCell ref="I19:I21"/>
    <mergeCell ref="G19:G20"/>
    <mergeCell ref="G46:G48"/>
    <mergeCell ref="F28:F35"/>
    <mergeCell ref="G51:G52"/>
    <mergeCell ref="H44:H45"/>
    <mergeCell ref="H22:H23"/>
    <mergeCell ref="E31:E34"/>
    <mergeCell ref="I40:I41"/>
    <mergeCell ref="E42:E43"/>
    <mergeCell ref="G42:G43"/>
    <mergeCell ref="L55:L56"/>
    <mergeCell ref="L19:L20"/>
    <mergeCell ref="E19:E20"/>
    <mergeCell ref="G40:G41"/>
    <mergeCell ref="G22:G25"/>
    <mergeCell ref="E22:E25"/>
    <mergeCell ref="I28:I30"/>
    <mergeCell ref="E44:E45"/>
    <mergeCell ref="F51:F52"/>
    <mergeCell ref="C122:C124"/>
    <mergeCell ref="A130:A132"/>
    <mergeCell ref="C130:C132"/>
    <mergeCell ref="E130:E132"/>
    <mergeCell ref="F130:F132"/>
    <mergeCell ref="L117:L118"/>
    <mergeCell ref="A122:A124"/>
    <mergeCell ref="B122:B124"/>
    <mergeCell ref="F117:F119"/>
    <mergeCell ref="C117:C119"/>
    <mergeCell ref="E122:E124"/>
    <mergeCell ref="F122:F124"/>
    <mergeCell ref="G122:G124"/>
    <mergeCell ref="H130:H132"/>
    <mergeCell ref="I130:I132"/>
    <mergeCell ref="G117:G119"/>
    <mergeCell ref="H117:H119"/>
    <mergeCell ref="A128:A129"/>
    <mergeCell ref="B128:B129"/>
    <mergeCell ref="C128:C129"/>
    <mergeCell ref="E128:E129"/>
    <mergeCell ref="F128:F129"/>
    <mergeCell ref="G128:G129"/>
    <mergeCell ref="H128:H129"/>
    <mergeCell ref="A145:A147"/>
    <mergeCell ref="B145:B147"/>
    <mergeCell ref="C145:C147"/>
    <mergeCell ref="F145:F147"/>
    <mergeCell ref="G145:G147"/>
    <mergeCell ref="H145:H147"/>
    <mergeCell ref="L133:M133"/>
    <mergeCell ref="C134:M134"/>
    <mergeCell ref="C155:J155"/>
    <mergeCell ref="E145:E147"/>
    <mergeCell ref="I145:I147"/>
    <mergeCell ref="C133:J133"/>
    <mergeCell ref="C171:J171"/>
    <mergeCell ref="C154:J154"/>
    <mergeCell ref="B150:J150"/>
    <mergeCell ref="A151:M151"/>
    <mergeCell ref="C152:K152"/>
    <mergeCell ref="L150:M150"/>
    <mergeCell ref="C169:J169"/>
    <mergeCell ref="C167:J167"/>
    <mergeCell ref="C168:J168"/>
    <mergeCell ref="C156:J156"/>
    <mergeCell ref="C157:J157"/>
    <mergeCell ref="C158:J158"/>
    <mergeCell ref="C166:J166"/>
    <mergeCell ref="C159:J159"/>
    <mergeCell ref="C162:J162"/>
    <mergeCell ref="C160:J160"/>
    <mergeCell ref="C161:J161"/>
    <mergeCell ref="C164:J164"/>
    <mergeCell ref="C165:J165"/>
    <mergeCell ref="C170:J170"/>
    <mergeCell ref="C163:J163"/>
    <mergeCell ref="L128:L129"/>
    <mergeCell ref="K1:M2"/>
    <mergeCell ref="K3:M4"/>
    <mergeCell ref="L148:M148"/>
    <mergeCell ref="B149:J149"/>
    <mergeCell ref="L149:M149"/>
    <mergeCell ref="C148:J148"/>
    <mergeCell ref="G114:G116"/>
    <mergeCell ref="I110:J110"/>
    <mergeCell ref="L112:L113"/>
    <mergeCell ref="I99:I101"/>
    <mergeCell ref="I104:I106"/>
    <mergeCell ref="G99:G103"/>
    <mergeCell ref="G105:G107"/>
    <mergeCell ref="G137:G141"/>
    <mergeCell ref="I114:I116"/>
    <mergeCell ref="H111:H113"/>
    <mergeCell ref="I111:I113"/>
    <mergeCell ref="L107:L108"/>
    <mergeCell ref="I144:J144"/>
    <mergeCell ref="L146:L147"/>
    <mergeCell ref="E139:E141"/>
    <mergeCell ref="B130:B132"/>
    <mergeCell ref="G130:G132"/>
    <mergeCell ref="A125:A127"/>
    <mergeCell ref="B125:B127"/>
    <mergeCell ref="C125:C127"/>
    <mergeCell ref="E125:E127"/>
    <mergeCell ref="F125:F127"/>
    <mergeCell ref="G125:G127"/>
    <mergeCell ref="H125:H127"/>
    <mergeCell ref="I125:I127"/>
    <mergeCell ref="I128:I129"/>
  </mergeCells>
  <printOptions horizontalCentered="1"/>
  <pageMargins left="0.78740157480314965" right="0.19685039370078741" top="0.39370078740157483" bottom="0.39370078740157483" header="0" footer="0"/>
  <pageSetup paperSize="9" scale="73" orientation="portrait" r:id="rId1"/>
  <rowBreaks count="2" manualBreakCount="2">
    <brk id="43" max="12" man="1"/>
    <brk id="151" max="1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81"/>
  <sheetViews>
    <sheetView view="pageBreakPreview" zoomScaleNormal="100" zoomScaleSheetLayoutView="100" workbookViewId="0">
      <selection activeCell="R22" sqref="R22"/>
    </sheetView>
  </sheetViews>
  <sheetFormatPr defaultRowHeight="12.75"/>
  <cols>
    <col min="1" max="4" width="2.85546875" style="1" customWidth="1"/>
    <col min="5" max="5" width="37.85546875" style="2" customWidth="1"/>
    <col min="6" max="6" width="3.42578125" style="28" customWidth="1"/>
    <col min="7" max="7" width="5.28515625" style="1" customWidth="1"/>
    <col min="8" max="8" width="2.85546875" style="8" customWidth="1"/>
    <col min="9" max="9" width="11.5703125" style="1" customWidth="1"/>
    <col min="10" max="10" width="7.28515625" style="1" customWidth="1"/>
    <col min="11" max="13" width="10" style="1" customWidth="1"/>
    <col min="14" max="14" width="26" style="1" customWidth="1"/>
    <col min="15" max="15" width="6.140625" style="37" customWidth="1"/>
    <col min="16" max="16384" width="9.140625" style="1"/>
  </cols>
  <sheetData>
    <row r="1" spans="1:15" s="11" customFormat="1" ht="18" customHeight="1">
      <c r="A1" s="2"/>
      <c r="B1" s="2"/>
      <c r="C1" s="2"/>
      <c r="D1" s="2"/>
      <c r="E1" s="2"/>
      <c r="F1" s="2"/>
      <c r="G1" s="2"/>
      <c r="H1" s="567"/>
      <c r="I1" s="567"/>
      <c r="J1" s="568"/>
      <c r="K1" s="882"/>
      <c r="L1" s="882"/>
      <c r="M1" s="941"/>
      <c r="N1" s="1502" t="s">
        <v>358</v>
      </c>
      <c r="O1" s="1314"/>
    </row>
    <row r="2" spans="1:15" s="11" customFormat="1" ht="12" customHeight="1">
      <c r="A2" s="2"/>
      <c r="B2" s="2"/>
      <c r="C2" s="2"/>
      <c r="D2" s="2"/>
      <c r="E2" s="2"/>
      <c r="F2" s="2"/>
      <c r="G2" s="2"/>
      <c r="H2" s="567"/>
      <c r="I2" s="567"/>
      <c r="J2" s="568"/>
      <c r="K2" s="882"/>
      <c r="L2" s="882"/>
      <c r="M2" s="882"/>
      <c r="N2" s="882"/>
      <c r="O2" s="882"/>
    </row>
    <row r="3" spans="1:15" s="2" customFormat="1" ht="15">
      <c r="A3" s="1433" t="s">
        <v>296</v>
      </c>
      <c r="B3" s="1433"/>
      <c r="C3" s="1433"/>
      <c r="D3" s="1433"/>
      <c r="E3" s="1433"/>
      <c r="F3" s="1433"/>
      <c r="G3" s="1433"/>
      <c r="H3" s="1433"/>
      <c r="I3" s="1433"/>
      <c r="J3" s="1433"/>
      <c r="K3" s="1433"/>
      <c r="L3" s="1433"/>
      <c r="M3" s="1433"/>
      <c r="N3" s="1433"/>
      <c r="O3" s="1433"/>
    </row>
    <row r="4" spans="1:15" s="2" customFormat="1" ht="15" customHeight="1">
      <c r="A4" s="1011"/>
      <c r="B4" s="1011"/>
      <c r="C4" s="1011"/>
      <c r="D4" s="1011"/>
      <c r="E4" s="1442" t="s">
        <v>353</v>
      </c>
      <c r="F4" s="1443"/>
      <c r="G4" s="1443"/>
      <c r="H4" s="1443"/>
      <c r="I4" s="1443"/>
      <c r="J4" s="1443"/>
      <c r="K4" s="1443"/>
      <c r="L4" s="1443"/>
      <c r="M4" s="1443"/>
      <c r="N4" s="1443"/>
      <c r="O4" s="1011"/>
    </row>
    <row r="5" spans="1:15" s="2" customFormat="1" ht="15">
      <c r="A5" s="1433" t="s">
        <v>53</v>
      </c>
      <c r="B5" s="1433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</row>
    <row r="6" spans="1:15" s="2" customFormat="1" ht="13.5" thickBot="1">
      <c r="F6" s="28"/>
      <c r="H6" s="50"/>
      <c r="N6" s="1434" t="s">
        <v>271</v>
      </c>
      <c r="O6" s="1434"/>
    </row>
    <row r="7" spans="1:15" s="11" customFormat="1" ht="32.25" customHeight="1">
      <c r="A7" s="1262" t="s">
        <v>157</v>
      </c>
      <c r="B7" s="1265" t="s">
        <v>0</v>
      </c>
      <c r="C7" s="1265" t="s">
        <v>1</v>
      </c>
      <c r="D7" s="1265" t="s">
        <v>158</v>
      </c>
      <c r="E7" s="1268" t="s">
        <v>17</v>
      </c>
      <c r="F7" s="1271" t="s">
        <v>2</v>
      </c>
      <c r="G7" s="1265" t="s">
        <v>297</v>
      </c>
      <c r="H7" s="1295" t="s">
        <v>3</v>
      </c>
      <c r="I7" s="1439" t="s">
        <v>159</v>
      </c>
      <c r="J7" s="1298" t="s">
        <v>4</v>
      </c>
      <c r="K7" s="1444" t="s">
        <v>160</v>
      </c>
      <c r="L7" s="1444" t="s">
        <v>371</v>
      </c>
      <c r="M7" s="1444" t="s">
        <v>355</v>
      </c>
      <c r="N7" s="1437" t="s">
        <v>298</v>
      </c>
      <c r="O7" s="1438"/>
    </row>
    <row r="8" spans="1:15" s="11" customFormat="1" ht="18" customHeight="1">
      <c r="A8" s="1263"/>
      <c r="B8" s="1266"/>
      <c r="C8" s="1266"/>
      <c r="D8" s="1266"/>
      <c r="E8" s="1269"/>
      <c r="F8" s="1272"/>
      <c r="G8" s="1505"/>
      <c r="H8" s="1296"/>
      <c r="I8" s="1440"/>
      <c r="J8" s="1299"/>
      <c r="K8" s="1445"/>
      <c r="L8" s="1445"/>
      <c r="M8" s="1445"/>
      <c r="N8" s="1277" t="s">
        <v>17</v>
      </c>
      <c r="O8" s="569" t="s">
        <v>243</v>
      </c>
    </row>
    <row r="9" spans="1:15" s="11" customFormat="1" ht="70.5" customHeight="1" thickBot="1">
      <c r="A9" s="1264"/>
      <c r="B9" s="1267"/>
      <c r="C9" s="1267"/>
      <c r="D9" s="1267"/>
      <c r="E9" s="1270"/>
      <c r="F9" s="1273"/>
      <c r="G9" s="1506"/>
      <c r="H9" s="1297"/>
      <c r="I9" s="1441"/>
      <c r="J9" s="1300"/>
      <c r="K9" s="1446"/>
      <c r="L9" s="1446"/>
      <c r="M9" s="1446"/>
      <c r="N9" s="1278"/>
      <c r="O9" s="264" t="s">
        <v>62</v>
      </c>
    </row>
    <row r="10" spans="1:15" s="2" customFormat="1" ht="15" customHeight="1">
      <c r="A10" s="1282" t="s">
        <v>24</v>
      </c>
      <c r="B10" s="1283"/>
      <c r="C10" s="1283"/>
      <c r="D10" s="1283"/>
      <c r="E10" s="1283"/>
      <c r="F10" s="1283"/>
      <c r="G10" s="1283"/>
      <c r="H10" s="1283"/>
      <c r="I10" s="1283"/>
      <c r="J10" s="1283"/>
      <c r="K10" s="1283"/>
      <c r="L10" s="1283"/>
      <c r="M10" s="1283"/>
      <c r="N10" s="1283"/>
      <c r="O10" s="1284"/>
    </row>
    <row r="11" spans="1:15" s="2" customFormat="1" ht="14.25" customHeight="1">
      <c r="A11" s="1239" t="s">
        <v>56</v>
      </c>
      <c r="B11" s="1240"/>
      <c r="C11" s="1240"/>
      <c r="D11" s="1240"/>
      <c r="E11" s="1240"/>
      <c r="F11" s="1240"/>
      <c r="G11" s="1240"/>
      <c r="H11" s="1240"/>
      <c r="I11" s="1240"/>
      <c r="J11" s="1240"/>
      <c r="K11" s="1240"/>
      <c r="L11" s="1240"/>
      <c r="M11" s="1240"/>
      <c r="N11" s="1240"/>
      <c r="O11" s="1241"/>
    </row>
    <row r="12" spans="1:15" s="2" customFormat="1" ht="13.5" customHeight="1">
      <c r="A12" s="152" t="s">
        <v>5</v>
      </c>
      <c r="B12" s="1242" t="s">
        <v>44</v>
      </c>
      <c r="C12" s="1242"/>
      <c r="D12" s="1242"/>
      <c r="E12" s="1242"/>
      <c r="F12" s="1242"/>
      <c r="G12" s="1242"/>
      <c r="H12" s="1242"/>
      <c r="I12" s="1242"/>
      <c r="J12" s="1242"/>
      <c r="K12" s="1242"/>
      <c r="L12" s="1242"/>
      <c r="M12" s="1242"/>
      <c r="N12" s="1242"/>
      <c r="O12" s="1243"/>
    </row>
    <row r="13" spans="1:15" s="2" customFormat="1" ht="15.75" customHeight="1">
      <c r="A13" s="153" t="s">
        <v>5</v>
      </c>
      <c r="B13" s="109" t="s">
        <v>5</v>
      </c>
      <c r="C13" s="1244" t="s">
        <v>46</v>
      </c>
      <c r="D13" s="1245"/>
      <c r="E13" s="1245"/>
      <c r="F13" s="1245"/>
      <c r="G13" s="1245"/>
      <c r="H13" s="1245"/>
      <c r="I13" s="1245"/>
      <c r="J13" s="1245"/>
      <c r="K13" s="1245"/>
      <c r="L13" s="1245"/>
      <c r="M13" s="1245"/>
      <c r="N13" s="1245"/>
      <c r="O13" s="1246"/>
    </row>
    <row r="14" spans="1:15" s="11" customFormat="1" ht="26.25" customHeight="1">
      <c r="A14" s="154" t="s">
        <v>5</v>
      </c>
      <c r="B14" s="47" t="s">
        <v>5</v>
      </c>
      <c r="C14" s="164" t="s">
        <v>5</v>
      </c>
      <c r="D14" s="971"/>
      <c r="E14" s="999" t="s">
        <v>74</v>
      </c>
      <c r="F14" s="599"/>
      <c r="G14" s="999"/>
      <c r="H14" s="599"/>
      <c r="I14" s="989"/>
      <c r="J14" s="65"/>
      <c r="K14" s="247"/>
      <c r="L14" s="247"/>
      <c r="M14" s="247"/>
      <c r="N14" s="401"/>
      <c r="O14" s="842"/>
    </row>
    <row r="15" spans="1:15" s="11" customFormat="1" ht="21.75" customHeight="1">
      <c r="A15" s="155"/>
      <c r="B15" s="83"/>
      <c r="C15" s="165"/>
      <c r="D15" s="150" t="s">
        <v>5</v>
      </c>
      <c r="E15" s="1095" t="s">
        <v>313</v>
      </c>
      <c r="F15" s="1455"/>
      <c r="G15" s="1365" t="s">
        <v>320</v>
      </c>
      <c r="H15" s="1471" t="s">
        <v>47</v>
      </c>
      <c r="I15" s="1356" t="s">
        <v>113</v>
      </c>
      <c r="J15" s="256" t="s">
        <v>9</v>
      </c>
      <c r="K15" s="615">
        <f>4622348+39737</f>
        <v>4662085</v>
      </c>
      <c r="L15" s="615">
        <f>4622348+39737</f>
        <v>4662085</v>
      </c>
      <c r="M15" s="615"/>
      <c r="N15" s="1175"/>
      <c r="O15" s="1371"/>
    </row>
    <row r="16" spans="1:15" s="11" customFormat="1" ht="18.75" customHeight="1">
      <c r="A16" s="154"/>
      <c r="B16" s="47"/>
      <c r="C16" s="164"/>
      <c r="D16" s="971"/>
      <c r="E16" s="1498"/>
      <c r="F16" s="1456"/>
      <c r="G16" s="1366"/>
      <c r="H16" s="1472"/>
      <c r="I16" s="1368"/>
      <c r="J16" s="594" t="s">
        <v>41</v>
      </c>
      <c r="K16" s="745">
        <f>713867+1210-2460</f>
        <v>712617</v>
      </c>
      <c r="L16" s="745">
        <f>713867+1210-2460-8788</f>
        <v>703829</v>
      </c>
      <c r="M16" s="958">
        <f>L16-K16</f>
        <v>-8788</v>
      </c>
      <c r="N16" s="1504"/>
      <c r="O16" s="1503"/>
    </row>
    <row r="17" spans="1:18" s="11" customFormat="1" ht="22.5" customHeight="1">
      <c r="A17" s="154"/>
      <c r="B17" s="379"/>
      <c r="C17" s="380"/>
      <c r="D17" s="971"/>
      <c r="E17" s="975" t="s">
        <v>314</v>
      </c>
      <c r="F17" s="1003"/>
      <c r="G17" s="1028"/>
      <c r="H17" s="1016"/>
      <c r="I17" s="1501"/>
      <c r="J17" s="214" t="s">
        <v>9</v>
      </c>
      <c r="K17" s="614">
        <v>98269</v>
      </c>
      <c r="L17" s="614">
        <v>98269</v>
      </c>
      <c r="M17" s="614"/>
      <c r="N17" s="1032"/>
      <c r="O17" s="1031"/>
    </row>
    <row r="18" spans="1:18" s="2" customFormat="1" ht="13.5" customHeight="1">
      <c r="A18" s="1078"/>
      <c r="B18" s="1231"/>
      <c r="C18" s="1470"/>
      <c r="D18" s="150" t="s">
        <v>6</v>
      </c>
      <c r="E18" s="1095" t="s">
        <v>164</v>
      </c>
      <c r="F18" s="1462"/>
      <c r="G18" s="1365" t="s">
        <v>320</v>
      </c>
      <c r="H18" s="1388" t="s">
        <v>47</v>
      </c>
      <c r="I18" s="592" t="s">
        <v>92</v>
      </c>
      <c r="J18" s="20" t="s">
        <v>9</v>
      </c>
      <c r="K18" s="744">
        <f>488023-1765</f>
        <v>486258</v>
      </c>
      <c r="L18" s="744">
        <f>488023-1765</f>
        <v>486258</v>
      </c>
      <c r="M18" s="744"/>
      <c r="N18" s="161"/>
      <c r="O18" s="96"/>
    </row>
    <row r="19" spans="1:18" s="2" customFormat="1" ht="15" customHeight="1">
      <c r="A19" s="1078"/>
      <c r="B19" s="1231"/>
      <c r="C19" s="1470"/>
      <c r="D19" s="971"/>
      <c r="E19" s="1233"/>
      <c r="F19" s="1463"/>
      <c r="G19" s="1366"/>
      <c r="H19" s="1382"/>
      <c r="I19" s="971"/>
      <c r="J19" s="595" t="s">
        <v>55</v>
      </c>
      <c r="K19" s="749">
        <f>3360+1118</f>
        <v>4478</v>
      </c>
      <c r="L19" s="749">
        <f>3360+1118</f>
        <v>4478</v>
      </c>
      <c r="M19" s="749"/>
      <c r="N19" s="1021"/>
      <c r="O19" s="100"/>
    </row>
    <row r="20" spans="1:18" s="2" customFormat="1" ht="14.25" customHeight="1">
      <c r="A20" s="969"/>
      <c r="B20" s="970"/>
      <c r="C20" s="1004"/>
      <c r="D20" s="971"/>
      <c r="E20" s="1233"/>
      <c r="F20" s="658"/>
      <c r="G20" s="1366"/>
      <c r="H20" s="1012"/>
      <c r="I20" s="971"/>
      <c r="J20" s="595" t="s">
        <v>165</v>
      </c>
      <c r="K20" s="749">
        <v>3181</v>
      </c>
      <c r="L20" s="749">
        <v>3181</v>
      </c>
      <c r="M20" s="749"/>
      <c r="N20" s="1021"/>
      <c r="O20" s="100"/>
    </row>
    <row r="21" spans="1:18" s="2" customFormat="1" ht="14.25" customHeight="1">
      <c r="A21" s="969"/>
      <c r="B21" s="970"/>
      <c r="C21" s="1004"/>
      <c r="D21" s="971"/>
      <c r="E21" s="1233"/>
      <c r="F21" s="1003"/>
      <c r="G21" s="1367"/>
      <c r="H21" s="1016"/>
      <c r="I21" s="971"/>
      <c r="J21" s="214"/>
      <c r="K21" s="614"/>
      <c r="L21" s="614"/>
      <c r="M21" s="614"/>
      <c r="N21" s="1021"/>
      <c r="O21" s="100"/>
    </row>
    <row r="22" spans="1:18" s="2" customFormat="1" ht="29.25" customHeight="1">
      <c r="A22" s="969"/>
      <c r="B22" s="981"/>
      <c r="C22" s="1001"/>
      <c r="D22" s="150" t="s">
        <v>7</v>
      </c>
      <c r="E22" s="986" t="s">
        <v>37</v>
      </c>
      <c r="F22" s="195"/>
      <c r="G22" s="755" t="s">
        <v>319</v>
      </c>
      <c r="H22" s="821" t="s">
        <v>47</v>
      </c>
      <c r="I22" s="1025" t="s">
        <v>92</v>
      </c>
      <c r="J22" s="13" t="s">
        <v>9</v>
      </c>
      <c r="K22" s="746">
        <f>27514+1765</f>
        <v>29279</v>
      </c>
      <c r="L22" s="746">
        <f>27514+1765</f>
        <v>29279</v>
      </c>
      <c r="M22" s="746"/>
      <c r="N22" s="161"/>
      <c r="O22" s="96"/>
    </row>
    <row r="23" spans="1:18" s="2" customFormat="1" ht="50.25" customHeight="1">
      <c r="A23" s="969"/>
      <c r="B23" s="981"/>
      <c r="C23" s="1001"/>
      <c r="D23" s="987" t="s">
        <v>8</v>
      </c>
      <c r="E23" s="983" t="s">
        <v>225</v>
      </c>
      <c r="F23" s="182" t="s">
        <v>299</v>
      </c>
      <c r="G23" s="660" t="s">
        <v>316</v>
      </c>
      <c r="H23" s="183" t="s">
        <v>47</v>
      </c>
      <c r="I23" s="589" t="s">
        <v>69</v>
      </c>
      <c r="J23" s="13" t="s">
        <v>9</v>
      </c>
      <c r="K23" s="746">
        <f>14481-3395</f>
        <v>11086</v>
      </c>
      <c r="L23" s="746">
        <f>14481-3395</f>
        <v>11086</v>
      </c>
      <c r="M23" s="746"/>
      <c r="N23" s="69"/>
      <c r="O23" s="41"/>
    </row>
    <row r="24" spans="1:18" s="2" customFormat="1" ht="17.25" customHeight="1">
      <c r="A24" s="1078"/>
      <c r="B24" s="1231"/>
      <c r="C24" s="1470"/>
      <c r="D24" s="971" t="s">
        <v>26</v>
      </c>
      <c r="E24" s="999" t="s">
        <v>137</v>
      </c>
      <c r="F24" s="1375"/>
      <c r="G24" s="1359" t="s">
        <v>315</v>
      </c>
      <c r="H24" s="1382" t="s">
        <v>47</v>
      </c>
      <c r="I24" s="1368" t="s">
        <v>120</v>
      </c>
      <c r="J24" s="214"/>
      <c r="K24" s="614"/>
      <c r="L24" s="614"/>
      <c r="M24" s="614"/>
      <c r="N24" s="189"/>
      <c r="O24" s="190"/>
    </row>
    <row r="25" spans="1:18" s="2" customFormat="1" ht="25.5" customHeight="1">
      <c r="A25" s="1078"/>
      <c r="B25" s="1231"/>
      <c r="C25" s="1470"/>
      <c r="D25" s="971"/>
      <c r="E25" s="187" t="s">
        <v>288</v>
      </c>
      <c r="F25" s="1375"/>
      <c r="G25" s="1385"/>
      <c r="H25" s="1382"/>
      <c r="I25" s="1368"/>
      <c r="J25" s="595" t="s">
        <v>9</v>
      </c>
      <c r="K25" s="748">
        <v>2028</v>
      </c>
      <c r="L25" s="748">
        <v>2028</v>
      </c>
      <c r="M25" s="748"/>
      <c r="N25" s="192"/>
      <c r="O25" s="194"/>
    </row>
    <row r="26" spans="1:18" s="2" customFormat="1" ht="39.75" customHeight="1">
      <c r="A26" s="1078"/>
      <c r="B26" s="1231"/>
      <c r="C26" s="1470"/>
      <c r="D26" s="971"/>
      <c r="E26" s="187" t="s">
        <v>171</v>
      </c>
      <c r="F26" s="1375"/>
      <c r="G26" s="1385"/>
      <c r="H26" s="1382"/>
      <c r="I26" s="1368"/>
      <c r="J26" s="595" t="s">
        <v>9</v>
      </c>
      <c r="K26" s="749">
        <f>150/3.4528*1000</f>
        <v>43443</v>
      </c>
      <c r="L26" s="749">
        <f>150/3.4528*1000</f>
        <v>43443</v>
      </c>
      <c r="M26" s="749"/>
      <c r="N26" s="283"/>
      <c r="O26" s="202"/>
      <c r="R26" s="383"/>
    </row>
    <row r="27" spans="1:18" s="2" customFormat="1" ht="39" customHeight="1">
      <c r="A27" s="1078"/>
      <c r="B27" s="1231"/>
      <c r="C27" s="1470"/>
      <c r="D27" s="971"/>
      <c r="E27" s="1353" t="s">
        <v>107</v>
      </c>
      <c r="F27" s="1375"/>
      <c r="G27" s="1385"/>
      <c r="H27" s="1382"/>
      <c r="I27" s="971"/>
      <c r="J27" s="596" t="s">
        <v>9</v>
      </c>
      <c r="K27" s="747">
        <f>120/3.4528*1000</f>
        <v>34754</v>
      </c>
      <c r="L27" s="747">
        <f>120/3.4528*1000</f>
        <v>34754</v>
      </c>
      <c r="M27" s="747"/>
      <c r="N27" s="576"/>
      <c r="O27" s="381"/>
    </row>
    <row r="28" spans="1:18" s="2" customFormat="1" ht="12.75" customHeight="1">
      <c r="A28" s="1078"/>
      <c r="B28" s="1231"/>
      <c r="C28" s="1470"/>
      <c r="D28" s="971"/>
      <c r="E28" s="1354"/>
      <c r="F28" s="1375"/>
      <c r="G28" s="1385"/>
      <c r="H28" s="1382"/>
      <c r="I28" s="971"/>
      <c r="J28" s="555"/>
      <c r="K28" s="614"/>
      <c r="L28" s="614"/>
      <c r="M28" s="614"/>
      <c r="N28" s="577"/>
      <c r="O28" s="843"/>
    </row>
    <row r="29" spans="1:18" s="2" customFormat="1" ht="24.75" customHeight="1">
      <c r="A29" s="1078"/>
      <c r="B29" s="1231"/>
      <c r="C29" s="1470"/>
      <c r="D29" s="971"/>
      <c r="E29" s="1354"/>
      <c r="F29" s="1375"/>
      <c r="G29" s="1385"/>
      <c r="H29" s="1382"/>
      <c r="I29" s="971"/>
      <c r="J29" s="555"/>
      <c r="K29" s="614"/>
      <c r="L29" s="614"/>
      <c r="M29" s="614"/>
      <c r="N29" s="578"/>
      <c r="O29" s="844"/>
    </row>
    <row r="30" spans="1:18" s="2" customFormat="1" ht="16.5" customHeight="1">
      <c r="A30" s="1078"/>
      <c r="B30" s="1231"/>
      <c r="C30" s="1470"/>
      <c r="D30" s="971"/>
      <c r="E30" s="1498"/>
      <c r="F30" s="1375"/>
      <c r="G30" s="1385"/>
      <c r="H30" s="1382"/>
      <c r="I30" s="971"/>
      <c r="J30" s="597"/>
      <c r="K30" s="745"/>
      <c r="L30" s="745"/>
      <c r="M30" s="745"/>
      <c r="N30" s="578"/>
      <c r="O30" s="844"/>
    </row>
    <row r="31" spans="1:18" s="2" customFormat="1" ht="40.5" customHeight="1">
      <c r="A31" s="1078"/>
      <c r="B31" s="1231"/>
      <c r="C31" s="1470"/>
      <c r="D31" s="974"/>
      <c r="E31" s="187" t="s">
        <v>101</v>
      </c>
      <c r="F31" s="1375"/>
      <c r="G31" s="1461"/>
      <c r="H31" s="1382"/>
      <c r="I31" s="1005"/>
      <c r="J31" s="595" t="s">
        <v>9</v>
      </c>
      <c r="K31" s="749">
        <f>50/3.4528*1000</f>
        <v>14481</v>
      </c>
      <c r="L31" s="749">
        <f>50/3.4528*1000</f>
        <v>14481</v>
      </c>
      <c r="M31" s="749"/>
      <c r="N31" s="387"/>
      <c r="O31" s="138"/>
    </row>
    <row r="32" spans="1:18" s="2" customFormat="1" ht="39" customHeight="1">
      <c r="A32" s="969"/>
      <c r="B32" s="970"/>
      <c r="C32" s="1004"/>
      <c r="D32" s="150" t="s">
        <v>28</v>
      </c>
      <c r="E32" s="972" t="s">
        <v>289</v>
      </c>
      <c r="F32" s="1464"/>
      <c r="G32" s="1467" t="s">
        <v>346</v>
      </c>
      <c r="H32" s="659" t="s">
        <v>47</v>
      </c>
      <c r="I32" s="1380" t="s">
        <v>301</v>
      </c>
      <c r="J32" s="20" t="s">
        <v>9</v>
      </c>
      <c r="K32" s="615"/>
      <c r="L32" s="615"/>
      <c r="M32" s="615"/>
      <c r="N32" s="234"/>
      <c r="O32" s="845"/>
    </row>
    <row r="33" spans="1:17" s="2" customFormat="1" ht="26.25" customHeight="1">
      <c r="A33" s="969"/>
      <c r="B33" s="970"/>
      <c r="C33" s="1004"/>
      <c r="D33" s="219"/>
      <c r="E33" s="206" t="s">
        <v>182</v>
      </c>
      <c r="F33" s="1499"/>
      <c r="G33" s="1468"/>
      <c r="H33" s="971"/>
      <c r="I33" s="1490"/>
      <c r="J33" s="595" t="s">
        <v>9</v>
      </c>
      <c r="K33" s="745">
        <f>100/3.4528*1000</f>
        <v>28962</v>
      </c>
      <c r="L33" s="745">
        <f>100/3.4528*1000</f>
        <v>28962</v>
      </c>
      <c r="M33" s="745"/>
      <c r="N33" s="1021"/>
      <c r="O33" s="846"/>
    </row>
    <row r="34" spans="1:17" s="2" customFormat="1" ht="15.75" customHeight="1">
      <c r="A34" s="969"/>
      <c r="B34" s="970"/>
      <c r="C34" s="1004"/>
      <c r="D34" s="218"/>
      <c r="E34" s="561" t="s">
        <v>224</v>
      </c>
      <c r="F34" s="1500"/>
      <c r="G34" s="1469"/>
      <c r="H34" s="1013"/>
      <c r="I34" s="245"/>
      <c r="J34" s="598" t="s">
        <v>9</v>
      </c>
      <c r="K34" s="750">
        <f>(283.9+21.3+857.2+857.2)/3.4528*1000</f>
        <v>584917</v>
      </c>
      <c r="L34" s="750">
        <f>(283.9+21.3+857.2+857.2)/3.4528*1000</f>
        <v>584917</v>
      </c>
      <c r="M34" s="750"/>
      <c r="N34" s="685"/>
      <c r="O34" s="847"/>
    </row>
    <row r="35" spans="1:17" s="2" customFormat="1" ht="29.25" customHeight="1">
      <c r="A35" s="969"/>
      <c r="B35" s="981"/>
      <c r="C35" s="1001"/>
      <c r="D35" s="286" t="s">
        <v>29</v>
      </c>
      <c r="E35" s="985" t="s">
        <v>136</v>
      </c>
      <c r="F35" s="988"/>
      <c r="G35" s="762" t="s">
        <v>320</v>
      </c>
      <c r="H35" s="815" t="s">
        <v>47</v>
      </c>
      <c r="I35" s="590" t="s">
        <v>66</v>
      </c>
      <c r="J35" s="12" t="s">
        <v>9</v>
      </c>
      <c r="K35" s="616">
        <f>64.3/3.4528*1000</f>
        <v>18623</v>
      </c>
      <c r="L35" s="616">
        <f>64.3/3.4528*1000</f>
        <v>18623</v>
      </c>
      <c r="M35" s="616"/>
      <c r="N35" s="1029"/>
      <c r="O35" s="62"/>
    </row>
    <row r="36" spans="1:17" s="2" customFormat="1" ht="26.25" customHeight="1">
      <c r="A36" s="969"/>
      <c r="B36" s="981"/>
      <c r="C36" s="1001"/>
      <c r="D36" s="150" t="s">
        <v>30</v>
      </c>
      <c r="E36" s="1095" t="s">
        <v>168</v>
      </c>
      <c r="F36" s="820"/>
      <c r="G36" s="1363" t="s">
        <v>345</v>
      </c>
      <c r="H36" s="1027" t="s">
        <v>47</v>
      </c>
      <c r="I36" s="1356" t="s">
        <v>114</v>
      </c>
      <c r="J36" s="256" t="s">
        <v>9</v>
      </c>
      <c r="K36" s="615">
        <f>63.8/3.4528*1000</f>
        <v>18478</v>
      </c>
      <c r="L36" s="615">
        <f>63.8/3.4528*1000</f>
        <v>18478</v>
      </c>
      <c r="M36" s="615"/>
      <c r="N36" s="600"/>
      <c r="O36" s="848"/>
    </row>
    <row r="37" spans="1:17" s="2" customFormat="1" ht="38.25" customHeight="1">
      <c r="A37" s="156"/>
      <c r="B37" s="981"/>
      <c r="C37" s="1001"/>
      <c r="D37" s="286"/>
      <c r="E37" s="1201"/>
      <c r="F37" s="1018"/>
      <c r="G37" s="1364"/>
      <c r="H37" s="1026"/>
      <c r="I37" s="1501"/>
      <c r="J37" s="12" t="s">
        <v>9</v>
      </c>
      <c r="K37" s="616">
        <f>3/3.4528*1000</f>
        <v>869</v>
      </c>
      <c r="L37" s="616">
        <f>3/3.4528*1000</f>
        <v>869</v>
      </c>
      <c r="M37" s="616"/>
      <c r="N37" s="1030"/>
      <c r="O37" s="138"/>
    </row>
    <row r="38" spans="1:17" s="2" customFormat="1" ht="30.75" customHeight="1">
      <c r="A38" s="156"/>
      <c r="B38" s="981"/>
      <c r="C38" s="1004"/>
      <c r="D38" s="1009" t="s">
        <v>31</v>
      </c>
      <c r="E38" s="1095" t="s">
        <v>290</v>
      </c>
      <c r="F38" s="820"/>
      <c r="G38" s="1359" t="s">
        <v>317</v>
      </c>
      <c r="H38" s="821" t="s">
        <v>47</v>
      </c>
      <c r="I38" s="1380" t="s">
        <v>141</v>
      </c>
      <c r="J38" s="763" t="s">
        <v>121</v>
      </c>
      <c r="K38" s="615">
        <f>23720+1965</f>
        <v>25685</v>
      </c>
      <c r="L38" s="615">
        <f>23720+1965</f>
        <v>25685</v>
      </c>
      <c r="M38" s="615"/>
      <c r="N38" s="990"/>
      <c r="O38" s="849"/>
    </row>
    <row r="39" spans="1:17" s="2" customFormat="1" ht="59.25" customHeight="1">
      <c r="A39" s="156"/>
      <c r="B39" s="970"/>
      <c r="C39" s="1001"/>
      <c r="D39" s="286"/>
      <c r="E39" s="1494"/>
      <c r="F39" s="1024"/>
      <c r="G39" s="1486"/>
      <c r="H39" s="1026"/>
      <c r="I39" s="1495"/>
      <c r="J39" s="65" t="s">
        <v>349</v>
      </c>
      <c r="K39" s="616">
        <v>18</v>
      </c>
      <c r="L39" s="616">
        <v>18</v>
      </c>
      <c r="M39" s="616"/>
      <c r="N39" s="1030"/>
      <c r="O39" s="850"/>
    </row>
    <row r="40" spans="1:17" s="2" customFormat="1" ht="31.5" customHeight="1">
      <c r="A40" s="1078"/>
      <c r="B40" s="1231"/>
      <c r="C40" s="1460"/>
      <c r="D40" s="971" t="s">
        <v>27</v>
      </c>
      <c r="E40" s="1233" t="s">
        <v>291</v>
      </c>
      <c r="F40" s="1375"/>
      <c r="G40" s="1377" t="s">
        <v>320</v>
      </c>
      <c r="H40" s="1382"/>
      <c r="I40" s="591" t="s">
        <v>65</v>
      </c>
      <c r="J40" s="12" t="s">
        <v>9</v>
      </c>
      <c r="K40" s="616">
        <f>140/3.4528*1000</f>
        <v>40547</v>
      </c>
      <c r="L40" s="616">
        <f>140/3.4528*1000</f>
        <v>40547</v>
      </c>
      <c r="M40" s="616"/>
      <c r="N40" s="1030"/>
      <c r="O40" s="138"/>
    </row>
    <row r="41" spans="1:17" s="2" customFormat="1" ht="38.25" customHeight="1">
      <c r="A41" s="1152"/>
      <c r="B41" s="1496"/>
      <c r="C41" s="1497"/>
      <c r="D41" s="286"/>
      <c r="E41" s="1201"/>
      <c r="F41" s="1376"/>
      <c r="G41" s="1378"/>
      <c r="H41" s="1387"/>
      <c r="I41" s="593" t="s">
        <v>71</v>
      </c>
      <c r="J41" s="13" t="s">
        <v>9</v>
      </c>
      <c r="K41" s="616">
        <f>27/3.4528*1000</f>
        <v>7820</v>
      </c>
      <c r="L41" s="616">
        <f>27/3.4528*1000</f>
        <v>7820</v>
      </c>
      <c r="M41" s="616"/>
      <c r="N41" s="579"/>
      <c r="O41" s="95"/>
    </row>
    <row r="42" spans="1:17" s="2" customFormat="1" ht="45.75" customHeight="1">
      <c r="A42" s="156"/>
      <c r="B42" s="981"/>
      <c r="C42" s="1004"/>
      <c r="D42" s="971" t="s">
        <v>32</v>
      </c>
      <c r="E42" s="989" t="s">
        <v>226</v>
      </c>
      <c r="F42" s="1369"/>
      <c r="G42" s="1385" t="s">
        <v>344</v>
      </c>
      <c r="H42" s="1383" t="s">
        <v>47</v>
      </c>
      <c r="I42" s="655" t="s">
        <v>71</v>
      </c>
      <c r="J42" s="65" t="s">
        <v>9</v>
      </c>
      <c r="K42" s="614">
        <f>85/3.4528*1000</f>
        <v>24618</v>
      </c>
      <c r="L42" s="614">
        <f>85/3.4528*1000</f>
        <v>24618</v>
      </c>
      <c r="M42" s="614"/>
      <c r="N42" s="163"/>
      <c r="O42" s="62"/>
    </row>
    <row r="43" spans="1:17" s="2" customFormat="1" ht="27.75" customHeight="1">
      <c r="A43" s="156"/>
      <c r="B43" s="981"/>
      <c r="C43" s="1004"/>
      <c r="D43" s="971"/>
      <c r="E43" s="1014" t="s">
        <v>111</v>
      </c>
      <c r="F43" s="1369"/>
      <c r="G43" s="1385"/>
      <c r="H43" s="1383"/>
      <c r="I43" s="1023" t="s">
        <v>92</v>
      </c>
      <c r="J43" s="65" t="s">
        <v>9</v>
      </c>
      <c r="K43" s="746">
        <f>15/3.4528*1000</f>
        <v>4344</v>
      </c>
      <c r="L43" s="746">
        <f>15/3.4528*1000</f>
        <v>4344</v>
      </c>
      <c r="M43" s="746"/>
      <c r="N43" s="401"/>
      <c r="O43" s="123"/>
    </row>
    <row r="44" spans="1:17" s="2" customFormat="1" ht="39.75" customHeight="1">
      <c r="A44" s="156"/>
      <c r="B44" s="981"/>
      <c r="C44" s="1004"/>
      <c r="D44" s="150" t="s">
        <v>33</v>
      </c>
      <c r="E44" s="1014" t="s">
        <v>292</v>
      </c>
      <c r="F44" s="820"/>
      <c r="G44" s="1386"/>
      <c r="H44" s="821" t="s">
        <v>47</v>
      </c>
      <c r="I44" s="592" t="s">
        <v>71</v>
      </c>
      <c r="J44" s="149" t="s">
        <v>9</v>
      </c>
      <c r="K44" s="746">
        <f>49815+13666</f>
        <v>63481</v>
      </c>
      <c r="L44" s="746">
        <f>49815+13666</f>
        <v>63481</v>
      </c>
      <c r="M44" s="746"/>
      <c r="N44" s="196"/>
      <c r="O44" s="222"/>
      <c r="P44" s="686"/>
    </row>
    <row r="45" spans="1:17" s="2" customFormat="1" ht="42" customHeight="1">
      <c r="A45" s="156"/>
      <c r="B45" s="981"/>
      <c r="C45" s="1004"/>
      <c r="D45" s="987" t="s">
        <v>34</v>
      </c>
      <c r="E45" s="983" t="s">
        <v>139</v>
      </c>
      <c r="F45" s="1019"/>
      <c r="G45" s="761" t="s">
        <v>318</v>
      </c>
      <c r="H45" s="183" t="s">
        <v>47</v>
      </c>
      <c r="I45" s="593" t="s">
        <v>113</v>
      </c>
      <c r="J45" s="626" t="s">
        <v>9</v>
      </c>
      <c r="K45" s="746">
        <f>16.2/3.4528*1000</f>
        <v>4692</v>
      </c>
      <c r="L45" s="746">
        <f>16.2/3.4528*1000</f>
        <v>4692</v>
      </c>
      <c r="M45" s="746"/>
      <c r="N45" s="196"/>
      <c r="O45" s="95"/>
      <c r="P45" s="15"/>
      <c r="Q45" s="15"/>
    </row>
    <row r="46" spans="1:17" s="2" customFormat="1" ht="15" customHeight="1" thickBot="1">
      <c r="A46" s="157"/>
      <c r="B46" s="980"/>
      <c r="C46" s="166"/>
      <c r="D46" s="167"/>
      <c r="E46" s="167"/>
      <c r="F46" s="167"/>
      <c r="G46" s="167"/>
      <c r="H46" s="167"/>
      <c r="I46" s="1318" t="s">
        <v>95</v>
      </c>
      <c r="J46" s="1319"/>
      <c r="K46" s="617">
        <f>SUM(K15:K45)</f>
        <v>6925013</v>
      </c>
      <c r="L46" s="617">
        <f>SUM(L15:L45)</f>
        <v>6916225</v>
      </c>
      <c r="M46" s="617">
        <f>SUM(M15:M45)</f>
        <v>-8788</v>
      </c>
      <c r="N46" s="580"/>
      <c r="O46" s="168"/>
    </row>
    <row r="47" spans="1:17" s="2" customFormat="1" ht="19.5" customHeight="1">
      <c r="A47" s="1078" t="s">
        <v>5</v>
      </c>
      <c r="B47" s="1231" t="s">
        <v>5</v>
      </c>
      <c r="C47" s="1205" t="s">
        <v>6</v>
      </c>
      <c r="D47" s="1016"/>
      <c r="E47" s="1233" t="s">
        <v>110</v>
      </c>
      <c r="F47" s="1369"/>
      <c r="G47" s="1343" t="s">
        <v>323</v>
      </c>
      <c r="H47" s="1383" t="s">
        <v>47</v>
      </c>
      <c r="I47" s="1373" t="s">
        <v>113</v>
      </c>
      <c r="J47" s="84" t="s">
        <v>9</v>
      </c>
      <c r="K47" s="616">
        <f>449.7/3.4528*1000</f>
        <v>130242</v>
      </c>
      <c r="L47" s="616">
        <f>449.7/3.4528*1000</f>
        <v>130242</v>
      </c>
      <c r="M47" s="616"/>
      <c r="N47" s="1360"/>
      <c r="O47" s="1291"/>
    </row>
    <row r="48" spans="1:17" s="2" customFormat="1" ht="14.25" customHeight="1" thickBot="1">
      <c r="A48" s="1079"/>
      <c r="B48" s="1232"/>
      <c r="C48" s="1193"/>
      <c r="D48" s="1017"/>
      <c r="E48" s="1229"/>
      <c r="F48" s="1370"/>
      <c r="G48" s="1345"/>
      <c r="H48" s="1384"/>
      <c r="I48" s="1374"/>
      <c r="J48" s="994" t="s">
        <v>12</v>
      </c>
      <c r="K48" s="618">
        <f t="shared" ref="K48:L48" si="0">K47</f>
        <v>130242</v>
      </c>
      <c r="L48" s="618">
        <f t="shared" si="0"/>
        <v>130242</v>
      </c>
      <c r="M48" s="618"/>
      <c r="N48" s="1361"/>
      <c r="O48" s="1292"/>
    </row>
    <row r="49" spans="1:16" s="2" customFormat="1" ht="27" customHeight="1">
      <c r="A49" s="1078" t="s">
        <v>5</v>
      </c>
      <c r="B49" s="1231" t="s">
        <v>5</v>
      </c>
      <c r="C49" s="1205" t="s">
        <v>7</v>
      </c>
      <c r="D49" s="1016"/>
      <c r="E49" s="1233" t="s">
        <v>42</v>
      </c>
      <c r="F49" s="1369"/>
      <c r="G49" s="1343" t="s">
        <v>321</v>
      </c>
      <c r="H49" s="1383" t="s">
        <v>47</v>
      </c>
      <c r="I49" s="1373" t="s">
        <v>113</v>
      </c>
      <c r="J49" s="18" t="s">
        <v>9</v>
      </c>
      <c r="K49" s="616">
        <f>244700+6477</f>
        <v>251177</v>
      </c>
      <c r="L49" s="616">
        <f>244700+6477</f>
        <v>251177</v>
      </c>
      <c r="M49" s="616"/>
      <c r="N49" s="1379"/>
      <c r="O49" s="967"/>
    </row>
    <row r="50" spans="1:16" s="2" customFormat="1" ht="15.75" customHeight="1" thickBot="1">
      <c r="A50" s="1079"/>
      <c r="B50" s="1232"/>
      <c r="C50" s="1193"/>
      <c r="D50" s="1017"/>
      <c r="E50" s="1229"/>
      <c r="F50" s="1370"/>
      <c r="G50" s="1345"/>
      <c r="H50" s="1384"/>
      <c r="I50" s="1374"/>
      <c r="J50" s="994" t="s">
        <v>12</v>
      </c>
      <c r="K50" s="618">
        <f t="shared" ref="K50" si="1">K49</f>
        <v>251177</v>
      </c>
      <c r="L50" s="618">
        <f t="shared" ref="L50" si="2">L49</f>
        <v>251177</v>
      </c>
      <c r="M50" s="618"/>
      <c r="N50" s="1390"/>
      <c r="O50" s="968"/>
    </row>
    <row r="51" spans="1:16" s="2" customFormat="1" ht="26.25" customHeight="1">
      <c r="A51" s="1138" t="s">
        <v>5</v>
      </c>
      <c r="B51" s="1139" t="s">
        <v>5</v>
      </c>
      <c r="C51" s="1192" t="s">
        <v>8</v>
      </c>
      <c r="D51" s="1015"/>
      <c r="E51" s="1228" t="s">
        <v>128</v>
      </c>
      <c r="F51" s="1398"/>
      <c r="G51" s="1343" t="s">
        <v>322</v>
      </c>
      <c r="H51" s="1397" t="s">
        <v>47</v>
      </c>
      <c r="I51" s="1373" t="s">
        <v>113</v>
      </c>
      <c r="J51" s="570" t="s">
        <v>9</v>
      </c>
      <c r="K51" s="718">
        <f>93345+13403</f>
        <v>106748</v>
      </c>
      <c r="L51" s="718">
        <f>93345+13403</f>
        <v>106748</v>
      </c>
      <c r="M51" s="718"/>
      <c r="N51" s="1360"/>
      <c r="O51" s="1226"/>
    </row>
    <row r="52" spans="1:16" s="2" customFormat="1" ht="17.25" customHeight="1" thickBot="1">
      <c r="A52" s="1079"/>
      <c r="B52" s="1081"/>
      <c r="C52" s="1193"/>
      <c r="D52" s="1017"/>
      <c r="E52" s="1229"/>
      <c r="F52" s="1370"/>
      <c r="G52" s="1345"/>
      <c r="H52" s="1384"/>
      <c r="I52" s="1374"/>
      <c r="J52" s="571" t="s">
        <v>12</v>
      </c>
      <c r="K52" s="619">
        <f t="shared" ref="K52" si="3">K51</f>
        <v>106748</v>
      </c>
      <c r="L52" s="619">
        <f t="shared" ref="L52" si="4">L51</f>
        <v>106748</v>
      </c>
      <c r="M52" s="619"/>
      <c r="N52" s="1361"/>
      <c r="O52" s="1227"/>
      <c r="P52" s="686"/>
    </row>
    <row r="53" spans="1:16" s="2" customFormat="1" ht="29.25" customHeight="1">
      <c r="A53" s="1138" t="s">
        <v>5</v>
      </c>
      <c r="B53" s="1139" t="s">
        <v>5</v>
      </c>
      <c r="C53" s="1192" t="s">
        <v>26</v>
      </c>
      <c r="D53" s="1015"/>
      <c r="E53" s="1228" t="s">
        <v>148</v>
      </c>
      <c r="F53" s="1398"/>
      <c r="G53" s="1399" t="s">
        <v>332</v>
      </c>
      <c r="H53" s="1397" t="s">
        <v>47</v>
      </c>
      <c r="I53" s="799" t="s">
        <v>92</v>
      </c>
      <c r="J53" s="84" t="s">
        <v>9</v>
      </c>
      <c r="K53" s="620">
        <f>42.4/3.4528*1000</f>
        <v>12280</v>
      </c>
      <c r="L53" s="620">
        <f>42.4/3.4528*1000</f>
        <v>12280</v>
      </c>
      <c r="M53" s="620"/>
      <c r="N53" s="1020"/>
      <c r="O53" s="967"/>
    </row>
    <row r="54" spans="1:16" s="2" customFormat="1" ht="14.25" customHeight="1" thickBot="1">
      <c r="A54" s="1079"/>
      <c r="B54" s="1081"/>
      <c r="C54" s="1193"/>
      <c r="D54" s="1017"/>
      <c r="E54" s="1492"/>
      <c r="F54" s="1370"/>
      <c r="G54" s="1345"/>
      <c r="H54" s="1384"/>
      <c r="I54" s="933"/>
      <c r="J54" s="994" t="s">
        <v>12</v>
      </c>
      <c r="K54" s="618">
        <f t="shared" ref="K54:L54" si="5">SUM(K53:K53)</f>
        <v>12280</v>
      </c>
      <c r="L54" s="618">
        <f t="shared" si="5"/>
        <v>12280</v>
      </c>
      <c r="M54" s="618"/>
      <c r="N54" s="552"/>
      <c r="O54" s="977"/>
    </row>
    <row r="55" spans="1:16" s="2" customFormat="1" ht="25.5" customHeight="1">
      <c r="A55" s="969" t="s">
        <v>5</v>
      </c>
      <c r="B55" s="101" t="s">
        <v>5</v>
      </c>
      <c r="C55" s="170" t="s">
        <v>28</v>
      </c>
      <c r="D55" s="1016"/>
      <c r="E55" s="999" t="s">
        <v>130</v>
      </c>
      <c r="F55" s="337"/>
      <c r="G55" s="338"/>
      <c r="H55" s="1005"/>
      <c r="I55" s="385"/>
      <c r="J55" s="18" t="s">
        <v>9</v>
      </c>
      <c r="K55" s="616"/>
      <c r="L55" s="616"/>
      <c r="M55" s="616"/>
      <c r="N55" s="66"/>
      <c r="O55" s="62"/>
    </row>
    <row r="56" spans="1:16" s="2" customFormat="1" ht="49.5" customHeight="1">
      <c r="A56" s="969"/>
      <c r="B56" s="101"/>
      <c r="C56" s="170"/>
      <c r="D56" s="183" t="s">
        <v>5</v>
      </c>
      <c r="E56" s="983" t="s">
        <v>112</v>
      </c>
      <c r="F56" s="124"/>
      <c r="G56" s="756" t="s">
        <v>331</v>
      </c>
      <c r="H56" s="125" t="s">
        <v>47</v>
      </c>
      <c r="I56" s="254" t="s">
        <v>113</v>
      </c>
      <c r="J56" s="18" t="s">
        <v>9</v>
      </c>
      <c r="K56" s="746">
        <v>37187</v>
      </c>
      <c r="L56" s="746">
        <v>37187</v>
      </c>
      <c r="M56" s="746"/>
      <c r="N56" s="66"/>
      <c r="O56" s="62"/>
    </row>
    <row r="57" spans="1:16" s="2" customFormat="1" ht="89.25" customHeight="1">
      <c r="A57" s="969"/>
      <c r="B57" s="101"/>
      <c r="C57" s="170"/>
      <c r="D57" s="259" t="s">
        <v>6</v>
      </c>
      <c r="E57" s="260" t="s">
        <v>206</v>
      </c>
      <c r="F57" s="662"/>
      <c r="G57" s="867" t="s">
        <v>330</v>
      </c>
      <c r="H57" s="663" t="s">
        <v>48</v>
      </c>
      <c r="I57" s="1391" t="s">
        <v>115</v>
      </c>
      <c r="J57" s="186" t="s">
        <v>9</v>
      </c>
      <c r="K57" s="615">
        <f>92/3.4528*1000</f>
        <v>26645</v>
      </c>
      <c r="L57" s="615">
        <f>92/3.4528*1000</f>
        <v>26645</v>
      </c>
      <c r="M57" s="615"/>
      <c r="N57" s="581"/>
      <c r="O57" s="199"/>
      <c r="P57" s="686"/>
    </row>
    <row r="58" spans="1:16" s="2" customFormat="1" ht="54" customHeight="1">
      <c r="A58" s="969"/>
      <c r="B58" s="101"/>
      <c r="C58" s="170"/>
      <c r="D58" s="815" t="s">
        <v>7</v>
      </c>
      <c r="E58" s="258" t="s">
        <v>193</v>
      </c>
      <c r="F58" s="661"/>
      <c r="G58" s="866" t="s">
        <v>330</v>
      </c>
      <c r="H58" s="815"/>
      <c r="I58" s="1493"/>
      <c r="J58" s="572" t="s">
        <v>9</v>
      </c>
      <c r="K58" s="621">
        <f>15.8/3.4528*1000</f>
        <v>4576</v>
      </c>
      <c r="L58" s="621">
        <f>15.8/3.4528*1000</f>
        <v>4576</v>
      </c>
      <c r="M58" s="621"/>
      <c r="N58" s="582"/>
      <c r="O58" s="129"/>
    </row>
    <row r="59" spans="1:16" s="2" customFormat="1" ht="16.5" customHeight="1" thickBot="1">
      <c r="A59" s="973"/>
      <c r="B59" s="980"/>
      <c r="C59" s="166"/>
      <c r="D59" s="167"/>
      <c r="E59" s="167"/>
      <c r="F59" s="167"/>
      <c r="G59" s="167"/>
      <c r="H59" s="167"/>
      <c r="I59" s="1318" t="s">
        <v>95</v>
      </c>
      <c r="J59" s="1319"/>
      <c r="K59" s="622">
        <f t="shared" ref="K59" si="6">SUM(K56:K58)</f>
        <v>68408</v>
      </c>
      <c r="L59" s="622">
        <f t="shared" ref="L59" si="7">SUM(L56:L58)</f>
        <v>68408</v>
      </c>
      <c r="M59" s="622"/>
      <c r="N59" s="394"/>
      <c r="O59" s="176"/>
    </row>
    <row r="60" spans="1:16" s="11" customFormat="1" ht="19.5" customHeight="1">
      <c r="A60" s="1078" t="s">
        <v>5</v>
      </c>
      <c r="B60" s="1080" t="s">
        <v>5</v>
      </c>
      <c r="C60" s="1205" t="s">
        <v>29</v>
      </c>
      <c r="D60" s="48"/>
      <c r="E60" s="1216" t="s">
        <v>22</v>
      </c>
      <c r="F60" s="1395"/>
      <c r="G60" s="1400" t="s">
        <v>343</v>
      </c>
      <c r="H60" s="1447" t="s">
        <v>47</v>
      </c>
      <c r="I60" s="1348" t="s">
        <v>116</v>
      </c>
      <c r="J60" s="719" t="s">
        <v>9</v>
      </c>
      <c r="K60" s="720">
        <f>4439883-393070-93039</f>
        <v>3953774</v>
      </c>
      <c r="L60" s="562">
        <f>4439883-393070-93039-220217</f>
        <v>3733557</v>
      </c>
      <c r="M60" s="942">
        <f>L60-K60</f>
        <v>-220217</v>
      </c>
      <c r="N60" s="1379"/>
      <c r="O60" s="967"/>
    </row>
    <row r="61" spans="1:16" s="11" customFormat="1" ht="20.25" customHeight="1">
      <c r="A61" s="1078"/>
      <c r="B61" s="1080"/>
      <c r="C61" s="1205"/>
      <c r="D61" s="48"/>
      <c r="E61" s="1216"/>
      <c r="F61" s="1395"/>
      <c r="G61" s="1401"/>
      <c r="H61" s="1447"/>
      <c r="I61" s="1348"/>
      <c r="J61" s="51" t="s">
        <v>166</v>
      </c>
      <c r="K61" s="613">
        <v>4792058</v>
      </c>
      <c r="L61" s="613">
        <v>4792058</v>
      </c>
      <c r="M61" s="943"/>
      <c r="N61" s="1389"/>
      <c r="O61" s="100"/>
    </row>
    <row r="62" spans="1:16" s="11" customFormat="1" ht="16.5" customHeight="1" thickBot="1">
      <c r="A62" s="1079"/>
      <c r="B62" s="1081"/>
      <c r="C62" s="1193"/>
      <c r="D62" s="49"/>
      <c r="E62" s="1207"/>
      <c r="F62" s="1396"/>
      <c r="G62" s="1402"/>
      <c r="H62" s="1394"/>
      <c r="I62" s="1349"/>
      <c r="J62" s="607" t="s">
        <v>12</v>
      </c>
      <c r="K62" s="644">
        <f>K60+K61</f>
        <v>8745832</v>
      </c>
      <c r="L62" s="644">
        <f>L60+L61</f>
        <v>8525615</v>
      </c>
      <c r="M62" s="944">
        <f>M60+M61</f>
        <v>-220217</v>
      </c>
      <c r="N62" s="1390"/>
      <c r="O62" s="968"/>
    </row>
    <row r="63" spans="1:16" s="11" customFormat="1" ht="21" customHeight="1">
      <c r="A63" s="1138" t="s">
        <v>5</v>
      </c>
      <c r="B63" s="1139" t="s">
        <v>5</v>
      </c>
      <c r="C63" s="1205" t="s">
        <v>30</v>
      </c>
      <c r="D63" s="48"/>
      <c r="E63" s="1206" t="s">
        <v>75</v>
      </c>
      <c r="F63" s="1395"/>
      <c r="G63" s="1453" t="s">
        <v>324</v>
      </c>
      <c r="H63" s="1393" t="s">
        <v>47</v>
      </c>
      <c r="I63" s="1424" t="s">
        <v>113</v>
      </c>
      <c r="J63" s="573" t="s">
        <v>9</v>
      </c>
      <c r="K63" s="613">
        <f>100/3.4528*1000</f>
        <v>28962</v>
      </c>
      <c r="L63" s="613">
        <f>100/3.4528*1000</f>
        <v>28962</v>
      </c>
      <c r="M63" s="613"/>
      <c r="N63" s="583"/>
      <c r="O63" s="40"/>
    </row>
    <row r="64" spans="1:16" s="11" customFormat="1" ht="20.25" customHeight="1" thickBot="1">
      <c r="A64" s="1079"/>
      <c r="B64" s="1081"/>
      <c r="C64" s="1193"/>
      <c r="D64" s="49"/>
      <c r="E64" s="1207"/>
      <c r="F64" s="1396"/>
      <c r="G64" s="1454"/>
      <c r="H64" s="1394"/>
      <c r="I64" s="1425"/>
      <c r="J64" s="608" t="s">
        <v>12</v>
      </c>
      <c r="K64" s="646">
        <f>K63</f>
        <v>28962</v>
      </c>
      <c r="L64" s="646">
        <f>L63</f>
        <v>28962</v>
      </c>
      <c r="M64" s="646"/>
      <c r="N64" s="584"/>
      <c r="O64" s="43"/>
    </row>
    <row r="65" spans="1:16" s="2" customFormat="1" ht="37.5" customHeight="1">
      <c r="A65" s="158" t="s">
        <v>5</v>
      </c>
      <c r="B65" s="46" t="s">
        <v>5</v>
      </c>
      <c r="C65" s="171" t="s">
        <v>31</v>
      </c>
      <c r="D65" s="107"/>
      <c r="E65" s="178" t="s">
        <v>129</v>
      </c>
      <c r="F65" s="601"/>
      <c r="G65" s="669"/>
      <c r="H65" s="602">
        <v>1</v>
      </c>
      <c r="I65" s="603"/>
      <c r="J65" s="84"/>
      <c r="K65" s="271"/>
      <c r="L65" s="271"/>
      <c r="M65" s="271"/>
      <c r="N65" s="604"/>
      <c r="O65" s="40"/>
    </row>
    <row r="66" spans="1:16" s="2" customFormat="1" ht="26.25" customHeight="1">
      <c r="A66" s="154"/>
      <c r="B66" s="47"/>
      <c r="C66" s="164"/>
      <c r="D66" s="1452" t="s">
        <v>5</v>
      </c>
      <c r="E66" s="1201" t="s">
        <v>293</v>
      </c>
      <c r="F66" s="54"/>
      <c r="G66" s="55"/>
      <c r="H66" s="151">
        <v>1</v>
      </c>
      <c r="I66" s="1418" t="s">
        <v>117</v>
      </c>
      <c r="J66" s="188" t="s">
        <v>9</v>
      </c>
      <c r="K66" s="614">
        <v>36317</v>
      </c>
      <c r="L66" s="614">
        <v>36317</v>
      </c>
      <c r="M66" s="614"/>
      <c r="N66" s="1021"/>
      <c r="O66" s="100"/>
    </row>
    <row r="67" spans="1:16" s="2" customFormat="1" ht="24.75" customHeight="1">
      <c r="A67" s="154"/>
      <c r="B67" s="47"/>
      <c r="C67" s="164"/>
      <c r="D67" s="1205"/>
      <c r="E67" s="1198"/>
      <c r="F67" s="610"/>
      <c r="G67" s="1007"/>
      <c r="H67" s="611"/>
      <c r="I67" s="1490"/>
      <c r="J67" s="883"/>
      <c r="K67" s="749"/>
      <c r="L67" s="749"/>
      <c r="M67" s="749"/>
      <c r="N67" s="250"/>
      <c r="O67" s="252"/>
    </row>
    <row r="68" spans="1:16" s="2" customFormat="1" ht="13.5" customHeight="1">
      <c r="A68" s="154"/>
      <c r="B68" s="47"/>
      <c r="C68" s="164"/>
      <c r="D68" s="1205"/>
      <c r="E68" s="1095"/>
      <c r="F68" s="610"/>
      <c r="G68" s="751"/>
      <c r="H68" s="611"/>
      <c r="I68" s="605"/>
      <c r="J68" s="18" t="s">
        <v>360</v>
      </c>
      <c r="K68" s="616">
        <v>11585</v>
      </c>
      <c r="L68" s="616">
        <v>11585</v>
      </c>
      <c r="M68" s="614"/>
      <c r="N68" s="128"/>
      <c r="O68" s="100"/>
    </row>
    <row r="69" spans="1:16" s="2" customFormat="1" ht="15" customHeight="1">
      <c r="A69" s="154"/>
      <c r="B69" s="47"/>
      <c r="C69" s="164"/>
      <c r="D69" s="665" t="s">
        <v>6</v>
      </c>
      <c r="E69" s="1199" t="s">
        <v>45</v>
      </c>
      <c r="F69" s="610"/>
      <c r="G69" s="753"/>
      <c r="H69" s="611"/>
      <c r="I69" s="605"/>
      <c r="J69" s="684" t="s">
        <v>9</v>
      </c>
      <c r="K69" s="744">
        <f>103.5/3.4528*1000</f>
        <v>29976</v>
      </c>
      <c r="L69" s="744">
        <f>103.5/3.4528*1000</f>
        <v>29976</v>
      </c>
      <c r="M69" s="744"/>
      <c r="N69" s="197"/>
      <c r="O69" s="199"/>
    </row>
    <row r="70" spans="1:16" s="2" customFormat="1" ht="15" customHeight="1">
      <c r="A70" s="154"/>
      <c r="B70" s="47"/>
      <c r="C70" s="164"/>
      <c r="D70" s="287"/>
      <c r="E70" s="1200"/>
      <c r="F70" s="610"/>
      <c r="G70" s="751"/>
      <c r="H70" s="611"/>
      <c r="I70" s="868"/>
      <c r="J70" s="53"/>
      <c r="K70" s="616"/>
      <c r="L70" s="616"/>
      <c r="M70" s="616"/>
      <c r="N70" s="232"/>
      <c r="O70" s="357"/>
    </row>
    <row r="71" spans="1:16" s="2" customFormat="1" ht="50.25" customHeight="1">
      <c r="A71" s="154"/>
      <c r="B71" s="47"/>
      <c r="C71" s="164"/>
      <c r="D71" s="287" t="s">
        <v>7</v>
      </c>
      <c r="E71" s="997" t="s">
        <v>73</v>
      </c>
      <c r="F71" s="610"/>
      <c r="G71" s="751"/>
      <c r="H71" s="611"/>
      <c r="I71" s="606"/>
      <c r="J71" s="53" t="s">
        <v>9</v>
      </c>
      <c r="K71" s="614">
        <v>71535</v>
      </c>
      <c r="L71" s="614">
        <f>71535-4000</f>
        <v>67535</v>
      </c>
      <c r="M71" s="1041">
        <f>L71-K71</f>
        <v>-4000</v>
      </c>
      <c r="N71" s="261"/>
      <c r="O71" s="358"/>
    </row>
    <row r="72" spans="1:16" s="2" customFormat="1" ht="39" customHeight="1">
      <c r="A72" s="154"/>
      <c r="B72" s="47"/>
      <c r="C72" s="164"/>
      <c r="D72" s="287" t="s">
        <v>8</v>
      </c>
      <c r="E72" s="997" t="s">
        <v>186</v>
      </c>
      <c r="F72" s="610"/>
      <c r="G72" s="1449" t="s">
        <v>327</v>
      </c>
      <c r="H72" s="611"/>
      <c r="I72" s="135"/>
      <c r="J72" s="53" t="s">
        <v>9</v>
      </c>
      <c r="K72" s="746">
        <f>48/3.4528*1000</f>
        <v>13902</v>
      </c>
      <c r="L72" s="746">
        <f>48/3.4528*1000</f>
        <v>13902</v>
      </c>
      <c r="M72" s="746"/>
      <c r="N72" s="66"/>
      <c r="O72" s="100"/>
      <c r="P72" s="15"/>
    </row>
    <row r="73" spans="1:16" s="2" customFormat="1" ht="53.25" customHeight="1">
      <c r="A73" s="154"/>
      <c r="B73" s="104"/>
      <c r="C73" s="172"/>
      <c r="D73" s="173" t="s">
        <v>26</v>
      </c>
      <c r="E73" s="998" t="s">
        <v>150</v>
      </c>
      <c r="F73" s="610"/>
      <c r="G73" s="1491"/>
      <c r="H73" s="611"/>
      <c r="I73" s="1006"/>
      <c r="J73" s="133" t="s">
        <v>9</v>
      </c>
      <c r="K73" s="616">
        <f>43/3.4528*1000</f>
        <v>12454</v>
      </c>
      <c r="L73" s="616">
        <f>43/3.4528*1000</f>
        <v>12454</v>
      </c>
      <c r="M73" s="616"/>
      <c r="N73" s="66"/>
      <c r="O73" s="41"/>
    </row>
    <row r="74" spans="1:16" s="2" customFormat="1" ht="20.25" customHeight="1">
      <c r="A74" s="154"/>
      <c r="B74" s="47"/>
      <c r="C74" s="172"/>
      <c r="D74" s="1406" t="s">
        <v>28</v>
      </c>
      <c r="E74" s="1408" t="s">
        <v>60</v>
      </c>
      <c r="F74" s="610"/>
      <c r="G74" s="753"/>
      <c r="H74" s="611"/>
      <c r="I74" s="1006"/>
      <c r="J74" s="391" t="s">
        <v>9</v>
      </c>
      <c r="K74" s="745">
        <f>17.1/3.4528*1000</f>
        <v>4953</v>
      </c>
      <c r="L74" s="745">
        <f>17.1/3.4528*1000</f>
        <v>4953</v>
      </c>
      <c r="M74" s="745"/>
      <c r="N74" s="654"/>
      <c r="O74" s="430"/>
    </row>
    <row r="75" spans="1:16" s="2" customFormat="1" ht="20.25" customHeight="1">
      <c r="A75" s="154"/>
      <c r="B75" s="47"/>
      <c r="C75" s="172"/>
      <c r="D75" s="1407"/>
      <c r="E75" s="1408"/>
      <c r="F75" s="732"/>
      <c r="G75" s="869"/>
      <c r="H75" s="752"/>
      <c r="I75" s="1033"/>
      <c r="J75" s="93" t="s">
        <v>10</v>
      </c>
      <c r="K75" s="616">
        <f>14/3.4528*1000</f>
        <v>4055</v>
      </c>
      <c r="L75" s="616">
        <f>14/3.4528*1000</f>
        <v>4055</v>
      </c>
      <c r="M75" s="616"/>
      <c r="N75" s="585"/>
      <c r="O75" s="362"/>
    </row>
    <row r="76" spans="1:16" s="2" customFormat="1" ht="37.5" customHeight="1">
      <c r="A76" s="154"/>
      <c r="B76" s="104"/>
      <c r="C76" s="172"/>
      <c r="D76" s="870" t="s">
        <v>29</v>
      </c>
      <c r="E76" s="871" t="s">
        <v>268</v>
      </c>
      <c r="F76" s="737"/>
      <c r="G76" s="872"/>
      <c r="H76" s="873"/>
      <c r="I76" s="1418" t="s">
        <v>117</v>
      </c>
      <c r="J76" s="133" t="s">
        <v>9</v>
      </c>
      <c r="K76" s="746">
        <f>9/3.4528*1000</f>
        <v>2607</v>
      </c>
      <c r="L76" s="746">
        <f>9/3.4528*1000</f>
        <v>2607</v>
      </c>
      <c r="M76" s="746"/>
      <c r="N76" s="161"/>
      <c r="O76" s="41"/>
    </row>
    <row r="77" spans="1:16" s="2" customFormat="1" ht="28.5" customHeight="1">
      <c r="A77" s="154"/>
      <c r="B77" s="104"/>
      <c r="C77" s="172"/>
      <c r="D77" s="1451" t="s">
        <v>30</v>
      </c>
      <c r="E77" s="1075" t="s">
        <v>190</v>
      </c>
      <c r="F77" s="612"/>
      <c r="G77" s="753"/>
      <c r="H77" s="611"/>
      <c r="I77" s="1490"/>
      <c r="J77" s="684" t="s">
        <v>9</v>
      </c>
      <c r="K77" s="744">
        <f>32/3.4528*1000</f>
        <v>9268</v>
      </c>
      <c r="L77" s="744">
        <f>32/3.4528*1000+4000</f>
        <v>13268</v>
      </c>
      <c r="M77" s="1042">
        <f>L77-K77</f>
        <v>4000</v>
      </c>
      <c r="N77" s="234"/>
      <c r="O77" s="199"/>
    </row>
    <row r="78" spans="1:16" s="2" customFormat="1" ht="40.5" customHeight="1">
      <c r="A78" s="154"/>
      <c r="B78" s="104"/>
      <c r="C78" s="172"/>
      <c r="D78" s="1479"/>
      <c r="E78" s="1479"/>
      <c r="F78" s="880"/>
      <c r="G78" s="869"/>
      <c r="H78" s="752"/>
      <c r="I78" s="733"/>
      <c r="J78" s="93"/>
      <c r="K78" s="616"/>
      <c r="L78" s="616"/>
      <c r="M78" s="616"/>
      <c r="N78" s="66"/>
      <c r="O78" s="62"/>
    </row>
    <row r="79" spans="1:16" s="2" customFormat="1" ht="29.25" customHeight="1">
      <c r="A79" s="154"/>
      <c r="B79" s="104"/>
      <c r="C79" s="172"/>
      <c r="D79" s="682" t="s">
        <v>31</v>
      </c>
      <c r="E79" s="1210" t="s">
        <v>189</v>
      </c>
      <c r="F79" s="612"/>
      <c r="G79" s="753"/>
      <c r="H79" s="611"/>
      <c r="I79" s="1473" t="s">
        <v>361</v>
      </c>
      <c r="J79" s="683" t="s">
        <v>9</v>
      </c>
      <c r="K79" s="744">
        <f>134.5/3.4528*1000</f>
        <v>38954</v>
      </c>
      <c r="L79" s="744">
        <f>134.5/3.4528*1000</f>
        <v>38954</v>
      </c>
      <c r="M79" s="744"/>
      <c r="N79" s="679"/>
      <c r="O79" s="199"/>
    </row>
    <row r="80" spans="1:16" s="2" customFormat="1" ht="27" customHeight="1">
      <c r="A80" s="154"/>
      <c r="B80" s="104"/>
      <c r="C80" s="172"/>
      <c r="D80" s="316"/>
      <c r="E80" s="1211"/>
      <c r="F80" s="612"/>
      <c r="G80" s="754"/>
      <c r="H80" s="611"/>
      <c r="I80" s="1448"/>
      <c r="J80" s="391"/>
      <c r="K80" s="745"/>
      <c r="L80" s="745"/>
      <c r="M80" s="745"/>
      <c r="N80" s="698"/>
      <c r="O80" s="388"/>
    </row>
    <row r="81" spans="1:17" s="2" customFormat="1" ht="41.25" customHeight="1">
      <c r="A81" s="154"/>
      <c r="B81" s="104"/>
      <c r="C81" s="172"/>
      <c r="D81" s="680"/>
      <c r="E81" s="1479"/>
      <c r="F81" s="880"/>
      <c r="G81" s="681"/>
      <c r="H81" s="752"/>
      <c r="I81" s="881" t="s">
        <v>357</v>
      </c>
      <c r="J81" s="93" t="s">
        <v>9</v>
      </c>
      <c r="K81" s="616">
        <v>8000</v>
      </c>
      <c r="L81" s="616">
        <v>8000</v>
      </c>
      <c r="M81" s="616"/>
      <c r="N81" s="163"/>
      <c r="O81" s="138"/>
    </row>
    <row r="82" spans="1:17" s="2" customFormat="1" ht="26.25" customHeight="1">
      <c r="A82" s="154"/>
      <c r="B82" s="104"/>
      <c r="C82" s="172"/>
      <c r="D82" s="174" t="s">
        <v>27</v>
      </c>
      <c r="E82" s="1014" t="s">
        <v>192</v>
      </c>
      <c r="F82" s="877"/>
      <c r="G82" s="878" t="s">
        <v>329</v>
      </c>
      <c r="H82" s="879"/>
      <c r="I82" s="913" t="s">
        <v>117</v>
      </c>
      <c r="J82" s="93" t="s">
        <v>9</v>
      </c>
      <c r="K82" s="616"/>
      <c r="L82" s="616"/>
      <c r="M82" s="616"/>
      <c r="N82" s="66"/>
      <c r="O82" s="62"/>
    </row>
    <row r="83" spans="1:17" s="2" customFormat="1" ht="51.75" customHeight="1">
      <c r="A83" s="154"/>
      <c r="B83" s="104"/>
      <c r="C83" s="172"/>
      <c r="D83" s="243">
        <v>11</v>
      </c>
      <c r="E83" s="1014" t="s">
        <v>194</v>
      </c>
      <c r="F83" s="244"/>
      <c r="G83" s="668" t="s">
        <v>328</v>
      </c>
      <c r="H83" s="246">
        <v>1</v>
      </c>
      <c r="I83" s="185" t="s">
        <v>203</v>
      </c>
      <c r="J83" s="93" t="s">
        <v>9</v>
      </c>
      <c r="K83" s="746">
        <f>50/3.4528*1000-5808</f>
        <v>8673</v>
      </c>
      <c r="L83" s="746">
        <f>50/3.4528*1000-5808</f>
        <v>8673</v>
      </c>
      <c r="M83" s="746"/>
      <c r="N83" s="163"/>
      <c r="O83" s="851"/>
      <c r="P83" s="15"/>
    </row>
    <row r="84" spans="1:17" s="2" customFormat="1" ht="27.75" customHeight="1">
      <c r="A84" s="154"/>
      <c r="B84" s="104"/>
      <c r="C84" s="172"/>
      <c r="D84" s="243">
        <v>12</v>
      </c>
      <c r="E84" s="1014" t="s">
        <v>309</v>
      </c>
      <c r="F84" s="244"/>
      <c r="G84" s="758" t="s">
        <v>334</v>
      </c>
      <c r="H84" s="246">
        <v>1</v>
      </c>
      <c r="I84" s="185" t="s">
        <v>117</v>
      </c>
      <c r="J84" s="93" t="s">
        <v>9</v>
      </c>
      <c r="K84" s="614">
        <v>7000</v>
      </c>
      <c r="L84" s="614">
        <v>7000</v>
      </c>
      <c r="M84" s="614"/>
      <c r="N84" s="163"/>
      <c r="O84" s="851"/>
      <c r="P84" s="15"/>
      <c r="Q84" s="686"/>
    </row>
    <row r="85" spans="1:17" s="2" customFormat="1" ht="15" customHeight="1" thickBot="1">
      <c r="A85" s="159"/>
      <c r="B85" s="105"/>
      <c r="C85" s="167"/>
      <c r="D85" s="167"/>
      <c r="E85" s="167"/>
      <c r="F85" s="167"/>
      <c r="G85" s="167"/>
      <c r="H85" s="167"/>
      <c r="I85" s="1318" t="s">
        <v>95</v>
      </c>
      <c r="J85" s="1319"/>
      <c r="K85" s="644">
        <f>SUM(K66:K84)</f>
        <v>259279</v>
      </c>
      <c r="L85" s="644">
        <f>SUM(L66:L84)</f>
        <v>259279</v>
      </c>
      <c r="M85" s="944">
        <f>SUM(M66:M84)</f>
        <v>0</v>
      </c>
      <c r="N85" s="394"/>
      <c r="O85" s="852"/>
    </row>
    <row r="86" spans="1:17" s="2" customFormat="1" ht="33.75" customHeight="1">
      <c r="A86" s="1138" t="s">
        <v>5</v>
      </c>
      <c r="B86" s="1139" t="s">
        <v>5</v>
      </c>
      <c r="C86" s="1192" t="s">
        <v>27</v>
      </c>
      <c r="D86" s="1409"/>
      <c r="E86" s="1404" t="s">
        <v>49</v>
      </c>
      <c r="F86" s="1398"/>
      <c r="G86" s="1343" t="s">
        <v>325</v>
      </c>
      <c r="H86" s="1416">
        <v>1</v>
      </c>
      <c r="I86" s="1309" t="s">
        <v>300</v>
      </c>
      <c r="J86" s="574" t="s">
        <v>9</v>
      </c>
      <c r="K86" s="643">
        <f>30/3.4528*1000+5808</f>
        <v>14497</v>
      </c>
      <c r="L86" s="643">
        <f>30/3.4528*1000+5808</f>
        <v>14497</v>
      </c>
      <c r="M86" s="643"/>
      <c r="N86" s="586"/>
      <c r="O86" s="967"/>
    </row>
    <row r="87" spans="1:17" s="2" customFormat="1" ht="18.75" customHeight="1" thickBot="1">
      <c r="A87" s="1079"/>
      <c r="B87" s="1081"/>
      <c r="C87" s="1193"/>
      <c r="D87" s="1410"/>
      <c r="E87" s="1405"/>
      <c r="F87" s="1370"/>
      <c r="G87" s="1345"/>
      <c r="H87" s="1417"/>
      <c r="I87" s="1311"/>
      <c r="J87" s="609" t="s">
        <v>12</v>
      </c>
      <c r="K87" s="644">
        <f t="shared" ref="K87" si="8">SUM(K86)</f>
        <v>14497</v>
      </c>
      <c r="L87" s="644">
        <f t="shared" ref="L87" si="9">SUM(L86)</f>
        <v>14497</v>
      </c>
      <c r="M87" s="644"/>
      <c r="N87" s="587"/>
      <c r="O87" s="968"/>
    </row>
    <row r="88" spans="1:17" s="21" customFormat="1" ht="15" customHeight="1">
      <c r="A88" s="1138" t="s">
        <v>5</v>
      </c>
      <c r="B88" s="1139" t="s">
        <v>5</v>
      </c>
      <c r="C88" s="1157" t="s">
        <v>32</v>
      </c>
      <c r="D88" s="1426"/>
      <c r="E88" s="676" t="s">
        <v>143</v>
      </c>
      <c r="F88" s="1420"/>
      <c r="G88" s="1306" t="s">
        <v>326</v>
      </c>
      <c r="H88" s="1097" t="s">
        <v>48</v>
      </c>
      <c r="I88" s="1373" t="s">
        <v>118</v>
      </c>
      <c r="J88" s="575"/>
      <c r="K88" s="664"/>
      <c r="L88" s="664"/>
      <c r="M88" s="664"/>
      <c r="N88" s="145"/>
      <c r="O88" s="40"/>
    </row>
    <row r="89" spans="1:17" s="21" customFormat="1" ht="16.5" customHeight="1">
      <c r="A89" s="1078"/>
      <c r="B89" s="1080"/>
      <c r="C89" s="1158"/>
      <c r="D89" s="1427"/>
      <c r="E89" s="677" t="s">
        <v>145</v>
      </c>
      <c r="F89" s="1421"/>
      <c r="G89" s="1484"/>
      <c r="H89" s="1137"/>
      <c r="I89" s="1368"/>
      <c r="J89" s="678" t="s">
        <v>41</v>
      </c>
      <c r="K89" s="616">
        <f>988.793/3.4528*1000</f>
        <v>286374</v>
      </c>
      <c r="L89" s="616">
        <f>988.793/3.4528*1000</f>
        <v>286374</v>
      </c>
      <c r="M89" s="616"/>
      <c r="N89" s="163"/>
      <c r="O89" s="62"/>
    </row>
    <row r="90" spans="1:17" s="21" customFormat="1" ht="20.25" customHeight="1">
      <c r="A90" s="1078"/>
      <c r="B90" s="1080"/>
      <c r="C90" s="1183"/>
      <c r="D90" s="1428"/>
      <c r="E90" s="966" t="s">
        <v>144</v>
      </c>
      <c r="F90" s="1422"/>
      <c r="G90" s="1414" t="s">
        <v>333</v>
      </c>
      <c r="H90" s="1098"/>
      <c r="I90" s="1368"/>
      <c r="J90" s="127" t="s">
        <v>41</v>
      </c>
      <c r="K90" s="614">
        <v>7820</v>
      </c>
      <c r="L90" s="614">
        <v>7820</v>
      </c>
      <c r="M90" s="614"/>
      <c r="N90" s="1175"/>
      <c r="O90" s="100"/>
    </row>
    <row r="91" spans="1:17" s="21" customFormat="1" ht="14.25" customHeight="1" thickBot="1">
      <c r="A91" s="1079"/>
      <c r="B91" s="1081"/>
      <c r="C91" s="1159"/>
      <c r="D91" s="1429"/>
      <c r="E91" s="147"/>
      <c r="F91" s="1423"/>
      <c r="G91" s="1489"/>
      <c r="H91" s="1099"/>
      <c r="I91" s="1374"/>
      <c r="J91" s="609" t="s">
        <v>12</v>
      </c>
      <c r="K91" s="644">
        <f>SUM(K88:K90)</f>
        <v>294194</v>
      </c>
      <c r="L91" s="644">
        <f>SUM(L88:L90)</f>
        <v>294194</v>
      </c>
      <c r="M91" s="644"/>
      <c r="N91" s="1176"/>
      <c r="O91" s="968"/>
    </row>
    <row r="92" spans="1:17" s="2" customFormat="1" ht="14.25" customHeight="1" thickBot="1">
      <c r="A92" s="973" t="s">
        <v>5</v>
      </c>
      <c r="B92" s="980" t="s">
        <v>5</v>
      </c>
      <c r="C92" s="1177" t="s">
        <v>13</v>
      </c>
      <c r="D92" s="1149"/>
      <c r="E92" s="1149"/>
      <c r="F92" s="1149"/>
      <c r="G92" s="1149"/>
      <c r="H92" s="1149"/>
      <c r="I92" s="1149"/>
      <c r="J92" s="1149"/>
      <c r="K92" s="645">
        <f>K91+K87+K85+K64+K62+K59+K54+K52+K50+K48+K46</f>
        <v>16836632</v>
      </c>
      <c r="L92" s="645">
        <f>L91+L87+L85+L64+L62+L59+L54+L52+L50+L48+L46</f>
        <v>16607627</v>
      </c>
      <c r="M92" s="645">
        <f>M91+M87+M85+M64+M62+M59+M54+M52+M50+M48+M46</f>
        <v>-229005</v>
      </c>
      <c r="N92" s="588"/>
      <c r="O92" s="122"/>
    </row>
    <row r="93" spans="1:17" s="2" customFormat="1" ht="15.75" customHeight="1" thickBot="1">
      <c r="A93" s="160" t="s">
        <v>5</v>
      </c>
      <c r="B93" s="22" t="s">
        <v>6</v>
      </c>
      <c r="C93" s="1072" t="s">
        <v>59</v>
      </c>
      <c r="D93" s="1073"/>
      <c r="E93" s="1073"/>
      <c r="F93" s="1073"/>
      <c r="G93" s="1073"/>
      <c r="H93" s="1073"/>
      <c r="I93" s="1073"/>
      <c r="J93" s="1073"/>
      <c r="K93" s="1073"/>
      <c r="L93" s="1073"/>
      <c r="M93" s="1073"/>
      <c r="N93" s="1073"/>
      <c r="O93" s="1074"/>
    </row>
    <row r="94" spans="1:17" s="2" customFormat="1" ht="29.25" customHeight="1">
      <c r="A94" s="978" t="s">
        <v>5</v>
      </c>
      <c r="B94" s="979" t="s">
        <v>6</v>
      </c>
      <c r="C94" s="804" t="s">
        <v>5</v>
      </c>
      <c r="D94" s="1022"/>
      <c r="E94" s="982" t="s">
        <v>36</v>
      </c>
      <c r="F94" s="991"/>
      <c r="G94" s="670"/>
      <c r="H94" s="179" t="s">
        <v>47</v>
      </c>
      <c r="I94" s="425"/>
      <c r="J94" s="285" t="s">
        <v>9</v>
      </c>
      <c r="K94" s="200"/>
      <c r="L94" s="200"/>
      <c r="M94" s="200"/>
      <c r="N94" s="395"/>
      <c r="O94" s="213"/>
    </row>
    <row r="95" spans="1:17" s="2" customFormat="1" ht="27" customHeight="1">
      <c r="A95" s="969"/>
      <c r="B95" s="981"/>
      <c r="C95" s="1004"/>
      <c r="D95" s="255" t="s">
        <v>5</v>
      </c>
      <c r="E95" s="405" t="s">
        <v>222</v>
      </c>
      <c r="F95" s="1411" t="s">
        <v>109</v>
      </c>
      <c r="G95" s="1322" t="s">
        <v>335</v>
      </c>
      <c r="H95" s="255"/>
      <c r="I95" s="1320" t="s">
        <v>200</v>
      </c>
      <c r="J95" s="886" t="s">
        <v>9</v>
      </c>
      <c r="K95" s="746">
        <v>137569</v>
      </c>
      <c r="L95" s="746">
        <v>137569</v>
      </c>
      <c r="M95" s="746"/>
      <c r="N95" s="399"/>
      <c r="O95" s="853"/>
      <c r="P95" s="686"/>
    </row>
    <row r="96" spans="1:17" s="2" customFormat="1" ht="15.75" customHeight="1">
      <c r="A96" s="969"/>
      <c r="B96" s="981"/>
      <c r="C96" s="1004"/>
      <c r="D96" s="1005"/>
      <c r="E96" s="206" t="s">
        <v>214</v>
      </c>
      <c r="F96" s="1483"/>
      <c r="G96" s="1485"/>
      <c r="H96" s="77"/>
      <c r="I96" s="1487"/>
      <c r="J96" s="392" t="s">
        <v>41</v>
      </c>
      <c r="K96" s="965">
        <f>29860+16137+4836</f>
        <v>50833</v>
      </c>
      <c r="L96" s="965">
        <f>29860+16137+4836</f>
        <v>50833</v>
      </c>
      <c r="M96" s="885"/>
      <c r="N96" s="393"/>
      <c r="O96" s="202"/>
    </row>
    <row r="97" spans="1:15" s="2" customFormat="1" ht="16.5" customHeight="1">
      <c r="A97" s="969"/>
      <c r="B97" s="981"/>
      <c r="C97" s="1004"/>
      <c r="D97" s="1005"/>
      <c r="E97" s="206" t="s">
        <v>215</v>
      </c>
      <c r="F97" s="1483"/>
      <c r="G97" s="1485"/>
      <c r="H97" s="77"/>
      <c r="I97" s="1487"/>
      <c r="J97" s="392"/>
      <c r="K97" s="885"/>
      <c r="L97" s="885"/>
      <c r="M97" s="885"/>
      <c r="N97" s="382"/>
      <c r="O97" s="202"/>
    </row>
    <row r="98" spans="1:15" s="2" customFormat="1" ht="15" customHeight="1">
      <c r="A98" s="969"/>
      <c r="B98" s="981"/>
      <c r="C98" s="1004"/>
      <c r="D98" s="1005"/>
      <c r="E98" s="206" t="s">
        <v>216</v>
      </c>
      <c r="F98" s="1483"/>
      <c r="G98" s="1485"/>
      <c r="H98" s="77"/>
      <c r="I98" s="384"/>
      <c r="J98" s="392"/>
      <c r="K98" s="885"/>
      <c r="L98" s="885"/>
      <c r="M98" s="885"/>
      <c r="N98" s="382"/>
      <c r="O98" s="202"/>
    </row>
    <row r="99" spans="1:15" s="2" customFormat="1" ht="41.25" customHeight="1">
      <c r="A99" s="969"/>
      <c r="B99" s="981"/>
      <c r="C99" s="1004"/>
      <c r="D99" s="1005"/>
      <c r="E99" s="997" t="s">
        <v>217</v>
      </c>
      <c r="F99" s="1484"/>
      <c r="G99" s="1486"/>
      <c r="H99" s="228"/>
      <c r="I99" s="385"/>
      <c r="J99" s="406"/>
      <c r="K99" s="934"/>
      <c r="L99" s="934"/>
      <c r="M99" s="934"/>
      <c r="N99" s="1030"/>
      <c r="O99" s="854"/>
    </row>
    <row r="100" spans="1:15" s="2" customFormat="1" ht="25.5" customHeight="1">
      <c r="A100" s="969"/>
      <c r="B100" s="981"/>
      <c r="C100" s="1004"/>
      <c r="D100" s="255" t="s">
        <v>6</v>
      </c>
      <c r="E100" s="408" t="s">
        <v>223</v>
      </c>
      <c r="F100" s="1411" t="s">
        <v>109</v>
      </c>
      <c r="G100" s="396"/>
      <c r="H100" s="77"/>
      <c r="I100" s="1320" t="s">
        <v>200</v>
      </c>
      <c r="J100" s="392" t="s">
        <v>9</v>
      </c>
      <c r="K100" s="614">
        <f>793.3/3.4528*1000</f>
        <v>229756</v>
      </c>
      <c r="L100" s="614">
        <f>793.3/3.4528*1000</f>
        <v>229756</v>
      </c>
      <c r="M100" s="614"/>
      <c r="N100" s="401"/>
      <c r="O100" s="853"/>
    </row>
    <row r="101" spans="1:15" s="2" customFormat="1" ht="27" customHeight="1">
      <c r="A101" s="969"/>
      <c r="B101" s="981"/>
      <c r="C101" s="1004"/>
      <c r="D101" s="1005"/>
      <c r="E101" s="206" t="s">
        <v>227</v>
      </c>
      <c r="F101" s="1483"/>
      <c r="G101" s="1325" t="s">
        <v>335</v>
      </c>
      <c r="H101" s="974"/>
      <c r="I101" s="1487"/>
      <c r="J101" s="624"/>
      <c r="K101" s="935"/>
      <c r="L101" s="935"/>
      <c r="M101" s="935"/>
      <c r="N101" s="382"/>
      <c r="O101" s="202"/>
    </row>
    <row r="102" spans="1:15" s="2" customFormat="1" ht="39" customHeight="1">
      <c r="A102" s="969"/>
      <c r="B102" s="981"/>
      <c r="C102" s="1004"/>
      <c r="D102" s="1005"/>
      <c r="E102" s="206" t="s">
        <v>294</v>
      </c>
      <c r="F102" s="1483"/>
      <c r="G102" s="1488"/>
      <c r="H102" s="974"/>
      <c r="I102" s="1487"/>
      <c r="J102" s="624"/>
      <c r="K102" s="614"/>
      <c r="L102" s="614"/>
      <c r="M102" s="614"/>
      <c r="N102" s="382"/>
      <c r="O102" s="202"/>
    </row>
    <row r="103" spans="1:15" s="2" customFormat="1" ht="20.25" customHeight="1">
      <c r="A103" s="969"/>
      <c r="B103" s="981"/>
      <c r="C103" s="1004"/>
      <c r="D103" s="77"/>
      <c r="E103" s="206" t="s">
        <v>176</v>
      </c>
      <c r="F103" s="1483"/>
      <c r="G103" s="1488"/>
      <c r="H103" s="974"/>
      <c r="I103" s="591"/>
      <c r="J103" s="624"/>
      <c r="K103" s="614"/>
      <c r="L103" s="614"/>
      <c r="M103" s="614"/>
      <c r="N103" s="1333"/>
      <c r="O103" s="381"/>
    </row>
    <row r="104" spans="1:15" s="2" customFormat="1" ht="40.5" customHeight="1">
      <c r="A104" s="969"/>
      <c r="B104" s="981"/>
      <c r="C104" s="1004"/>
      <c r="D104" s="1005"/>
      <c r="E104" s="206" t="s">
        <v>228</v>
      </c>
      <c r="F104" s="1034"/>
      <c r="G104" s="219"/>
      <c r="H104" s="974"/>
      <c r="I104" s="591"/>
      <c r="J104" s="624"/>
      <c r="K104" s="614"/>
      <c r="L104" s="614"/>
      <c r="M104" s="614"/>
      <c r="N104" s="1148"/>
      <c r="O104" s="874"/>
    </row>
    <row r="105" spans="1:15" s="2" customFormat="1" ht="25.5" customHeight="1">
      <c r="A105" s="969"/>
      <c r="B105" s="981"/>
      <c r="C105" s="1004"/>
      <c r="D105" s="226"/>
      <c r="E105" s="997" t="s">
        <v>175</v>
      </c>
      <c r="F105" s="993"/>
      <c r="G105" s="227"/>
      <c r="H105" s="228"/>
      <c r="I105" s="385"/>
      <c r="J105" s="406"/>
      <c r="K105" s="936"/>
      <c r="L105" s="936"/>
      <c r="M105" s="936"/>
      <c r="N105" s="407"/>
      <c r="O105" s="138"/>
    </row>
    <row r="106" spans="1:15" s="2" customFormat="1" ht="15.75" customHeight="1" thickBot="1">
      <c r="A106" s="973"/>
      <c r="B106" s="980"/>
      <c r="C106" s="806"/>
      <c r="D106" s="167"/>
      <c r="E106" s="167"/>
      <c r="F106" s="284"/>
      <c r="G106" s="167"/>
      <c r="H106" s="167"/>
      <c r="I106" s="1318" t="s">
        <v>95</v>
      </c>
      <c r="J106" s="1319"/>
      <c r="K106" s="617">
        <f>SUM(K95:K105)</f>
        <v>418158</v>
      </c>
      <c r="L106" s="617">
        <f t="shared" ref="L106" si="10">SUM(L95:L105)</f>
        <v>418158</v>
      </c>
      <c r="M106" s="617"/>
      <c r="N106" s="394"/>
      <c r="O106" s="176"/>
    </row>
    <row r="107" spans="1:15" s="11" customFormat="1" ht="24" customHeight="1">
      <c r="A107" s="969" t="s">
        <v>5</v>
      </c>
      <c r="B107" s="981" t="s">
        <v>6</v>
      </c>
      <c r="C107" s="91" t="s">
        <v>6</v>
      </c>
      <c r="D107" s="78"/>
      <c r="E107" s="1165" t="s">
        <v>151</v>
      </c>
      <c r="F107" s="1168"/>
      <c r="G107" s="1430" t="s">
        <v>336</v>
      </c>
      <c r="H107" s="1171" t="s">
        <v>48</v>
      </c>
      <c r="I107" s="1331" t="s">
        <v>119</v>
      </c>
      <c r="J107" s="71" t="s">
        <v>9</v>
      </c>
      <c r="K107" s="901">
        <f>24415-4146-16025</f>
        <v>4244</v>
      </c>
      <c r="L107" s="901">
        <f>24415-4146-16025</f>
        <v>4244</v>
      </c>
      <c r="M107" s="1035"/>
      <c r="N107" s="266"/>
      <c r="O107" s="855"/>
    </row>
    <row r="108" spans="1:15" s="11" customFormat="1" ht="15" customHeight="1">
      <c r="A108" s="969"/>
      <c r="B108" s="981"/>
      <c r="C108" s="91"/>
      <c r="D108" s="78"/>
      <c r="E108" s="1165"/>
      <c r="F108" s="1168"/>
      <c r="G108" s="1431"/>
      <c r="H108" s="1171"/>
      <c r="I108" s="1331"/>
      <c r="J108" s="85" t="s">
        <v>105</v>
      </c>
      <c r="K108" s="887">
        <f>595/3.4528*1000</f>
        <v>172324</v>
      </c>
      <c r="L108" s="894">
        <f>172324</f>
        <v>172324</v>
      </c>
      <c r="M108" s="1036"/>
      <c r="N108" s="1174"/>
      <c r="O108" s="856"/>
    </row>
    <row r="109" spans="1:15" s="11" customFormat="1" ht="15" customHeight="1" thickBot="1">
      <c r="A109" s="973"/>
      <c r="B109" s="980"/>
      <c r="C109" s="92"/>
      <c r="D109" s="80"/>
      <c r="E109" s="1166"/>
      <c r="F109" s="1169"/>
      <c r="G109" s="1432"/>
      <c r="H109" s="1172"/>
      <c r="I109" s="1332"/>
      <c r="J109" s="180" t="s">
        <v>12</v>
      </c>
      <c r="K109" s="888">
        <f t="shared" ref="K109" si="11">K108+K107</f>
        <v>176568</v>
      </c>
      <c r="L109" s="895">
        <f>L108+L107</f>
        <v>176568</v>
      </c>
      <c r="M109" s="895"/>
      <c r="N109" s="1482"/>
      <c r="O109" s="857"/>
    </row>
    <row r="110" spans="1:15" s="11" customFormat="1" ht="14.25" customHeight="1">
      <c r="A110" s="978" t="s">
        <v>5</v>
      </c>
      <c r="B110" s="979" t="s">
        <v>6</v>
      </c>
      <c r="C110" s="90" t="s">
        <v>7</v>
      </c>
      <c r="D110" s="79"/>
      <c r="E110" s="1164" t="s">
        <v>152</v>
      </c>
      <c r="F110" s="1167" t="s">
        <v>302</v>
      </c>
      <c r="G110" s="1315" t="s">
        <v>337</v>
      </c>
      <c r="H110" s="1170" t="s">
        <v>47</v>
      </c>
      <c r="I110" s="1330" t="s">
        <v>120</v>
      </c>
      <c r="J110" s="71" t="s">
        <v>104</v>
      </c>
      <c r="K110" s="627">
        <f>2.1/3.4528*1000</f>
        <v>608</v>
      </c>
      <c r="L110" s="889">
        <f>2.1/3.4528*1000</f>
        <v>608</v>
      </c>
      <c r="M110" s="896"/>
      <c r="N110" s="1147"/>
      <c r="O110" s="858"/>
    </row>
    <row r="111" spans="1:15" s="11" customFormat="1" ht="14.25" customHeight="1">
      <c r="A111" s="969"/>
      <c r="B111" s="981"/>
      <c r="C111" s="91"/>
      <c r="D111" s="78"/>
      <c r="E111" s="1165"/>
      <c r="F111" s="1168"/>
      <c r="G111" s="1316"/>
      <c r="H111" s="1171"/>
      <c r="I111" s="1331"/>
      <c r="J111" s="85" t="s">
        <v>11</v>
      </c>
      <c r="K111" s="628">
        <f>12/3.4528*1000</f>
        <v>3475</v>
      </c>
      <c r="L111" s="890">
        <f>12/3.4528*1000</f>
        <v>3475</v>
      </c>
      <c r="M111" s="897"/>
      <c r="N111" s="1481"/>
      <c r="O111" s="859"/>
    </row>
    <row r="112" spans="1:15" s="11" customFormat="1" ht="16.5" customHeight="1" thickBot="1">
      <c r="A112" s="973"/>
      <c r="B112" s="980"/>
      <c r="C112" s="92"/>
      <c r="D112" s="80"/>
      <c r="E112" s="1166"/>
      <c r="F112" s="1169"/>
      <c r="G112" s="1317"/>
      <c r="H112" s="1172"/>
      <c r="I112" s="1332"/>
      <c r="J112" s="114" t="s">
        <v>12</v>
      </c>
      <c r="K112" s="638">
        <f t="shared" ref="K112" si="12">K111+K110</f>
        <v>4083</v>
      </c>
      <c r="L112" s="891">
        <f t="shared" ref="L112" si="13">L111+L110</f>
        <v>4083</v>
      </c>
      <c r="M112" s="895"/>
      <c r="N112" s="277"/>
      <c r="O112" s="857"/>
    </row>
    <row r="113" spans="1:15" s="2" customFormat="1" ht="24.75" customHeight="1">
      <c r="A113" s="1151" t="s">
        <v>5</v>
      </c>
      <c r="B113" s="1154" t="s">
        <v>6</v>
      </c>
      <c r="C113" s="1157" t="s">
        <v>8</v>
      </c>
      <c r="D113" s="1412"/>
      <c r="E113" s="1141" t="s">
        <v>23</v>
      </c>
      <c r="F113" s="1161" t="s">
        <v>303</v>
      </c>
      <c r="G113" s="1350" t="s">
        <v>342</v>
      </c>
      <c r="H113" s="1097" t="s">
        <v>47</v>
      </c>
      <c r="I113" s="1309" t="s">
        <v>120</v>
      </c>
      <c r="J113" s="10" t="s">
        <v>9</v>
      </c>
      <c r="K113" s="889">
        <f>117.3/3.4528*1000+68039</f>
        <v>102011</v>
      </c>
      <c r="L113" s="889">
        <f>117.3/3.4528*1000+68039</f>
        <v>102011</v>
      </c>
      <c r="M113" s="896"/>
      <c r="N113" s="1147"/>
      <c r="O113" s="858"/>
    </row>
    <row r="114" spans="1:15" s="2" customFormat="1" ht="17.25" customHeight="1">
      <c r="A114" s="1152"/>
      <c r="B114" s="1155"/>
      <c r="C114" s="1158"/>
      <c r="D114" s="1382"/>
      <c r="E114" s="1160"/>
      <c r="F114" s="1162"/>
      <c r="G114" s="1316"/>
      <c r="H114" s="1137"/>
      <c r="I114" s="1310"/>
      <c r="J114" s="13" t="s">
        <v>11</v>
      </c>
      <c r="K114" s="628">
        <f>665.1/3.4528*1000</f>
        <v>192626</v>
      </c>
      <c r="L114" s="890">
        <f>665.1/3.4528*1000</f>
        <v>192626</v>
      </c>
      <c r="M114" s="897"/>
      <c r="N114" s="1148"/>
      <c r="O114" s="860"/>
    </row>
    <row r="115" spans="1:15" s="2" customFormat="1" ht="23.25" customHeight="1" thickBot="1">
      <c r="A115" s="1153"/>
      <c r="B115" s="1156"/>
      <c r="C115" s="1159"/>
      <c r="D115" s="1413"/>
      <c r="E115" s="1143"/>
      <c r="F115" s="1163"/>
      <c r="G115" s="1317"/>
      <c r="H115" s="1099"/>
      <c r="I115" s="1311"/>
      <c r="J115" s="181" t="s">
        <v>12</v>
      </c>
      <c r="K115" s="632">
        <f t="shared" ref="K115" si="14">SUM(K113:K114)</f>
        <v>294637</v>
      </c>
      <c r="L115" s="892">
        <f t="shared" ref="L115" si="15">SUM(L113:L114)</f>
        <v>294637</v>
      </c>
      <c r="M115" s="619"/>
      <c r="N115" s="279"/>
      <c r="O115" s="968"/>
    </row>
    <row r="116" spans="1:15" s="2" customFormat="1" ht="14.25" customHeight="1" thickBot="1">
      <c r="A116" s="160" t="s">
        <v>5</v>
      </c>
      <c r="B116" s="9" t="s">
        <v>6</v>
      </c>
      <c r="C116" s="1067" t="s">
        <v>13</v>
      </c>
      <c r="D116" s="1068"/>
      <c r="E116" s="1068"/>
      <c r="F116" s="1068"/>
      <c r="G116" s="1068"/>
      <c r="H116" s="1068"/>
      <c r="I116" s="1149"/>
      <c r="J116" s="1149"/>
      <c r="K116" s="633">
        <f t="shared" ref="K116" si="16">K115+K106+K109+K112</f>
        <v>893446</v>
      </c>
      <c r="L116" s="893">
        <f t="shared" ref="L116" si="17">L115+L106+L109+L112</f>
        <v>893446</v>
      </c>
      <c r="M116" s="898"/>
      <c r="N116" s="115"/>
      <c r="O116" s="117"/>
    </row>
    <row r="117" spans="1:15" s="2" customFormat="1" ht="15" customHeight="1" thickBot="1">
      <c r="A117" s="978" t="s">
        <v>5</v>
      </c>
      <c r="B117" s="86" t="s">
        <v>7</v>
      </c>
      <c r="C117" s="1072" t="s">
        <v>35</v>
      </c>
      <c r="D117" s="1073"/>
      <c r="E117" s="1073"/>
      <c r="F117" s="1073"/>
      <c r="G117" s="1073"/>
      <c r="H117" s="1073"/>
      <c r="I117" s="1073"/>
      <c r="J117" s="1073"/>
      <c r="K117" s="1150"/>
      <c r="L117" s="1150"/>
      <c r="M117" s="1150"/>
      <c r="N117" s="1073"/>
      <c r="O117" s="1074"/>
    </row>
    <row r="118" spans="1:15" s="11" customFormat="1" ht="17.25" customHeight="1">
      <c r="A118" s="1138" t="s">
        <v>5</v>
      </c>
      <c r="B118" s="1139" t="s">
        <v>7</v>
      </c>
      <c r="C118" s="1140" t="s">
        <v>5</v>
      </c>
      <c r="D118" s="1010"/>
      <c r="E118" s="1141" t="s">
        <v>57</v>
      </c>
      <c r="F118" s="1179" t="s">
        <v>100</v>
      </c>
      <c r="G118" s="1306" t="s">
        <v>339</v>
      </c>
      <c r="H118" s="1097" t="s">
        <v>47</v>
      </c>
      <c r="I118" s="1309" t="s">
        <v>69</v>
      </c>
      <c r="J118" s="10" t="s">
        <v>9</v>
      </c>
      <c r="K118" s="899">
        <f>16.5/3.4528*1000</f>
        <v>4779</v>
      </c>
      <c r="L118" s="901">
        <f>16.5/3.4528*1000</f>
        <v>4779</v>
      </c>
      <c r="M118" s="901"/>
      <c r="N118" s="1020"/>
      <c r="O118" s="976"/>
    </row>
    <row r="119" spans="1:15" s="11" customFormat="1" ht="15" customHeight="1">
      <c r="A119" s="1078"/>
      <c r="B119" s="1080"/>
      <c r="C119" s="1082"/>
      <c r="D119" s="1002"/>
      <c r="E119" s="1142"/>
      <c r="F119" s="1304"/>
      <c r="G119" s="1307"/>
      <c r="H119" s="1098"/>
      <c r="I119" s="1310"/>
      <c r="J119" s="20" t="s">
        <v>11</v>
      </c>
      <c r="K119" s="887">
        <f>93.1/3.4528*1000</f>
        <v>26964</v>
      </c>
      <c r="L119" s="894">
        <f>93.1/3.4528*1000</f>
        <v>26964</v>
      </c>
      <c r="M119" s="894"/>
      <c r="O119" s="861"/>
    </row>
    <row r="120" spans="1:15" s="11" customFormat="1" ht="19.5" customHeight="1" thickBot="1">
      <c r="A120" s="1079"/>
      <c r="B120" s="1081"/>
      <c r="C120" s="1083"/>
      <c r="D120" s="1008"/>
      <c r="E120" s="1143"/>
      <c r="F120" s="1305"/>
      <c r="G120" s="1308"/>
      <c r="H120" s="1099"/>
      <c r="I120" s="1311"/>
      <c r="J120" s="126" t="s">
        <v>12</v>
      </c>
      <c r="K120" s="900">
        <f>K119+K118</f>
        <v>31743</v>
      </c>
      <c r="L120" s="619">
        <f>L119+L118</f>
        <v>31743</v>
      </c>
      <c r="M120" s="619"/>
      <c r="N120" s="955"/>
      <c r="O120" s="977"/>
    </row>
    <row r="121" spans="1:15" s="11" customFormat="1" ht="30" customHeight="1">
      <c r="A121" s="1138" t="s">
        <v>5</v>
      </c>
      <c r="B121" s="1139" t="s">
        <v>7</v>
      </c>
      <c r="C121" s="1140" t="s">
        <v>6</v>
      </c>
      <c r="D121" s="1010"/>
      <c r="E121" s="1301" t="s">
        <v>368</v>
      </c>
      <c r="F121" s="1179" t="s">
        <v>100</v>
      </c>
      <c r="G121" s="1476" t="s">
        <v>339</v>
      </c>
      <c r="H121" s="1097" t="s">
        <v>47</v>
      </c>
      <c r="I121" s="1309" t="s">
        <v>69</v>
      </c>
      <c r="J121" s="10" t="s">
        <v>9</v>
      </c>
      <c r="K121" s="718">
        <v>3395</v>
      </c>
      <c r="L121" s="718">
        <v>3395</v>
      </c>
      <c r="M121" s="901"/>
      <c r="N121" s="1020"/>
      <c r="O121" s="976"/>
    </row>
    <row r="122" spans="1:15" s="11" customFormat="1" ht="27.75" customHeight="1">
      <c r="A122" s="1078"/>
      <c r="B122" s="1080"/>
      <c r="C122" s="1082"/>
      <c r="D122" s="1002"/>
      <c r="E122" s="1302"/>
      <c r="F122" s="1304"/>
      <c r="G122" s="1377"/>
      <c r="H122" s="1098"/>
      <c r="I122" s="1310"/>
      <c r="J122" s="20" t="s">
        <v>11</v>
      </c>
      <c r="K122" s="887"/>
      <c r="L122" s="214"/>
      <c r="M122" s="894"/>
      <c r="O122" s="861"/>
    </row>
    <row r="123" spans="1:15" s="11" customFormat="1" ht="21" customHeight="1" thickBot="1">
      <c r="A123" s="1079"/>
      <c r="B123" s="1081"/>
      <c r="C123" s="1083"/>
      <c r="D123" s="1008"/>
      <c r="E123" s="1303"/>
      <c r="F123" s="1305"/>
      <c r="G123" s="1477"/>
      <c r="H123" s="1099"/>
      <c r="I123" s="1311"/>
      <c r="J123" s="126" t="s">
        <v>12</v>
      </c>
      <c r="K123" s="900">
        <f>K122+K121</f>
        <v>3395</v>
      </c>
      <c r="L123" s="619">
        <f>L122+L121</f>
        <v>3395</v>
      </c>
      <c r="M123" s="1037"/>
      <c r="N123" s="955"/>
      <c r="O123" s="977"/>
    </row>
    <row r="124" spans="1:15" s="2" customFormat="1" ht="20.25" customHeight="1">
      <c r="A124" s="1078" t="s">
        <v>5</v>
      </c>
      <c r="B124" s="1080" t="s">
        <v>7</v>
      </c>
      <c r="C124" s="1082" t="s">
        <v>7</v>
      </c>
      <c r="D124" s="1002"/>
      <c r="E124" s="1133" t="s">
        <v>153</v>
      </c>
      <c r="F124" s="1135"/>
      <c r="G124" s="1351" t="s">
        <v>338</v>
      </c>
      <c r="H124" s="1137" t="s">
        <v>47</v>
      </c>
      <c r="I124" s="1310" t="s">
        <v>70</v>
      </c>
      <c r="J124" s="20" t="s">
        <v>11</v>
      </c>
      <c r="K124" s="887">
        <f>3/3.4528*1000</f>
        <v>869</v>
      </c>
      <c r="L124" s="894">
        <f>3/3.4528*1000</f>
        <v>869</v>
      </c>
      <c r="M124" s="894"/>
      <c r="N124" s="1379"/>
      <c r="O124" s="967"/>
    </row>
    <row r="125" spans="1:15" s="2" customFormat="1" ht="18.75" customHeight="1" thickBot="1">
      <c r="A125" s="1079"/>
      <c r="B125" s="1081"/>
      <c r="C125" s="1083"/>
      <c r="D125" s="1008"/>
      <c r="E125" s="1134"/>
      <c r="F125" s="1136"/>
      <c r="G125" s="1352"/>
      <c r="H125" s="1099"/>
      <c r="I125" s="1311"/>
      <c r="J125" s="110" t="s">
        <v>12</v>
      </c>
      <c r="K125" s="900">
        <f>K124</f>
        <v>869</v>
      </c>
      <c r="L125" s="619">
        <f>L124</f>
        <v>869</v>
      </c>
      <c r="M125" s="619"/>
      <c r="N125" s="1390"/>
      <c r="O125" s="977"/>
    </row>
    <row r="126" spans="1:15" s="11" customFormat="1" ht="17.25" customHeight="1">
      <c r="A126" s="1138" t="s">
        <v>5</v>
      </c>
      <c r="B126" s="1139" t="s">
        <v>7</v>
      </c>
      <c r="C126" s="1140" t="s">
        <v>8</v>
      </c>
      <c r="D126" s="1010"/>
      <c r="E126" s="1141" t="s">
        <v>363</v>
      </c>
      <c r="F126" s="1179"/>
      <c r="G126" s="1306" t="s">
        <v>366</v>
      </c>
      <c r="H126" s="1097" t="s">
        <v>47</v>
      </c>
      <c r="I126" s="1309" t="s">
        <v>70</v>
      </c>
      <c r="J126" s="10" t="s">
        <v>9</v>
      </c>
      <c r="K126" s="744">
        <v>1146</v>
      </c>
      <c r="L126" s="744">
        <v>1146</v>
      </c>
      <c r="M126" s="954"/>
      <c r="N126" s="1020"/>
      <c r="O126" s="967"/>
    </row>
    <row r="127" spans="1:15" s="11" customFormat="1" ht="17.25" customHeight="1">
      <c r="A127" s="1078"/>
      <c r="B127" s="1080"/>
      <c r="C127" s="1082"/>
      <c r="D127" s="1002"/>
      <c r="E127" s="1160"/>
      <c r="F127" s="1304"/>
      <c r="G127" s="1307"/>
      <c r="H127" s="1137"/>
      <c r="I127" s="1310"/>
      <c r="J127" s="214" t="s">
        <v>9</v>
      </c>
      <c r="K127" s="746">
        <v>3000</v>
      </c>
      <c r="L127" s="746">
        <v>3000</v>
      </c>
      <c r="M127" s="1038"/>
      <c r="N127" s="368"/>
      <c r="O127" s="221"/>
    </row>
    <row r="128" spans="1:15" s="11" customFormat="1" ht="14.25" customHeight="1">
      <c r="A128" s="1078"/>
      <c r="B128" s="1080"/>
      <c r="C128" s="1082"/>
      <c r="D128" s="1002"/>
      <c r="E128" s="1142"/>
      <c r="F128" s="1304"/>
      <c r="G128" s="1307"/>
      <c r="H128" s="1098"/>
      <c r="I128" s="1310"/>
      <c r="J128" s="20" t="s">
        <v>11</v>
      </c>
      <c r="K128" s="746">
        <v>3996</v>
      </c>
      <c r="L128" s="746">
        <v>3996</v>
      </c>
      <c r="M128" s="1038"/>
      <c r="O128" s="957"/>
    </row>
    <row r="129" spans="1:15" s="11" customFormat="1" ht="15.75" customHeight="1" thickBot="1">
      <c r="A129" s="1079"/>
      <c r="B129" s="1081"/>
      <c r="C129" s="1083"/>
      <c r="D129" s="1008"/>
      <c r="E129" s="1143"/>
      <c r="F129" s="1305"/>
      <c r="G129" s="1308"/>
      <c r="H129" s="1099"/>
      <c r="I129" s="1311"/>
      <c r="J129" s="126" t="s">
        <v>12</v>
      </c>
      <c r="K129" s="618">
        <f>SUM(K126:K128)</f>
        <v>8142</v>
      </c>
      <c r="L129" s="618">
        <f>SUM(L126:L128)</f>
        <v>8142</v>
      </c>
      <c r="M129" s="956"/>
      <c r="N129" s="955"/>
      <c r="O129" s="977"/>
    </row>
    <row r="130" spans="1:15" s="2" customFormat="1" ht="13.5" thickBot="1">
      <c r="A130" s="160" t="s">
        <v>5</v>
      </c>
      <c r="B130" s="9" t="s">
        <v>7</v>
      </c>
      <c r="C130" s="1067" t="s">
        <v>13</v>
      </c>
      <c r="D130" s="1068"/>
      <c r="E130" s="1068"/>
      <c r="F130" s="1068"/>
      <c r="G130" s="1068"/>
      <c r="H130" s="1068"/>
      <c r="I130" s="1068"/>
      <c r="J130" s="1068"/>
      <c r="K130" s="893">
        <f>K125+K120+K123+K129</f>
        <v>44149</v>
      </c>
      <c r="L130" s="893">
        <f t="shared" ref="L130:M130" si="18">L125+L120+L123+L129</f>
        <v>44149</v>
      </c>
      <c r="M130" s="898">
        <f t="shared" si="18"/>
        <v>0</v>
      </c>
      <c r="N130" s="1070"/>
      <c r="O130" s="1071"/>
    </row>
    <row r="131" spans="1:15" s="2" customFormat="1" ht="15.75" customHeight="1" thickBot="1">
      <c r="A131" s="160" t="s">
        <v>5</v>
      </c>
      <c r="B131" s="22" t="s">
        <v>8</v>
      </c>
      <c r="C131" s="1072" t="s">
        <v>58</v>
      </c>
      <c r="D131" s="1073"/>
      <c r="E131" s="1073"/>
      <c r="F131" s="1073"/>
      <c r="G131" s="1073"/>
      <c r="H131" s="1073"/>
      <c r="I131" s="1073"/>
      <c r="J131" s="1073"/>
      <c r="K131" s="1346"/>
      <c r="L131" s="1346"/>
      <c r="M131" s="1346"/>
      <c r="N131" s="1073"/>
      <c r="O131" s="1074"/>
    </row>
    <row r="132" spans="1:15" s="2" customFormat="1" ht="41.25" customHeight="1">
      <c r="A132" s="978" t="s">
        <v>5</v>
      </c>
      <c r="B132" s="979" t="s">
        <v>8</v>
      </c>
      <c r="C132" s="253" t="s">
        <v>5</v>
      </c>
      <c r="D132" s="1010"/>
      <c r="E132" s="982" t="s">
        <v>127</v>
      </c>
      <c r="F132" s="236"/>
      <c r="G132" s="239" t="s">
        <v>5</v>
      </c>
      <c r="H132" s="240" t="s">
        <v>47</v>
      </c>
      <c r="I132" s="799" t="s">
        <v>126</v>
      </c>
      <c r="J132" s="574"/>
      <c r="K132" s="914"/>
      <c r="L132" s="914"/>
      <c r="M132" s="914"/>
      <c r="N132" s="915"/>
      <c r="O132" s="916"/>
    </row>
    <row r="133" spans="1:15" s="2" customFormat="1" ht="34.5" customHeight="1">
      <c r="A133" s="1043"/>
      <c r="B133" s="1044"/>
      <c r="C133" s="1045"/>
      <c r="D133" s="1000" t="s">
        <v>5</v>
      </c>
      <c r="E133" s="984" t="s">
        <v>177</v>
      </c>
      <c r="F133" s="671"/>
      <c r="G133" s="759">
        <v>3010502</v>
      </c>
      <c r="H133" s="918"/>
      <c r="I133" s="169"/>
      <c r="J133" s="19" t="s">
        <v>9</v>
      </c>
      <c r="K133" s="652">
        <v>231899</v>
      </c>
      <c r="L133" s="652">
        <v>231899</v>
      </c>
      <c r="M133" s="652"/>
      <c r="N133" s="74"/>
      <c r="O133" s="863"/>
    </row>
    <row r="134" spans="1:15" s="2" customFormat="1" ht="27.75" customHeight="1">
      <c r="A134" s="1043"/>
      <c r="B134" s="1044"/>
      <c r="C134" s="1045"/>
      <c r="D134" s="183" t="s">
        <v>6</v>
      </c>
      <c r="E134" s="984" t="s">
        <v>201</v>
      </c>
      <c r="F134" s="672"/>
      <c r="G134" s="1327" t="s">
        <v>340</v>
      </c>
      <c r="H134" s="917"/>
      <c r="I134" s="169"/>
      <c r="J134" s="19" t="s">
        <v>9</v>
      </c>
      <c r="K134" s="652">
        <v>52420</v>
      </c>
      <c r="L134" s="652">
        <v>52420</v>
      </c>
      <c r="M134" s="652"/>
      <c r="N134" s="74"/>
      <c r="O134" s="863"/>
    </row>
    <row r="135" spans="1:15" s="2" customFormat="1" ht="22.5" customHeight="1">
      <c r="A135" s="969"/>
      <c r="B135" s="981"/>
      <c r="C135" s="1001"/>
      <c r="D135" s="992" t="s">
        <v>7</v>
      </c>
      <c r="E135" s="809" t="s">
        <v>179</v>
      </c>
      <c r="F135" s="623"/>
      <c r="G135" s="1328"/>
      <c r="H135" s="91"/>
      <c r="I135" s="169"/>
      <c r="J135" s="18" t="s">
        <v>9</v>
      </c>
      <c r="K135" s="652">
        <v>0</v>
      </c>
      <c r="L135" s="652">
        <v>0</v>
      </c>
      <c r="M135" s="652"/>
      <c r="N135" s="996"/>
      <c r="O135" s="854"/>
    </row>
    <row r="136" spans="1:15" s="2" customFormat="1" ht="15" customHeight="1">
      <c r="A136" s="969"/>
      <c r="B136" s="981"/>
      <c r="C136" s="1001"/>
      <c r="D136" s="1002" t="s">
        <v>8</v>
      </c>
      <c r="E136" s="1075" t="s">
        <v>367</v>
      </c>
      <c r="F136" s="623"/>
      <c r="G136" s="1328"/>
      <c r="H136" s="91"/>
      <c r="I136" s="169"/>
      <c r="J136" s="188" t="s">
        <v>9</v>
      </c>
      <c r="K136" s="653">
        <f t="shared" ref="K136" si="19">19984+82976</f>
        <v>102960</v>
      </c>
      <c r="L136" s="653">
        <f>19984+82976</f>
        <v>102960</v>
      </c>
      <c r="M136" s="653"/>
      <c r="N136" s="184"/>
      <c r="O136" s="853"/>
    </row>
    <row r="137" spans="1:15" s="2" customFormat="1" ht="25.5" customHeight="1">
      <c r="A137" s="969"/>
      <c r="B137" s="981"/>
      <c r="C137" s="1001"/>
      <c r="D137" s="1002"/>
      <c r="E137" s="1478"/>
      <c r="F137" s="623"/>
      <c r="G137" s="1328"/>
      <c r="H137" s="91"/>
      <c r="I137" s="169"/>
      <c r="J137" s="390"/>
      <c r="K137" s="1040"/>
      <c r="L137" s="614"/>
      <c r="M137" s="614"/>
      <c r="N137" s="203"/>
      <c r="O137" s="202"/>
    </row>
    <row r="138" spans="1:15" s="2" customFormat="1" ht="25.5" customHeight="1">
      <c r="A138" s="969"/>
      <c r="B138" s="981"/>
      <c r="C138" s="1001"/>
      <c r="D138" s="815"/>
      <c r="E138" s="1479"/>
      <c r="F138" s="673"/>
      <c r="G138" s="1329"/>
      <c r="H138" s="91"/>
      <c r="I138" s="169"/>
      <c r="J138" s="18"/>
      <c r="K138" s="616"/>
      <c r="L138" s="616"/>
      <c r="M138" s="616"/>
      <c r="N138" s="996"/>
      <c r="O138" s="854"/>
    </row>
    <row r="139" spans="1:15" s="2" customFormat="1" ht="42" customHeight="1">
      <c r="A139" s="969"/>
      <c r="B139" s="981"/>
      <c r="C139" s="1001"/>
      <c r="D139" s="992" t="s">
        <v>26</v>
      </c>
      <c r="E139" s="426" t="s">
        <v>229</v>
      </c>
      <c r="F139" s="671"/>
      <c r="G139" s="760">
        <v>3010506</v>
      </c>
      <c r="H139" s="91"/>
      <c r="I139" s="169"/>
      <c r="J139" s="18" t="s">
        <v>9</v>
      </c>
      <c r="K139" s="652">
        <f>47.3/3.4528*1000</f>
        <v>13699</v>
      </c>
      <c r="L139" s="652">
        <f>47.3/3.4528*1000</f>
        <v>13699</v>
      </c>
      <c r="M139" s="652"/>
      <c r="N139" s="996"/>
      <c r="O139" s="854"/>
    </row>
    <row r="140" spans="1:15" s="2" customFormat="1" ht="38.25" customHeight="1">
      <c r="A140" s="969"/>
      <c r="B140" s="981"/>
      <c r="C140" s="1001"/>
      <c r="D140" s="815" t="s">
        <v>28</v>
      </c>
      <c r="E140" s="985" t="s">
        <v>230</v>
      </c>
      <c r="F140" s="238"/>
      <c r="G140" s="759">
        <v>3010505</v>
      </c>
      <c r="H140" s="242"/>
      <c r="I140" s="231"/>
      <c r="J140" s="18" t="s">
        <v>9</v>
      </c>
      <c r="K140" s="652">
        <f>69.7/3.4528*1000</f>
        <v>20187</v>
      </c>
      <c r="L140" s="652">
        <f>69.7/3.4528*1000</f>
        <v>20187</v>
      </c>
      <c r="M140" s="652"/>
      <c r="N140" s="996"/>
      <c r="O140" s="854"/>
    </row>
    <row r="141" spans="1:15" s="2" customFormat="1" ht="15" customHeight="1" thickBot="1">
      <c r="A141" s="159"/>
      <c r="B141" s="105"/>
      <c r="C141" s="167"/>
      <c r="D141" s="167"/>
      <c r="E141" s="167"/>
      <c r="F141" s="167"/>
      <c r="G141" s="167"/>
      <c r="H141" s="167"/>
      <c r="I141" s="1318" t="s">
        <v>95</v>
      </c>
      <c r="J141" s="1319"/>
      <c r="K141" s="644">
        <f>SUM(K133:K140)</f>
        <v>421165</v>
      </c>
      <c r="L141" s="644">
        <f>SUM(L133:L140)</f>
        <v>421165</v>
      </c>
      <c r="M141" s="644"/>
      <c r="N141" s="175"/>
      <c r="O141" s="176"/>
    </row>
    <row r="142" spans="1:15" s="2" customFormat="1" ht="27" customHeight="1">
      <c r="A142" s="1078" t="s">
        <v>5</v>
      </c>
      <c r="B142" s="1080" t="s">
        <v>8</v>
      </c>
      <c r="C142" s="1082" t="s">
        <v>6</v>
      </c>
      <c r="D142" s="1002"/>
      <c r="E142" s="1084" t="s">
        <v>103</v>
      </c>
      <c r="F142" s="1087" t="s">
        <v>68</v>
      </c>
      <c r="G142" s="1343" t="s">
        <v>341</v>
      </c>
      <c r="H142" s="1089" t="s">
        <v>48</v>
      </c>
      <c r="I142" s="1348" t="s">
        <v>119</v>
      </c>
      <c r="J142" s="65" t="s">
        <v>9</v>
      </c>
      <c r="K142" s="718">
        <v>41693</v>
      </c>
      <c r="L142" s="718">
        <v>41693</v>
      </c>
      <c r="M142" s="1039"/>
      <c r="N142" s="143"/>
      <c r="O142" s="864"/>
    </row>
    <row r="143" spans="1:15" s="2" customFormat="1" ht="16.5" customHeight="1">
      <c r="A143" s="1078"/>
      <c r="B143" s="1080"/>
      <c r="C143" s="1082"/>
      <c r="D143" s="1002"/>
      <c r="E143" s="1085"/>
      <c r="F143" s="1087"/>
      <c r="G143" s="1344"/>
      <c r="H143" s="1089"/>
      <c r="I143" s="1348"/>
      <c r="J143" s="65" t="s">
        <v>104</v>
      </c>
      <c r="K143" s="616">
        <v>0</v>
      </c>
      <c r="L143" s="616">
        <v>0</v>
      </c>
      <c r="M143" s="1039"/>
      <c r="N143" s="1091"/>
      <c r="O143" s="865"/>
    </row>
    <row r="144" spans="1:15" s="2" customFormat="1" ht="17.25" customHeight="1" thickBot="1">
      <c r="A144" s="1079"/>
      <c r="B144" s="1081"/>
      <c r="C144" s="1083"/>
      <c r="D144" s="1008"/>
      <c r="E144" s="1086"/>
      <c r="F144" s="1088"/>
      <c r="G144" s="1345"/>
      <c r="H144" s="1090"/>
      <c r="I144" s="1349"/>
      <c r="J144" s="110" t="s">
        <v>12</v>
      </c>
      <c r="K144" s="892">
        <f>K143+K142</f>
        <v>41693</v>
      </c>
      <c r="L144" s="619">
        <f>L143+L142</f>
        <v>41693</v>
      </c>
      <c r="M144" s="619"/>
      <c r="N144" s="1480"/>
      <c r="O144" s="800"/>
    </row>
    <row r="145" spans="1:33" s="2" customFormat="1" ht="15.75" customHeight="1" thickBot="1">
      <c r="A145" s="160" t="s">
        <v>5</v>
      </c>
      <c r="B145" s="9" t="s">
        <v>8</v>
      </c>
      <c r="C145" s="1067" t="s">
        <v>13</v>
      </c>
      <c r="D145" s="1068"/>
      <c r="E145" s="1068"/>
      <c r="F145" s="1068"/>
      <c r="G145" s="1068"/>
      <c r="H145" s="1068"/>
      <c r="I145" s="1068"/>
      <c r="J145" s="1068"/>
      <c r="K145" s="893">
        <f>K144+K141</f>
        <v>462858</v>
      </c>
      <c r="L145" s="898">
        <f>L144+L141</f>
        <v>462858</v>
      </c>
      <c r="M145" s="898">
        <f>M144+M141</f>
        <v>0</v>
      </c>
      <c r="N145" s="1069"/>
      <c r="O145" s="1071"/>
    </row>
    <row r="146" spans="1:33" s="11" customFormat="1" ht="15.75" customHeight="1" thickBot="1">
      <c r="A146" s="160" t="s">
        <v>5</v>
      </c>
      <c r="B146" s="1111" t="s">
        <v>15</v>
      </c>
      <c r="C146" s="1112"/>
      <c r="D146" s="1112"/>
      <c r="E146" s="1112"/>
      <c r="F146" s="1112"/>
      <c r="G146" s="1112"/>
      <c r="H146" s="1112"/>
      <c r="I146" s="1112"/>
      <c r="J146" s="1113"/>
      <c r="K146" s="902">
        <f>K145+K130+K116+K92</f>
        <v>18237085</v>
      </c>
      <c r="L146" s="904">
        <f>L145+L130+L116+L92</f>
        <v>18008080</v>
      </c>
      <c r="M146" s="945">
        <f>M145+M130+M116+M92</f>
        <v>-229005</v>
      </c>
      <c r="N146" s="1114"/>
      <c r="O146" s="1116"/>
    </row>
    <row r="147" spans="1:33" s="11" customFormat="1" ht="15.75" customHeight="1" thickBot="1">
      <c r="A147" s="58" t="s">
        <v>7</v>
      </c>
      <c r="B147" s="1117" t="s">
        <v>14</v>
      </c>
      <c r="C147" s="1117"/>
      <c r="D147" s="1117"/>
      <c r="E147" s="1117"/>
      <c r="F147" s="1117"/>
      <c r="G147" s="1117"/>
      <c r="H147" s="1117"/>
      <c r="I147" s="1117"/>
      <c r="J147" s="1118"/>
      <c r="K147" s="903">
        <f t="shared" ref="K147" si="20">K146</f>
        <v>18237085</v>
      </c>
      <c r="L147" s="905">
        <f t="shared" ref="L147:M147" si="21">L146</f>
        <v>18008080</v>
      </c>
      <c r="M147" s="946">
        <f t="shared" si="21"/>
        <v>-229005</v>
      </c>
      <c r="N147" s="1119"/>
      <c r="O147" s="1121"/>
    </row>
    <row r="148" spans="1:33" s="64" customFormat="1" ht="14.25" customHeight="1">
      <c r="A148" s="1335" t="s">
        <v>370</v>
      </c>
      <c r="B148" s="1335"/>
      <c r="C148" s="1335"/>
      <c r="D148" s="1335"/>
      <c r="E148" s="1335"/>
      <c r="F148" s="1335"/>
      <c r="G148" s="1335"/>
      <c r="H148" s="1335"/>
      <c r="I148" s="1335"/>
      <c r="J148" s="1335"/>
      <c r="K148" s="1335"/>
      <c r="L148" s="1335"/>
      <c r="M148" s="1335"/>
      <c r="N148" s="656"/>
      <c r="O148" s="656"/>
      <c r="P148" s="656"/>
      <c r="Q148" s="656"/>
      <c r="R148" s="656"/>
      <c r="S148" s="656"/>
      <c r="T148" s="656"/>
      <c r="U148" s="656"/>
      <c r="V148" s="656"/>
      <c r="W148" s="656"/>
      <c r="X148" s="656"/>
      <c r="Y148" s="656"/>
      <c r="Z148" s="656"/>
      <c r="AA148" s="656"/>
      <c r="AB148" s="656"/>
      <c r="AC148" s="656"/>
      <c r="AD148" s="656"/>
      <c r="AE148" s="656"/>
      <c r="AF148" s="656"/>
      <c r="AG148" s="656"/>
    </row>
    <row r="149" spans="1:33" s="11" customFormat="1" ht="15.75" customHeight="1">
      <c r="A149" s="24"/>
      <c r="B149" s="7"/>
      <c r="C149" s="1129" t="s">
        <v>18</v>
      </c>
      <c r="D149" s="1129"/>
      <c r="E149" s="1129"/>
      <c r="F149" s="1129"/>
      <c r="G149" s="1129"/>
      <c r="H149" s="1129"/>
      <c r="I149" s="1129"/>
      <c r="J149" s="1129"/>
      <c r="K149" s="1129"/>
      <c r="L149" s="995"/>
      <c r="M149" s="995"/>
      <c r="N149" s="16"/>
      <c r="O149" s="44"/>
    </row>
    <row r="150" spans="1:33" s="11" customFormat="1" ht="13.5" thickBot="1">
      <c r="A150" s="24"/>
      <c r="B150" s="23"/>
      <c r="C150" s="23"/>
      <c r="D150" s="23"/>
      <c r="E150" s="23"/>
      <c r="F150" s="29"/>
      <c r="G150" s="23"/>
      <c r="H150" s="51"/>
      <c r="I150" s="23"/>
      <c r="K150" s="16"/>
      <c r="L150" s="16"/>
      <c r="M150" s="16"/>
      <c r="N150" s="16"/>
      <c r="O150" s="44"/>
    </row>
    <row r="151" spans="1:33" s="11" customFormat="1" ht="64.5" customHeight="1" thickBot="1">
      <c r="A151" s="2"/>
      <c r="B151" s="2"/>
      <c r="C151" s="1130" t="s">
        <v>16</v>
      </c>
      <c r="D151" s="1131"/>
      <c r="E151" s="1131"/>
      <c r="F151" s="1131"/>
      <c r="G151" s="1131"/>
      <c r="H151" s="1131"/>
      <c r="I151" s="1131"/>
      <c r="J151" s="1132"/>
      <c r="K151" s="566" t="s">
        <v>160</v>
      </c>
      <c r="L151" s="566" t="s">
        <v>371</v>
      </c>
      <c r="M151" s="566" t="s">
        <v>355</v>
      </c>
      <c r="O151" s="44"/>
    </row>
    <row r="152" spans="1:33" s="11" customFormat="1">
      <c r="A152" s="2"/>
      <c r="B152" s="2"/>
      <c r="C152" s="1122" t="s">
        <v>19</v>
      </c>
      <c r="D152" s="1347"/>
      <c r="E152" s="1123"/>
      <c r="F152" s="1123"/>
      <c r="G152" s="1123"/>
      <c r="H152" s="1123"/>
      <c r="I152" s="1124"/>
      <c r="J152" s="1124"/>
      <c r="K152" s="647">
        <f>K153+K163+K161+K162</f>
        <v>18008547</v>
      </c>
      <c r="L152" s="647">
        <f>L153+L163+L161+L162</f>
        <v>17779542</v>
      </c>
      <c r="M152" s="647">
        <f>M153+M163+M161+M162</f>
        <v>-229005</v>
      </c>
      <c r="N152" s="30"/>
      <c r="O152" s="36"/>
    </row>
    <row r="153" spans="1:33" s="11" customFormat="1">
      <c r="A153" s="2"/>
      <c r="B153" s="2"/>
      <c r="C153" s="1125" t="s">
        <v>25</v>
      </c>
      <c r="D153" s="1126"/>
      <c r="E153" s="1126"/>
      <c r="F153" s="1126"/>
      <c r="G153" s="1126"/>
      <c r="H153" s="1126"/>
      <c r="I153" s="1126"/>
      <c r="J153" s="1127"/>
      <c r="K153" s="648">
        <f>K154+K155+K156+K157+K158+K159+K160</f>
        <v>18001293</v>
      </c>
      <c r="L153" s="648">
        <f t="shared" ref="L153:M153" si="22">L154+L155+L156+L157+L158+L159+L160</f>
        <v>17772288</v>
      </c>
      <c r="M153" s="648">
        <f t="shared" si="22"/>
        <v>-229005</v>
      </c>
      <c r="N153" s="30"/>
      <c r="O153" s="36"/>
    </row>
    <row r="154" spans="1:33" s="11" customFormat="1">
      <c r="A154" s="2"/>
      <c r="B154" s="2"/>
      <c r="C154" s="1061" t="s">
        <v>50</v>
      </c>
      <c r="D154" s="1336"/>
      <c r="E154" s="1062"/>
      <c r="F154" s="1062"/>
      <c r="G154" s="1062"/>
      <c r="H154" s="1062"/>
      <c r="I154" s="1063"/>
      <c r="J154" s="1063"/>
      <c r="K154" s="649">
        <f>SUMIF(J15:J147,"sb",K15:K147)</f>
        <v>11937519</v>
      </c>
      <c r="L154" s="649">
        <f>SUMIF(J15:J147,"sb",L15:L147)</f>
        <v>11717302</v>
      </c>
      <c r="M154" s="649">
        <f>L154-K154</f>
        <v>-220217</v>
      </c>
      <c r="N154" s="35"/>
      <c r="O154" s="45"/>
    </row>
    <row r="155" spans="1:33" s="11" customFormat="1" ht="14.25" customHeight="1">
      <c r="A155" s="2"/>
      <c r="B155" s="2"/>
      <c r="C155" s="1064" t="s">
        <v>122</v>
      </c>
      <c r="D155" s="1065"/>
      <c r="E155" s="1065"/>
      <c r="F155" s="1065"/>
      <c r="G155" s="1065"/>
      <c r="H155" s="1065"/>
      <c r="I155" s="1065"/>
      <c r="J155" s="1066"/>
      <c r="K155" s="649">
        <f>SUMIF(J14:J145,"sb(VR)",K14:K145)</f>
        <v>25685</v>
      </c>
      <c r="L155" s="649">
        <f>SUMIF(J14:J145,"sb(VR)",L14:L145)</f>
        <v>25685</v>
      </c>
      <c r="M155" s="649">
        <f t="shared" ref="M155:M159" si="23">L155-K155</f>
        <v>0</v>
      </c>
      <c r="N155" s="35"/>
      <c r="O155" s="45"/>
    </row>
    <row r="156" spans="1:33" s="2" customFormat="1">
      <c r="C156" s="1052" t="s">
        <v>54</v>
      </c>
      <c r="D156" s="1339"/>
      <c r="E156" s="1053"/>
      <c r="F156" s="1053"/>
      <c r="G156" s="1053"/>
      <c r="H156" s="1053"/>
      <c r="I156" s="1054"/>
      <c r="J156" s="1054"/>
      <c r="K156" s="649">
        <f>SUMIF(J14:J147,"SB(Sp)",K14:K147)</f>
        <v>4478</v>
      </c>
      <c r="L156" s="649">
        <f>SUMIF(J14:J147,"SB(Sp)",L14:L147)</f>
        <v>4478</v>
      </c>
      <c r="M156" s="649">
        <f t="shared" si="23"/>
        <v>0</v>
      </c>
      <c r="N156" s="15"/>
      <c r="O156" s="38"/>
    </row>
    <row r="157" spans="1:33" s="11" customFormat="1">
      <c r="A157" s="2"/>
      <c r="B157" s="2"/>
      <c r="C157" s="1064" t="s">
        <v>43</v>
      </c>
      <c r="D157" s="1065"/>
      <c r="E157" s="1065"/>
      <c r="F157" s="1065"/>
      <c r="G157" s="1065"/>
      <c r="H157" s="1065"/>
      <c r="I157" s="1065"/>
      <c r="J157" s="1066"/>
      <c r="K157" s="728">
        <f>SUMIF(J15:J144,"SB(VB)",K15:K144)</f>
        <v>1057644</v>
      </c>
      <c r="L157" s="728">
        <f>SUMIF(J15:J144,"SB(VB)",L15:L144)</f>
        <v>1048856</v>
      </c>
      <c r="M157" s="649">
        <f t="shared" si="23"/>
        <v>-8788</v>
      </c>
      <c r="N157" s="16"/>
      <c r="O157" s="44"/>
    </row>
    <row r="158" spans="1:33" s="11" customFormat="1">
      <c r="A158" s="2"/>
      <c r="B158" s="2"/>
      <c r="C158" s="1064" t="s">
        <v>106</v>
      </c>
      <c r="D158" s="1065"/>
      <c r="E158" s="1065"/>
      <c r="F158" s="1065"/>
      <c r="G158" s="1065"/>
      <c r="H158" s="1065"/>
      <c r="I158" s="1065"/>
      <c r="J158" s="1066"/>
      <c r="K158" s="728">
        <f>SUMIF(J15:J144,"sb(P)",K15:K144)</f>
        <v>172324</v>
      </c>
      <c r="L158" s="728">
        <f>SUMIF(J15:J144,"sb(P)",L15:L144)</f>
        <v>172324</v>
      </c>
      <c r="M158" s="649">
        <f t="shared" si="23"/>
        <v>0</v>
      </c>
      <c r="N158" s="16"/>
      <c r="O158" s="44"/>
    </row>
    <row r="159" spans="1:33" s="2" customFormat="1">
      <c r="C159" s="1055" t="s">
        <v>350</v>
      </c>
      <c r="D159" s="1340"/>
      <c r="E159" s="1056"/>
      <c r="F159" s="1056"/>
      <c r="G159" s="1056"/>
      <c r="H159" s="1056"/>
      <c r="I159" s="1057"/>
      <c r="J159" s="1057"/>
      <c r="K159" s="728">
        <f>SUMIF(J12:J144,"sb(L)",K12:K144)</f>
        <v>4792058</v>
      </c>
      <c r="L159" s="728">
        <f>SUMIF(J12:J144,"sb(L)",L12:L144)</f>
        <v>4792058</v>
      </c>
      <c r="M159" s="649">
        <f t="shared" si="23"/>
        <v>0</v>
      </c>
      <c r="O159" s="38"/>
    </row>
    <row r="160" spans="1:33" s="2" customFormat="1">
      <c r="C160" s="1058" t="s">
        <v>359</v>
      </c>
      <c r="D160" s="1059"/>
      <c r="E160" s="1059"/>
      <c r="F160" s="1059"/>
      <c r="G160" s="1059"/>
      <c r="H160" s="1059"/>
      <c r="I160" s="1059"/>
      <c r="J160" s="1060"/>
      <c r="K160" s="728">
        <f>SUMIF(J13:J145,"sb(KPP)",K13:K145)</f>
        <v>11585</v>
      </c>
      <c r="L160" s="728">
        <f>SUMIF(J13:J145,"SB(KPP)",L13:L145)</f>
        <v>11585</v>
      </c>
      <c r="M160" s="728">
        <f>L160-K160</f>
        <v>0</v>
      </c>
      <c r="O160" s="38"/>
    </row>
    <row r="161" spans="3:15" s="2" customFormat="1">
      <c r="C161" s="1105" t="s">
        <v>352</v>
      </c>
      <c r="D161" s="1338"/>
      <c r="E161" s="1106"/>
      <c r="F161" s="1106"/>
      <c r="G161" s="1106"/>
      <c r="H161" s="1106"/>
      <c r="I161" s="1107"/>
      <c r="J161" s="1107"/>
      <c r="K161" s="648">
        <f>SUMIF(J13:J145,"sb(SPL)",K13:K145)</f>
        <v>3181</v>
      </c>
      <c r="L161" s="648">
        <f>SUMIF(J13:J145,"sb(SPL)",L13:L145)</f>
        <v>3181</v>
      </c>
      <c r="M161" s="648">
        <f>SUMIF(L13:L145,"sb(SPL)",M13:M145)</f>
        <v>0</v>
      </c>
      <c r="O161" s="38"/>
    </row>
    <row r="162" spans="3:15" s="2" customFormat="1">
      <c r="C162" s="1105" t="s">
        <v>351</v>
      </c>
      <c r="D162" s="1338"/>
      <c r="E162" s="1106"/>
      <c r="F162" s="1106"/>
      <c r="G162" s="1106"/>
      <c r="H162" s="1106"/>
      <c r="I162" s="1107"/>
      <c r="J162" s="1107"/>
      <c r="K162" s="648">
        <f>SUMIF(J14:J146,"sb(VRL)",K14:K146)</f>
        <v>18</v>
      </c>
      <c r="L162" s="648">
        <f>SUMIF(J14:J146,"sb(VRL)",L14:L146)</f>
        <v>18</v>
      </c>
      <c r="M162" s="648">
        <f>SUMIF(L14:L146,"sb(VRL)",M14:M146)</f>
        <v>0</v>
      </c>
      <c r="O162" s="38"/>
    </row>
    <row r="163" spans="3:15" s="2" customFormat="1">
      <c r="C163" s="1105" t="s">
        <v>138</v>
      </c>
      <c r="D163" s="1338"/>
      <c r="E163" s="1106"/>
      <c r="F163" s="1106"/>
      <c r="G163" s="1106"/>
      <c r="H163" s="1106"/>
      <c r="I163" s="1107"/>
      <c r="J163" s="1107"/>
      <c r="K163" s="648">
        <f>SUMIF(J15:J144,"pf",K15:K144)</f>
        <v>4055</v>
      </c>
      <c r="L163" s="648">
        <f>SUMIF(J15:J144,"pf",L15:L144)</f>
        <v>4055</v>
      </c>
      <c r="M163" s="648">
        <f>SUMIF(L15:L144,"pf",M15:M144)</f>
        <v>0</v>
      </c>
      <c r="N163" s="15"/>
      <c r="O163" s="38"/>
    </row>
    <row r="164" spans="3:15" s="2" customFormat="1">
      <c r="C164" s="1108" t="s">
        <v>20</v>
      </c>
      <c r="D164" s="1337"/>
      <c r="E164" s="1109"/>
      <c r="F164" s="1109"/>
      <c r="G164" s="1109"/>
      <c r="H164" s="1109"/>
      <c r="I164" s="1110"/>
      <c r="J164" s="1110"/>
      <c r="K164" s="650">
        <f>K165+K166+K167+K168</f>
        <v>228538</v>
      </c>
      <c r="L164" s="650">
        <f>L165+L166+L167+L168</f>
        <v>228538</v>
      </c>
      <c r="M164" s="650">
        <f>M165+M166+M167+M168</f>
        <v>0</v>
      </c>
      <c r="N164" s="15"/>
      <c r="O164" s="38"/>
    </row>
    <row r="165" spans="3:15" s="2" customFormat="1">
      <c r="C165" s="1103" t="s">
        <v>51</v>
      </c>
      <c r="D165" s="1104"/>
      <c r="E165" s="1104"/>
      <c r="F165" s="1104"/>
      <c r="G165" s="1104"/>
      <c r="H165" s="1104"/>
      <c r="I165" s="1104"/>
      <c r="J165" s="1104"/>
      <c r="K165" s="649">
        <f>SUMIF(J15:J144,"es",K15:K144)</f>
        <v>227930</v>
      </c>
      <c r="L165" s="649">
        <f>SUMIF(J15:J144,"es",L15:L144)</f>
        <v>227930</v>
      </c>
      <c r="M165" s="649">
        <f>SUMIF(J15:J144,"es",M15:M144)</f>
        <v>0</v>
      </c>
      <c r="O165" s="38"/>
    </row>
    <row r="166" spans="3:15" s="2" customFormat="1">
      <c r="C166" s="1061" t="s">
        <v>52</v>
      </c>
      <c r="D166" s="1336"/>
      <c r="E166" s="1062"/>
      <c r="F166" s="1062"/>
      <c r="G166" s="1062"/>
      <c r="H166" s="1062"/>
      <c r="I166" s="1063"/>
      <c r="J166" s="1063"/>
      <c r="K166" s="649">
        <f>SUMIF(J15:J144,"lrvb",K15:K144)</f>
        <v>608</v>
      </c>
      <c r="L166" s="649">
        <f>SUMIF(J15:J144,"lrvb",L15:L144)</f>
        <v>608</v>
      </c>
      <c r="M166" s="649">
        <f>L166-K166</f>
        <v>0</v>
      </c>
      <c r="O166" s="38"/>
    </row>
    <row r="167" spans="3:15" s="2" customFormat="1">
      <c r="C167" s="1058" t="s">
        <v>202</v>
      </c>
      <c r="D167" s="1474"/>
      <c r="E167" s="1474"/>
      <c r="F167" s="1474"/>
      <c r="G167" s="1474"/>
      <c r="H167" s="1474"/>
      <c r="I167" s="1474"/>
      <c r="J167" s="1475"/>
      <c r="K167" s="649">
        <f>SUMIF(J15:J144,"Kt",K15:K144)</f>
        <v>0</v>
      </c>
      <c r="L167" s="649">
        <f>SUMIF(J15:J144,"Kt",L15:L144)</f>
        <v>0</v>
      </c>
      <c r="M167" s="649">
        <f>SUMIF(L15:L144,"Kt",M15:M144)</f>
        <v>0</v>
      </c>
      <c r="O167" s="38"/>
    </row>
    <row r="168" spans="3:15" s="2" customFormat="1">
      <c r="C168" s="1058" t="s">
        <v>40</v>
      </c>
      <c r="D168" s="1059"/>
      <c r="E168" s="1059"/>
      <c r="F168" s="1059"/>
      <c r="G168" s="1059"/>
      <c r="H168" s="1059"/>
      <c r="I168" s="1059"/>
      <c r="J168" s="1060"/>
      <c r="K168" s="649">
        <f>SUMIF(J15:J144,"kpp",K15:K144)</f>
        <v>0</v>
      </c>
      <c r="L168" s="649"/>
      <c r="M168" s="649">
        <f>L168-K168</f>
        <v>0</v>
      </c>
      <c r="N168" s="937"/>
      <c r="O168" s="38"/>
    </row>
    <row r="169" spans="3:15" s="2" customFormat="1" ht="13.5" thickBot="1">
      <c r="C169" s="1100" t="s">
        <v>21</v>
      </c>
      <c r="D169" s="1101"/>
      <c r="E169" s="1101"/>
      <c r="F169" s="1101"/>
      <c r="G169" s="1101"/>
      <c r="H169" s="1101"/>
      <c r="I169" s="1101"/>
      <c r="J169" s="1102"/>
      <c r="K169" s="651">
        <f>K152+K164</f>
        <v>18237085</v>
      </c>
      <c r="L169" s="651">
        <f>L152+L164</f>
        <v>18008080</v>
      </c>
      <c r="M169" s="651">
        <f>M152+M164</f>
        <v>-229005</v>
      </c>
      <c r="N169" s="937"/>
      <c r="O169" s="38"/>
    </row>
    <row r="170" spans="3:15" ht="11.25">
      <c r="E170" s="1"/>
      <c r="F170" s="1"/>
      <c r="H170" s="1"/>
      <c r="J170" s="5"/>
      <c r="K170" s="565"/>
      <c r="L170" s="565"/>
      <c r="M170" s="565"/>
      <c r="O170" s="1"/>
    </row>
    <row r="172" spans="3:15">
      <c r="K172" s="5"/>
      <c r="L172" s="5"/>
      <c r="M172" s="5"/>
    </row>
    <row r="173" spans="3:15" ht="11.25">
      <c r="E173" s="1"/>
      <c r="F173" s="1"/>
      <c r="H173" s="1"/>
      <c r="J173" s="4"/>
      <c r="K173" s="27"/>
      <c r="L173" s="27"/>
      <c r="M173" s="27"/>
      <c r="O173" s="1"/>
    </row>
    <row r="174" spans="3:15" ht="11.25">
      <c r="E174" s="1"/>
      <c r="F174" s="1"/>
      <c r="H174" s="1"/>
      <c r="J174" s="5"/>
      <c r="K174" s="5"/>
      <c r="L174" s="5"/>
      <c r="M174" s="5"/>
      <c r="O174" s="1"/>
    </row>
    <row r="175" spans="3:15" ht="11.25">
      <c r="E175" s="1"/>
      <c r="F175" s="1"/>
      <c r="H175" s="1"/>
      <c r="O175" s="1"/>
    </row>
    <row r="176" spans="3:15" ht="11.25">
      <c r="E176" s="1"/>
      <c r="F176" s="1"/>
      <c r="H176" s="1"/>
      <c r="J176" s="5"/>
      <c r="K176" s="5"/>
      <c r="L176" s="5"/>
      <c r="M176" s="5"/>
      <c r="O176" s="1"/>
    </row>
    <row r="178" spans="5:15" ht="11.25">
      <c r="E178" s="1"/>
      <c r="F178" s="1"/>
      <c r="H178" s="1"/>
      <c r="J178" s="4"/>
      <c r="O178" s="1"/>
    </row>
    <row r="179" spans="5:15" ht="11.25">
      <c r="E179" s="1"/>
      <c r="F179" s="1"/>
      <c r="H179" s="1"/>
      <c r="J179" s="5"/>
      <c r="O179" s="1"/>
    </row>
    <row r="181" spans="5:15" ht="11.25">
      <c r="E181" s="1"/>
      <c r="F181" s="1"/>
      <c r="H181" s="1"/>
      <c r="J181" s="5"/>
      <c r="O181" s="1"/>
    </row>
  </sheetData>
  <mergeCells count="262">
    <mergeCell ref="N7:O7"/>
    <mergeCell ref="N8:N9"/>
    <mergeCell ref="A10:O10"/>
    <mergeCell ref="A11:O11"/>
    <mergeCell ref="B12:O12"/>
    <mergeCell ref="C13:O13"/>
    <mergeCell ref="F7:F9"/>
    <mergeCell ref="G7:G9"/>
    <mergeCell ref="H7:H9"/>
    <mergeCell ref="I7:I9"/>
    <mergeCell ref="J7:J9"/>
    <mergeCell ref="K7:K9"/>
    <mergeCell ref="N1:O1"/>
    <mergeCell ref="O15:O16"/>
    <mergeCell ref="A18:A19"/>
    <mergeCell ref="B18:B19"/>
    <mergeCell ref="C18:C19"/>
    <mergeCell ref="E18:E21"/>
    <mergeCell ref="F18:F19"/>
    <mergeCell ref="G18:G21"/>
    <mergeCell ref="H18:H19"/>
    <mergeCell ref="E15:E16"/>
    <mergeCell ref="F15:F16"/>
    <mergeCell ref="G15:G16"/>
    <mergeCell ref="H15:H16"/>
    <mergeCell ref="I15:I17"/>
    <mergeCell ref="N15:N16"/>
    <mergeCell ref="A3:O3"/>
    <mergeCell ref="E4:N4"/>
    <mergeCell ref="A5:O5"/>
    <mergeCell ref="N6:O6"/>
    <mergeCell ref="A7:A9"/>
    <mergeCell ref="B7:B9"/>
    <mergeCell ref="C7:C9"/>
    <mergeCell ref="D7:D9"/>
    <mergeCell ref="E7:E9"/>
    <mergeCell ref="I24:I26"/>
    <mergeCell ref="E27:E30"/>
    <mergeCell ref="F32:F34"/>
    <mergeCell ref="G32:G34"/>
    <mergeCell ref="I32:I33"/>
    <mergeCell ref="E36:E37"/>
    <mergeCell ref="G36:G37"/>
    <mergeCell ref="I36:I37"/>
    <mergeCell ref="A24:A31"/>
    <mergeCell ref="B24:B31"/>
    <mergeCell ref="C24:C31"/>
    <mergeCell ref="F24:F31"/>
    <mergeCell ref="G24:G31"/>
    <mergeCell ref="H24:H31"/>
    <mergeCell ref="E38:E39"/>
    <mergeCell ref="G38:G39"/>
    <mergeCell ref="I38:I39"/>
    <mergeCell ref="A40:A41"/>
    <mergeCell ref="B40:B41"/>
    <mergeCell ref="C40:C41"/>
    <mergeCell ref="E40:E41"/>
    <mergeCell ref="F40:F41"/>
    <mergeCell ref="G40:G41"/>
    <mergeCell ref="H40:H41"/>
    <mergeCell ref="F42:F43"/>
    <mergeCell ref="G42:G44"/>
    <mergeCell ref="H42:H43"/>
    <mergeCell ref="I46:J46"/>
    <mergeCell ref="A47:A48"/>
    <mergeCell ref="B47:B48"/>
    <mergeCell ref="C47:C48"/>
    <mergeCell ref="E47:E48"/>
    <mergeCell ref="F47:F48"/>
    <mergeCell ref="G47:G48"/>
    <mergeCell ref="H47:H48"/>
    <mergeCell ref="I47:I48"/>
    <mergeCell ref="N47:N48"/>
    <mergeCell ref="O47:O48"/>
    <mergeCell ref="A49:A50"/>
    <mergeCell ref="B49:B50"/>
    <mergeCell ref="C49:C50"/>
    <mergeCell ref="E49:E50"/>
    <mergeCell ref="F49:F50"/>
    <mergeCell ref="G49:G50"/>
    <mergeCell ref="H49:H50"/>
    <mergeCell ref="I49:I50"/>
    <mergeCell ref="N49:N50"/>
    <mergeCell ref="O51:O52"/>
    <mergeCell ref="A53:A54"/>
    <mergeCell ref="B53:B54"/>
    <mergeCell ref="C53:C54"/>
    <mergeCell ref="E53:E54"/>
    <mergeCell ref="F53:F54"/>
    <mergeCell ref="G53:G54"/>
    <mergeCell ref="H53:H54"/>
    <mergeCell ref="I57:I58"/>
    <mergeCell ref="A51:A52"/>
    <mergeCell ref="B51:B52"/>
    <mergeCell ref="C51:C52"/>
    <mergeCell ref="E51:E52"/>
    <mergeCell ref="F51:F52"/>
    <mergeCell ref="G51:G52"/>
    <mergeCell ref="H51:H52"/>
    <mergeCell ref="I51:I52"/>
    <mergeCell ref="N51:N52"/>
    <mergeCell ref="I59:J59"/>
    <mergeCell ref="A60:A62"/>
    <mergeCell ref="B60:B62"/>
    <mergeCell ref="C60:C62"/>
    <mergeCell ref="E60:E62"/>
    <mergeCell ref="F60:F62"/>
    <mergeCell ref="G60:G62"/>
    <mergeCell ref="H60:H62"/>
    <mergeCell ref="I60:I62"/>
    <mergeCell ref="D66:D68"/>
    <mergeCell ref="E66:E68"/>
    <mergeCell ref="I66:I67"/>
    <mergeCell ref="E69:E70"/>
    <mergeCell ref="G72:G73"/>
    <mergeCell ref="D74:D75"/>
    <mergeCell ref="E74:E75"/>
    <mergeCell ref="N60:N62"/>
    <mergeCell ref="A63:A64"/>
    <mergeCell ref="B63:B64"/>
    <mergeCell ref="C63:C64"/>
    <mergeCell ref="E63:E64"/>
    <mergeCell ref="F63:F64"/>
    <mergeCell ref="G63:G64"/>
    <mergeCell ref="H63:H64"/>
    <mergeCell ref="I63:I64"/>
    <mergeCell ref="I76:I77"/>
    <mergeCell ref="D77:D78"/>
    <mergeCell ref="E77:E78"/>
    <mergeCell ref="E79:E81"/>
    <mergeCell ref="I85:J85"/>
    <mergeCell ref="A86:A87"/>
    <mergeCell ref="B86:B87"/>
    <mergeCell ref="C86:C87"/>
    <mergeCell ref="D86:D87"/>
    <mergeCell ref="E86:E87"/>
    <mergeCell ref="N90:N91"/>
    <mergeCell ref="C92:J92"/>
    <mergeCell ref="C93:O93"/>
    <mergeCell ref="F86:F87"/>
    <mergeCell ref="G86:G87"/>
    <mergeCell ref="H86:H87"/>
    <mergeCell ref="I86:I87"/>
    <mergeCell ref="A88:A91"/>
    <mergeCell ref="B88:B91"/>
    <mergeCell ref="C88:C91"/>
    <mergeCell ref="D88:D91"/>
    <mergeCell ref="F88:F91"/>
    <mergeCell ref="G88:G89"/>
    <mergeCell ref="F95:F99"/>
    <mergeCell ref="G95:G99"/>
    <mergeCell ref="I95:I97"/>
    <mergeCell ref="F100:F103"/>
    <mergeCell ref="I100:I102"/>
    <mergeCell ref="G101:G103"/>
    <mergeCell ref="H88:H91"/>
    <mergeCell ref="I88:I91"/>
    <mergeCell ref="G90:G91"/>
    <mergeCell ref="E110:E112"/>
    <mergeCell ref="F110:F112"/>
    <mergeCell ref="G110:G112"/>
    <mergeCell ref="H110:H112"/>
    <mergeCell ref="I110:I112"/>
    <mergeCell ref="N110:N111"/>
    <mergeCell ref="N103:N104"/>
    <mergeCell ref="I106:J106"/>
    <mergeCell ref="E107:E109"/>
    <mergeCell ref="F107:F109"/>
    <mergeCell ref="G107:G109"/>
    <mergeCell ref="H107:H109"/>
    <mergeCell ref="I107:I109"/>
    <mergeCell ref="N108:N109"/>
    <mergeCell ref="A118:A120"/>
    <mergeCell ref="B118:B120"/>
    <mergeCell ref="C118:C120"/>
    <mergeCell ref="E118:E120"/>
    <mergeCell ref="F118:F120"/>
    <mergeCell ref="G118:G120"/>
    <mergeCell ref="A126:A129"/>
    <mergeCell ref="B126:B129"/>
    <mergeCell ref="N113:N114"/>
    <mergeCell ref="C116:J116"/>
    <mergeCell ref="C117:O117"/>
    <mergeCell ref="A113:A115"/>
    <mergeCell ref="B113:B115"/>
    <mergeCell ref="C113:C115"/>
    <mergeCell ref="D113:D115"/>
    <mergeCell ref="E113:E115"/>
    <mergeCell ref="F113:F115"/>
    <mergeCell ref="G113:G115"/>
    <mergeCell ref="H113:H115"/>
    <mergeCell ref="I113:I115"/>
    <mergeCell ref="A121:A123"/>
    <mergeCell ref="A142:A144"/>
    <mergeCell ref="B142:B144"/>
    <mergeCell ref="C142:C144"/>
    <mergeCell ref="E142:E144"/>
    <mergeCell ref="F142:F144"/>
    <mergeCell ref="G142:G144"/>
    <mergeCell ref="H142:H144"/>
    <mergeCell ref="I142:I144"/>
    <mergeCell ref="N124:N125"/>
    <mergeCell ref="C130:J130"/>
    <mergeCell ref="N130:O130"/>
    <mergeCell ref="C131:O131"/>
    <mergeCell ref="G134:G138"/>
    <mergeCell ref="E136:E138"/>
    <mergeCell ref="A124:A125"/>
    <mergeCell ref="B124:B125"/>
    <mergeCell ref="C124:C125"/>
    <mergeCell ref="E124:E125"/>
    <mergeCell ref="F124:F125"/>
    <mergeCell ref="G124:G125"/>
    <mergeCell ref="H124:H125"/>
    <mergeCell ref="I124:I125"/>
    <mergeCell ref="N143:N144"/>
    <mergeCell ref="C145:J145"/>
    <mergeCell ref="N145:O145"/>
    <mergeCell ref="B146:J146"/>
    <mergeCell ref="N146:O146"/>
    <mergeCell ref="B147:J147"/>
    <mergeCell ref="N147:O147"/>
    <mergeCell ref="I141:J141"/>
    <mergeCell ref="H118:H120"/>
    <mergeCell ref="I118:I120"/>
    <mergeCell ref="B121:B123"/>
    <mergeCell ref="C121:C123"/>
    <mergeCell ref="E121:E123"/>
    <mergeCell ref="F121:F123"/>
    <mergeCell ref="G121:G123"/>
    <mergeCell ref="H121:H123"/>
    <mergeCell ref="I121:I123"/>
    <mergeCell ref="C126:C129"/>
    <mergeCell ref="E126:E129"/>
    <mergeCell ref="F126:F129"/>
    <mergeCell ref="G126:G129"/>
    <mergeCell ref="H126:H129"/>
    <mergeCell ref="I126:I129"/>
    <mergeCell ref="A148:M148"/>
    <mergeCell ref="C160:J160"/>
    <mergeCell ref="C168:J168"/>
    <mergeCell ref="C169:J169"/>
    <mergeCell ref="L7:L9"/>
    <mergeCell ref="M7:M9"/>
    <mergeCell ref="I79:I80"/>
    <mergeCell ref="C162:J162"/>
    <mergeCell ref="C163:J163"/>
    <mergeCell ref="C164:J164"/>
    <mergeCell ref="C165:J165"/>
    <mergeCell ref="C166:J166"/>
    <mergeCell ref="C167:J167"/>
    <mergeCell ref="C155:J155"/>
    <mergeCell ref="C156:J156"/>
    <mergeCell ref="C157:J157"/>
    <mergeCell ref="C158:J158"/>
    <mergeCell ref="C159:J159"/>
    <mergeCell ref="C161:J161"/>
    <mergeCell ref="C149:K149"/>
    <mergeCell ref="C151:J151"/>
    <mergeCell ref="C152:J152"/>
    <mergeCell ref="C153:J153"/>
    <mergeCell ref="C154:J154"/>
  </mergeCells>
  <printOptions horizontalCentered="1"/>
  <pageMargins left="0.78740157480314965" right="0.19685039370078741" top="0.39370078740157483" bottom="0.39370078740157483" header="0" footer="0"/>
  <pageSetup paperSize="9" scale="65" orientation="portrait" r:id="rId1"/>
  <rowBreaks count="3" manualBreakCount="3">
    <brk id="41" max="12" man="1"/>
    <brk id="78" max="14" man="1"/>
    <brk id="125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Asignavimų valdytojų kodai</vt:lpstr>
      <vt:lpstr>3 programa</vt:lpstr>
      <vt:lpstr>2015 MVP</vt:lpstr>
      <vt:lpstr>Lyginamasis variantas</vt:lpstr>
      <vt:lpstr>'2015 MVP'!Print_Area</vt:lpstr>
      <vt:lpstr>'3 programa'!Print_Area</vt:lpstr>
      <vt:lpstr>'Lyginamasis variantas'!Print_Area</vt:lpstr>
      <vt:lpstr>'2015 MVP'!Print_Titles</vt:lpstr>
      <vt:lpstr>'3 programa'!Print_Titles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Audra Cepiene</cp:lastModifiedBy>
  <cp:lastPrinted>2015-10-09T06:41:06Z</cp:lastPrinted>
  <dcterms:created xsi:type="dcterms:W3CDTF">2004-05-19T10:48:48Z</dcterms:created>
  <dcterms:modified xsi:type="dcterms:W3CDTF">2015-12-09T13:16:40Z</dcterms:modified>
</cp:coreProperties>
</file>