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95" windowWidth="19200" windowHeight="10800" tabRatio="723" firstSheet="1" activeTab="1"/>
  </bookViews>
  <sheets>
    <sheet name="Asignavimu valdytojų kodai" sheetId="35" state="hidden" r:id="rId1"/>
    <sheet name="2015 MVP" sheetId="36" r:id="rId2"/>
    <sheet name="Lyginamasis variantas" sheetId="37" r:id="rId3"/>
  </sheets>
  <definedNames>
    <definedName name="dokumentoNr" localSheetId="1">'2015 MVP'!$O$7</definedName>
    <definedName name="_xlnm.Print_Area" localSheetId="1">'2015 MVP'!$A$1:$N$169</definedName>
    <definedName name="_xlnm.Print_Area" localSheetId="2">'Lyginamasis variantas'!$A$1:$P$167</definedName>
    <definedName name="_xlnm.Print_Titles" localSheetId="1">'2015 MVP'!$8:$10</definedName>
    <definedName name="_xlnm.Print_Titles" localSheetId="2">'Lyginamasis variantas'!$7:$9</definedName>
    <definedName name="registravimoDataIlga" localSheetId="1">'2015 MVP'!$O$6</definedName>
  </definedNames>
  <calcPr calcId="145621" fullPrecision="0"/>
</workbook>
</file>

<file path=xl/calcChain.xml><?xml version="1.0" encoding="utf-8"?>
<calcChain xmlns="http://schemas.openxmlformats.org/spreadsheetml/2006/main">
  <c r="L137" i="36" l="1"/>
  <c r="L133" i="36"/>
  <c r="M132" i="37"/>
  <c r="N136" i="37"/>
  <c r="M136" i="37"/>
  <c r="L108" i="37" l="1"/>
  <c r="L104" i="37"/>
  <c r="L143" i="36" l="1"/>
  <c r="N143" i="37"/>
  <c r="N142" i="37"/>
  <c r="M142" i="37"/>
  <c r="N132" i="37"/>
  <c r="N141" i="37" s="1"/>
  <c r="M78" i="37"/>
  <c r="L22" i="36"/>
  <c r="L27" i="36"/>
  <c r="M15" i="37" l="1"/>
  <c r="L119" i="36" l="1"/>
  <c r="N119" i="37"/>
  <c r="L118" i="37"/>
  <c r="M118" i="37"/>
  <c r="N118" i="37"/>
  <c r="L103" i="36"/>
  <c r="M102" i="37"/>
  <c r="L102" i="37"/>
  <c r="N101" i="37"/>
  <c r="N102" i="37" s="1"/>
  <c r="L98" i="36"/>
  <c r="M97" i="37"/>
  <c r="L97" i="37"/>
  <c r="N95" i="37"/>
  <c r="N97" i="37" s="1"/>
  <c r="N86" i="37"/>
  <c r="N88" i="37" s="1"/>
  <c r="M26" i="37"/>
  <c r="M21" i="37"/>
  <c r="L28" i="36"/>
  <c r="L23" i="36"/>
  <c r="M27" i="37"/>
  <c r="N27" i="37" s="1"/>
  <c r="M22" i="37"/>
  <c r="N22" i="37" s="1"/>
  <c r="N117" i="37" l="1"/>
  <c r="L128" i="37" l="1"/>
  <c r="L129" i="37" s="1"/>
  <c r="L122" i="37"/>
  <c r="L123" i="37" s="1"/>
  <c r="L121" i="37"/>
  <c r="L115" i="37"/>
  <c r="L111" i="37"/>
  <c r="L113" i="37" s="1"/>
  <c r="L109" i="37"/>
  <c r="L107" i="37"/>
  <c r="L100" i="37"/>
  <c r="L94" i="37"/>
  <c r="L90" i="37"/>
  <c r="L91" i="37" s="1"/>
  <c r="L110" i="37" l="1"/>
  <c r="L124" i="37" s="1"/>
  <c r="L105" i="36"/>
  <c r="L109" i="36"/>
  <c r="M104" i="37"/>
  <c r="N104" i="37" s="1"/>
  <c r="N107" i="37" s="1"/>
  <c r="M108" i="37"/>
  <c r="N108" i="37" s="1"/>
  <c r="L116" i="36" l="1"/>
  <c r="L101" i="36"/>
  <c r="L92" i="36"/>
  <c r="L95" i="36"/>
  <c r="M90" i="37"/>
  <c r="M91" i="37" s="1"/>
  <c r="N158" i="37"/>
  <c r="N157" i="37"/>
  <c r="N149" i="37"/>
  <c r="M165" i="37"/>
  <c r="M121" i="37"/>
  <c r="M162" i="37"/>
  <c r="M161" i="37"/>
  <c r="M159" i="37"/>
  <c r="M158" i="37"/>
  <c r="L162" i="37"/>
  <c r="L161" i="37"/>
  <c r="L159" i="37"/>
  <c r="L158" i="37"/>
  <c r="M146" i="37"/>
  <c r="M148" i="37" s="1"/>
  <c r="M144" i="37"/>
  <c r="M145" i="37" s="1"/>
  <c r="M143" i="37"/>
  <c r="M140" i="37"/>
  <c r="M139" i="37"/>
  <c r="M137" i="37"/>
  <c r="M135" i="37"/>
  <c r="M133" i="37"/>
  <c r="M128" i="37"/>
  <c r="M129" i="37" s="1"/>
  <c r="M122" i="37"/>
  <c r="M123" i="37" s="1"/>
  <c r="M107" i="37"/>
  <c r="M87" i="37"/>
  <c r="M88" i="37" s="1"/>
  <c r="M79" i="37"/>
  <c r="M76" i="37"/>
  <c r="M77" i="37" s="1"/>
  <c r="M75" i="37"/>
  <c r="M71" i="37"/>
  <c r="M73" i="37" s="1"/>
  <c r="M69" i="37"/>
  <c r="M70" i="37" s="1"/>
  <c r="M68" i="37"/>
  <c r="M65" i="37"/>
  <c r="M66" i="37" s="1"/>
  <c r="M61" i="37"/>
  <c r="M62" i="37" s="1"/>
  <c r="M59" i="37"/>
  <c r="M60" i="37" s="1"/>
  <c r="M58" i="37"/>
  <c r="M56" i="37"/>
  <c r="M53" i="37"/>
  <c r="M54" i="37" s="1"/>
  <c r="M48" i="37"/>
  <c r="M51" i="37" s="1"/>
  <c r="M44" i="37"/>
  <c r="M42" i="37"/>
  <c r="M39" i="37"/>
  <c r="M37" i="37"/>
  <c r="M34" i="37"/>
  <c r="M32" i="37"/>
  <c r="M31" i="37"/>
  <c r="M25" i="37"/>
  <c r="M111" i="37"/>
  <c r="M113" i="37" s="1"/>
  <c r="M115" i="37"/>
  <c r="N116" i="37"/>
  <c r="N109" i="37"/>
  <c r="N110" i="37" s="1"/>
  <c r="M109" i="37"/>
  <c r="M100" i="37"/>
  <c r="N100" i="37" s="1"/>
  <c r="M94" i="37"/>
  <c r="M98" i="37" l="1"/>
  <c r="M124" i="37" s="1"/>
  <c r="M157" i="37"/>
  <c r="M156" i="37"/>
  <c r="M36" i="37"/>
  <c r="M110" i="37"/>
  <c r="M141" i="37"/>
  <c r="M149" i="37" s="1"/>
  <c r="M80" i="37"/>
  <c r="M164" i="37"/>
  <c r="M163" i="37" s="1"/>
  <c r="N90" i="37"/>
  <c r="M20" i="37"/>
  <c r="M46" i="37"/>
  <c r="M160" i="37"/>
  <c r="M41" i="37"/>
  <c r="N89" i="37"/>
  <c r="N92" i="37"/>
  <c r="N94" i="37" s="1"/>
  <c r="M150" i="37" l="1"/>
  <c r="M52" i="37"/>
  <c r="M63" i="37" s="1"/>
  <c r="M81" i="37" s="1"/>
  <c r="N91" i="37"/>
  <c r="N98" i="37" s="1"/>
  <c r="M155" i="37"/>
  <c r="M166" i="37" s="1"/>
  <c r="N159" i="37"/>
  <c r="M151" i="37" l="1"/>
  <c r="L146" i="37"/>
  <c r="L148" i="37" s="1"/>
  <c r="L144" i="37"/>
  <c r="L145" i="37" s="1"/>
  <c r="L142" i="37"/>
  <c r="L143" i="37" s="1"/>
  <c r="L140" i="37"/>
  <c r="L139" i="37"/>
  <c r="L137" i="37"/>
  <c r="L136" i="37"/>
  <c r="L135" i="37"/>
  <c r="L133" i="37"/>
  <c r="L132" i="37"/>
  <c r="L87" i="37"/>
  <c r="L88" i="37" s="1"/>
  <c r="N78" i="37"/>
  <c r="L76" i="37"/>
  <c r="L77" i="37" s="1"/>
  <c r="L75" i="37"/>
  <c r="L71" i="37"/>
  <c r="L73" i="37" s="1"/>
  <c r="L69" i="37"/>
  <c r="L70" i="37" s="1"/>
  <c r="L68" i="37"/>
  <c r="L65" i="37"/>
  <c r="L66" i="37" s="1"/>
  <c r="L61" i="37"/>
  <c r="L62" i="37" s="1"/>
  <c r="L59" i="37"/>
  <c r="L60" i="37" s="1"/>
  <c r="L58" i="37"/>
  <c r="L56" i="37"/>
  <c r="L53" i="37"/>
  <c r="L48" i="37"/>
  <c r="L51" i="37" s="1"/>
  <c r="L44" i="37"/>
  <c r="L42" i="37"/>
  <c r="L39" i="37"/>
  <c r="L37" i="37"/>
  <c r="L34" i="37"/>
  <c r="L157" i="37" s="1"/>
  <c r="L32" i="37"/>
  <c r="L26" i="37"/>
  <c r="L21" i="37"/>
  <c r="L15" i="37"/>
  <c r="N20" i="37" s="1"/>
  <c r="N162" i="37"/>
  <c r="N161" i="37"/>
  <c r="N164" i="37"/>
  <c r="P78" i="37"/>
  <c r="N160" i="37"/>
  <c r="L31" i="37" l="1"/>
  <c r="N26" i="37"/>
  <c r="N31" i="37" s="1"/>
  <c r="L25" i="37"/>
  <c r="N21" i="37"/>
  <c r="L141" i="37"/>
  <c r="L149" i="37" s="1"/>
  <c r="L41" i="37"/>
  <c r="N120" i="37"/>
  <c r="L165" i="37"/>
  <c r="L54" i="37"/>
  <c r="L160" i="37"/>
  <c r="L98" i="37"/>
  <c r="L164" i="37"/>
  <c r="N126" i="37"/>
  <c r="N128" i="37" s="1"/>
  <c r="N129" i="37" s="1"/>
  <c r="L20" i="37"/>
  <c r="L156" i="37"/>
  <c r="N79" i="37"/>
  <c r="N80" i="37" s="1"/>
  <c r="L36" i="37"/>
  <c r="L46" i="37"/>
  <c r="L79" i="37"/>
  <c r="L80" i="37" s="1"/>
  <c r="N25" i="37" l="1"/>
  <c r="N52" i="37"/>
  <c r="N63" i="37" s="1"/>
  <c r="N81" i="37" s="1"/>
  <c r="L155" i="37"/>
  <c r="N156" i="37"/>
  <c r="N155" i="37" s="1"/>
  <c r="L52" i="37"/>
  <c r="L63" i="37" s="1"/>
  <c r="L81" i="37" s="1"/>
  <c r="L163" i="37"/>
  <c r="L150" i="37"/>
  <c r="N165" i="37"/>
  <c r="N163" i="37" s="1"/>
  <c r="N121" i="37"/>
  <c r="N124" i="37" s="1"/>
  <c r="N150" i="37" l="1"/>
  <c r="N151" i="37" s="1"/>
  <c r="L166" i="37"/>
  <c r="N166" i="37"/>
  <c r="L151" i="37"/>
  <c r="L159" i="36" l="1"/>
  <c r="L163" i="36" l="1"/>
  <c r="L166" i="36" l="1"/>
  <c r="L122" i="36"/>
  <c r="L108" i="36" l="1"/>
  <c r="L162" i="36" l="1"/>
  <c r="L160" i="36" l="1"/>
  <c r="L147" i="36" l="1"/>
  <c r="L149" i="36" s="1"/>
  <c r="L145" i="36"/>
  <c r="L146" i="36" s="1"/>
  <c r="L144" i="36"/>
  <c r="L141" i="36"/>
  <c r="L140" i="36"/>
  <c r="L138" i="36"/>
  <c r="L136" i="36"/>
  <c r="L134" i="36"/>
  <c r="L129" i="36"/>
  <c r="L130" i="36" s="1"/>
  <c r="L123" i="36"/>
  <c r="L124" i="36" s="1"/>
  <c r="L112" i="36"/>
  <c r="L110" i="36"/>
  <c r="L111" i="36" s="1"/>
  <c r="L88" i="36"/>
  <c r="L80" i="36"/>
  <c r="L77" i="36"/>
  <c r="L78" i="36" s="1"/>
  <c r="L76" i="36"/>
  <c r="L72" i="36"/>
  <c r="L74" i="36" s="1"/>
  <c r="L70" i="36"/>
  <c r="L71" i="36" s="1"/>
  <c r="L69" i="36"/>
  <c r="L66" i="36"/>
  <c r="L67" i="36" s="1"/>
  <c r="L62" i="36"/>
  <c r="L63" i="36" s="1"/>
  <c r="L60" i="36"/>
  <c r="L61" i="36" s="1"/>
  <c r="L59" i="36"/>
  <c r="L57" i="36"/>
  <c r="L54" i="36"/>
  <c r="L55" i="36" s="1"/>
  <c r="L49" i="36"/>
  <c r="L52" i="36" s="1"/>
  <c r="L45" i="36"/>
  <c r="L43" i="36"/>
  <c r="L40" i="36"/>
  <c r="L38" i="36"/>
  <c r="L35" i="36"/>
  <c r="L33" i="36"/>
  <c r="L32" i="36"/>
  <c r="L26" i="36"/>
  <c r="L16" i="36"/>
  <c r="L21" i="36" s="1"/>
  <c r="L165" i="36" l="1"/>
  <c r="L164" i="36" s="1"/>
  <c r="L89" i="36"/>
  <c r="L99" i="36" s="1"/>
  <c r="L125" i="36" s="1"/>
  <c r="L158" i="36"/>
  <c r="L37" i="36"/>
  <c r="L42" i="36"/>
  <c r="L47" i="36"/>
  <c r="L114" i="36"/>
  <c r="L157" i="36"/>
  <c r="L142" i="36"/>
  <c r="L150" i="36" s="1"/>
  <c r="L161" i="36"/>
  <c r="L81" i="36"/>
  <c r="L53" i="36" l="1"/>
  <c r="L64" i="36" s="1"/>
  <c r="L82" i="36" s="1"/>
  <c r="L156" i="36"/>
  <c r="L151" i="36" l="1"/>
  <c r="L152" i="36" s="1"/>
  <c r="L167" i="36" l="1"/>
  <c r="N79" i="36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F54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72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79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F120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3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F53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71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F119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42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<sst xmlns="http://schemas.openxmlformats.org/spreadsheetml/2006/main" count="1007" uniqueCount="252">
  <si>
    <t>Finansavimo šaltinių suvestinė</t>
  </si>
  <si>
    <t>Finansavimo šaltiniai</t>
  </si>
  <si>
    <t>I</t>
  </si>
  <si>
    <t>ES</t>
  </si>
  <si>
    <t>PF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</si>
  <si>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</si>
  <si>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</si>
  <si>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</si>
  <si>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</si>
  <si>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</si>
  <si>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</si>
  <si>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</si>
  <si>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</si>
  <si>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</si>
  <si>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</si>
  <si>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</si>
  <si>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</si>
  <si>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</si>
  <si>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</si>
  <si>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</si>
  <si>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</si>
  <si>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</si>
  <si>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</si>
  <si>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</si>
  <si>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</si>
  <si>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</si>
  <si>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</si>
  <si>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</si>
  <si>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</si>
  <si>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</si>
  <si>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</si>
  <si>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</si>
  <si>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</si>
  <si>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</si>
  <si>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</si>
  <si>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</si>
  <si>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</si>
  <si>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</si>
  <si>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</si>
  <si>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</si>
  <si>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</si>
  <si>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</si>
  <si>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</si>
  <si>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SB(P)</t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</si>
  <si>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</si>
  <si>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</si>
  <si>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</si>
  <si>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</si>
  <si>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</si>
  <si>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</si>
  <si>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</si>
  <si>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</si>
  <si>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</si>
  <si>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</si>
  <si>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</si>
  <si>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Klaipėdos Adomo Brako dailės mokyklos pastato kapitalinis remontas (šiluminė renovacija)</t>
  </si>
  <si>
    <t>Priešgaisrinių reikalavimų vykdymas švietimo įstaigose</t>
  </si>
  <si>
    <t>Produkto kriterijaus</t>
  </si>
  <si>
    <t>2015-ieji metai</t>
  </si>
  <si>
    <t>Kabelio tinklo ilgis, km</t>
  </si>
  <si>
    <t>Tarnyboje aptarnautų asmenų skaičius, tūkst.</t>
  </si>
  <si>
    <t>Įsigytų technologinių įrengimų skaičius</t>
  </si>
  <si>
    <t>Švietimo įstaigų paprastasis remontas</t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</si>
  <si>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</si>
  <si>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</si>
  <si>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</si>
  <si>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</si>
  <si>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</si>
  <si>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</si>
  <si>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</si>
  <si>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</si>
  <si>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</si>
  <si>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</si>
  <si>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</si>
  <si>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Veiklos organizavimo užtikrinimas švietimo įstaigose: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</si>
  <si>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</si>
  <si>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</si>
  <si>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</si>
  <si>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</si>
  <si>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</si>
  <si>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1.4.1.9.</t>
  </si>
  <si>
    <t xml:space="preserve">Pedagoginių darbuotojų tarifinių atlygių koeficientų skirtumams išlyginti, ugdymo prieinamumui ir ugdymo formų įvairovei užtikrinti </t>
  </si>
  <si>
    <t>1.4.3.3.</t>
  </si>
  <si>
    <t>1.4.3.9.</t>
  </si>
  <si>
    <t>1.4.1.4.</t>
  </si>
  <si>
    <t>Naujų vietų skaičius</t>
  </si>
  <si>
    <t>1.4.3.10.</t>
  </si>
  <si>
    <t>1.4.1.8.</t>
  </si>
  <si>
    <t>1.4.3.5.</t>
  </si>
  <si>
    <t>Aptvertų įstaigų teritorijų skaičius</t>
  </si>
  <si>
    <t>Švietimo įstaigų sanitarinių patalpų remontas</t>
  </si>
  <si>
    <t>Dalyvių skaičius</t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</si>
  <si>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</si>
  <si>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</si>
  <si>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</si>
  <si>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Vykdytojas (skyrius / asmuo)</t>
  </si>
  <si>
    <t>Atlikta naujojo pastato šiluminė renovacija, atlikta senojo pastato šiluminė renovacija bei kiti tvarkomieji paveldosaugos darbai.
Užbaigtumas, proc.</t>
  </si>
  <si>
    <t>Projektų skyrius</t>
  </si>
  <si>
    <t>Švietimo skyrius</t>
  </si>
  <si>
    <t xml:space="preserve"> Švietimo skyrius</t>
  </si>
  <si>
    <t xml:space="preserve">Parengtas techninis projektas, vnt.
</t>
  </si>
  <si>
    <t>Socialinės infrastruktūros priežiūros skyrius</t>
  </si>
  <si>
    <t>Techninio projekto įgyvendinimas, proc.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</si>
  <si>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</si>
  <si>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</si>
  <si>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</si>
  <si>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</si>
  <si>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Klaipėdos Liudviko Stulpino  pagrindinės mokyklos pastato Klaipėdoje, Bandužių g. 4, energetinių charakteristikų gerinimas (pastato šiluminė renovacija)</t>
  </si>
  <si>
    <t>Įstaigų, kuriose įdiegtas e. mokinio pažymėjimas ir užtikrintas sistemos palaikymas, skaičius</t>
  </si>
  <si>
    <t>08</t>
  </si>
  <si>
    <t>Klaipėdos Vydūno vidurinės mokyklos ir Klaipėdos Salio Šemerio suaugusiųjų gimnazijos pastato Klaipėdoje, Sulupės g. 26, modernizavimas</t>
  </si>
  <si>
    <t>Jaunimo centro pastatų  Klaipėdoje, Puodžių g. 1 renovacija (stogo konstrukcijų pakeitimas)</t>
  </si>
  <si>
    <t>Statybos ir infrastruktūros plėtros skyrius</t>
  </si>
  <si>
    <t>Ikimokyklinio ugdymo mokyklų pastatų modernizavimas:</t>
  </si>
  <si>
    <t>1
100</t>
  </si>
  <si>
    <t>Atlikti stogo pakeitimo darbai, užbaigtumas, proc.</t>
  </si>
  <si>
    <t>44</t>
  </si>
  <si>
    <t>7625</t>
  </si>
  <si>
    <t>4</t>
  </si>
  <si>
    <t xml:space="preserve">jose ugdoma vaikų </t>
  </si>
  <si>
    <t>jose ugdoma vaikų</t>
  </si>
  <si>
    <t xml:space="preserve">iš jų mokinių </t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</si>
  <si>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</si>
  <si>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</si>
  <si>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</si>
  <si>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 xml:space="preserve">Mokinių skaičius  </t>
  </si>
  <si>
    <t>Finansuotų profesinės linkmės ugdymo modulių skaičius, vnt.</t>
  </si>
  <si>
    <t>Minimalios vaiko priežiūros priemonių vykdymo užtikrinimas</t>
  </si>
  <si>
    <t>Mokinių skaičius</t>
  </si>
  <si>
    <t>Vasaros poilsio organizavimas</t>
  </si>
  <si>
    <t>Vaikų skaičius, tūkst.</t>
  </si>
  <si>
    <t>Atestuotų vadovų skaičius</t>
  </si>
  <si>
    <t>Rugsėjo 1-osios šventės organizavimas (masinis renginys „Švyturio“ arenoje)</t>
  </si>
  <si>
    <t xml:space="preserve">Brandos egzaminų administravimas </t>
  </si>
  <si>
    <t>Ikimokyklinio ugdymo įstaigų teritorijų aptvėrimas (2015 m. lopšelis-darželis „Žemuogėle“)</t>
  </si>
  <si>
    <t xml:space="preserve">Neformaliojo vaikų ugdymo programų įgyvendinimas viešosiose įstaigose </t>
  </si>
  <si>
    <t>Įgyvendintų programų skaičius</t>
  </si>
  <si>
    <t>Vaikų skaičius, kuriems suteikta rebilitacinių paslaugų</t>
  </si>
  <si>
    <t>Švietimo įstaigų naudojamų pastatų optimizavimas</t>
  </si>
  <si>
    <t>Elektroninio mokinio pažymėjimo diegimas ir naudojimo užtikrinimas bendrojo ugdymo, neformaliojo švietimo ir sporto įstaigose</t>
  </si>
  <si>
    <t>Pakeista langų, proc.</t>
  </si>
  <si>
    <t>Klaipėdos Jeronimo Kačinsko muzikos mokyklos pastatо langų pakeitimas</t>
  </si>
  <si>
    <t>Vaikų skaičius</t>
  </si>
  <si>
    <t xml:space="preserve">Įrengta grupių 1–6 metų amžiaus vaikams, vnt.  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</si>
  <si>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</si>
  <si>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</si>
  <si>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 xml:space="preserve">KVJUD 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</si>
  <si>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</si>
  <si>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</si>
  <si>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Eur</t>
  </si>
  <si>
    <t>Planas</t>
  </si>
  <si>
    <t xml:space="preserve">Ikimokyklinių savivaldybės įstaigų skaičius, </t>
  </si>
  <si>
    <t>Ikimokyklinių nevalstybinių įstaigų skaičius,</t>
  </si>
  <si>
    <t>Pradinių mokyklų ir mokyklų-darželių skaičius</t>
  </si>
  <si>
    <t>Ugdoma vaikų, skaičius,</t>
  </si>
  <si>
    <t>Sporto mokyklų, kuriose vyksta užsiėmimai, skaičius</t>
  </si>
  <si>
    <t>Organizuota egzaminų, skaičius</t>
  </si>
  <si>
    <t>Suorganizuota renginių, skaičius</t>
  </si>
  <si>
    <t>Įstaigų, kuriose atlikti remonto darbai, skaičius</t>
  </si>
  <si>
    <t>Eksploatuojama įstaigų, skaičius</t>
  </si>
  <si>
    <t>Įstaigų, kuriose likviduoti pažeidimai, skaičius</t>
  </si>
  <si>
    <t>Saugoma įstaigų, skaičius</t>
  </si>
  <si>
    <t>Įstaigų, kuriose suremontuota sanitarinių patalpų, skaičius</t>
  </si>
  <si>
    <t>Suremontuotos įstaigos,  skaičius</t>
  </si>
  <si>
    <t>Mokinių, kuriems kompensuojamos pavėžėjimo išlaidos, skaičius</t>
  </si>
  <si>
    <t>Renovuota / suremontuota sistemų, skaičius</t>
  </si>
  <si>
    <t>Nuotolinio mokymo diegimas ir plėtojimas (2015 m. – Baltijos gimnazija, „Vyturio“ pagrindinė mokykla, 2016 m. – Suaugusiųjų gimnazija)</t>
  </si>
  <si>
    <t>Mokymo įstaigų vidaus patalpų remontas po šiluminės renovacijos (2015 m. – „Varpo“ gimnazijos lubų remontas)</t>
  </si>
  <si>
    <t>P4</t>
  </si>
  <si>
    <t xml:space="preserve">Atlikta energetinių auditų, vnt.
</t>
  </si>
  <si>
    <t>Energetinio efektyvumo didinimas (lopšelių-darželių „Žiogelis“, „Klevelis“, „Svirpliukas“, „Radastėlė“ ir „Saulutės“ mokyklos-darželio)</t>
  </si>
  <si>
    <t>Socialinės infrastruktūros priežiūros sk.</t>
  </si>
  <si>
    <t>2015-ųjų m. asignavimų planas*</t>
  </si>
  <si>
    <t>2015 m. asignavimų planas*</t>
  </si>
  <si>
    <t xml:space="preserve"> TIKSLŲ, UŽDAVINIŲ, PRIEMONIŲ, PRIEMONIŲ IŠLAIDŲ IR VERTINIMO KRITERIJŲ SUVESTINĖ</t>
  </si>
  <si>
    <t xml:space="preserve"> 2015 M. KLAIPĖDOS MIESTO SAVIVALDYBĖS ADMINISTRACIJOS</t>
  </si>
  <si>
    <t>Apskaitos kodas</t>
  </si>
  <si>
    <t>10.01.01.01</t>
  </si>
  <si>
    <t>10.01.01.01.02</t>
  </si>
  <si>
    <t>10.01.01.01.04</t>
  </si>
  <si>
    <t>10.01.01.01.05</t>
  </si>
  <si>
    <t>10.01.01.01.06</t>
  </si>
  <si>
    <t>10.01.01.01.07</t>
  </si>
  <si>
    <t>10.01.01.02</t>
  </si>
  <si>
    <t>10.01.01.03</t>
  </si>
  <si>
    <t>10.01.01.01.01, 10.01.01.05</t>
  </si>
  <si>
    <t>10.01.01.01.03, 10.01.01.06</t>
  </si>
  <si>
    <t>10.01.01.07</t>
  </si>
  <si>
    <t>10.01.01.08</t>
  </si>
  <si>
    <t>10.01.02.01</t>
  </si>
  <si>
    <t>10.01.02.02</t>
  </si>
  <si>
    <t>10.01.02.03</t>
  </si>
  <si>
    <t>10.01.02.04</t>
  </si>
  <si>
    <t>10.01.02.05</t>
  </si>
  <si>
    <t>10.01.02.06</t>
  </si>
  <si>
    <t>10.01.02.07</t>
  </si>
  <si>
    <t>10.02.01.01</t>
  </si>
  <si>
    <t>10.02.01.01.04</t>
  </si>
  <si>
    <t>10.02.01.02</t>
  </si>
  <si>
    <t>10.02.01.03</t>
  </si>
  <si>
    <t>10.02.01.04</t>
  </si>
  <si>
    <t>10.02.01.06</t>
  </si>
  <si>
    <t>10.02.02.02</t>
  </si>
  <si>
    <t>10.02.03.01</t>
  </si>
  <si>
    <t>10.02.03.02</t>
  </si>
  <si>
    <t>10.02.03.01.01</t>
  </si>
  <si>
    <t>10.02.03.01.02</t>
  </si>
  <si>
    <t>10.02.03.01.03</t>
  </si>
  <si>
    <t>10.02.03.01.04</t>
  </si>
  <si>
    <t>10.02.03.01.05</t>
  </si>
  <si>
    <t>10.02.03.01.06</t>
  </si>
  <si>
    <t>10.02.03.01.07</t>
  </si>
  <si>
    <t>10.02.03.01.08</t>
  </si>
  <si>
    <t>10.02.03.03</t>
  </si>
  <si>
    <t>10.02.03.06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</si>
  <si>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</si>
  <si>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SB(L)</t>
  </si>
  <si>
    <t>Kreditinio įsiskolinimo padengimas, proc.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</si>
  <si>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</si>
  <si>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 xml:space="preserve">10010310-10.010314 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</si>
  <si>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</si>
  <si>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</si>
  <si>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r>
      <t xml:space="preserve">Asignavimai iš laisvo apyvartinių lėšų likučio, skirti 2015 m. sausio 1 d. įsiskolinimui padengti </t>
    </r>
    <r>
      <rPr>
        <b/>
        <sz val="10"/>
        <rFont val="Times New Roman"/>
        <family val="1"/>
        <charset val="186"/>
      </rPr>
      <t>SB(L)</t>
    </r>
  </si>
  <si>
    <t>Lyginamasis variantas</t>
  </si>
  <si>
    <t xml:space="preserve">Ikimokyklinių savivaldybės įstaigų skaičius,   </t>
  </si>
  <si>
    <t>Klaipėdos „Smeltės“ progimnazijos pastato Klaipėdoje, Reikjaviko g. 17, rekonstravimas</t>
  </si>
  <si>
    <t>Klaipėdos Baltijos gimnazijos patalpų Klaipėdoje, Baltijos pr. 51, pritaikymas Klaipėdos pedagogų švietimo ir kultūros centro veiklai</t>
  </si>
  <si>
    <t>2015-ųjų m. asignavimų planas</t>
  </si>
  <si>
    <t>Siūlomas keisti 2015-ųjų metų asignavimų planas*</t>
  </si>
  <si>
    <t>Skirtumas</t>
  </si>
  <si>
    <t>Patalpų pritaikymas reabilitacinėms paslaugoms teikti  „Medeinės“ mokykloje specialiųjų poreikių mokiniams</t>
  </si>
  <si>
    <t>Įstaigos veiklai pritaikyta patalpų, proc.</t>
  </si>
  <si>
    <r>
      <rPr>
        <b/>
        <sz val="10"/>
        <rFont val="Times New Roman"/>
        <family val="1"/>
        <charset val="186"/>
      </rPr>
      <t>Klaipėdos lopšelio-darželio „Puriena“ pastato Naikupės g. 27 rekonstravimas, pristatant priestatą</t>
    </r>
    <r>
      <rPr>
        <sz val="10"/>
        <rFont val="Times New Roman"/>
        <family val="1"/>
        <charset val="186"/>
      </rPr>
      <t xml:space="preserve"> („Aušrinės“ lopšelio-darželio iškėlimas) </t>
    </r>
  </si>
  <si>
    <t>PATVIRTINTA</t>
  </si>
  <si>
    <t>Patalpų adresu Herkaus Manto g. 77 pritaikymas Klaipėdos vaikų laisvalaikio centro veiklai</t>
  </si>
  <si>
    <r>
      <t xml:space="preserve">Valstybės biudžeto specialiosios tikslinės ir kitos dotacijos lėšos </t>
    </r>
    <r>
      <rPr>
        <b/>
        <sz val="10"/>
        <rFont val="Times New Roman"/>
        <family val="1"/>
      </rPr>
      <t>SB(VB)</t>
    </r>
  </si>
  <si>
    <t>Klaipėdos Vitės pagrindinės mokyklos Švyturio g. 2 pastato modernizavimas</t>
  </si>
  <si>
    <t>Klaipėdos lopšelio-darželio „Atžalynas“ (Panevėžio g. 3) pastato modernizavimas</t>
  </si>
  <si>
    <t>Atlikta pastato renovacija, %</t>
  </si>
  <si>
    <t>Iš viso priemonei:</t>
  </si>
  <si>
    <r>
      <rPr>
        <b/>
        <sz val="10"/>
        <rFont val="Times New Roman"/>
        <family val="1"/>
        <charset val="186"/>
      </rPr>
      <t>Patalpų pritaikymas švietimo įstaigų reikmėms</t>
    </r>
    <r>
      <rPr>
        <sz val="10"/>
        <rFont val="Times New Roman"/>
        <family val="1"/>
        <charset val="186"/>
      </rPr>
      <t xml:space="preserve"> </t>
    </r>
  </si>
  <si>
    <r>
      <rPr>
        <b/>
        <sz val="10"/>
        <color rgb="FFFF0000"/>
        <rFont val="Times New Roman"/>
        <family val="1"/>
        <charset val="186"/>
      </rPr>
      <t xml:space="preserve">Klaipėdos lopšelio-darželio „Puriena“ pastato Naikupės g. 27 rekonstravimas, pristatant priestatą </t>
    </r>
    <r>
      <rPr>
        <sz val="10"/>
        <color rgb="FFFF0000"/>
        <rFont val="Times New Roman"/>
        <family val="1"/>
        <charset val="186"/>
      </rPr>
      <t xml:space="preserve">(„Aušrinės“ lopšelio-darželio iškėlimas) </t>
    </r>
  </si>
  <si>
    <t>Siūlomas keisti 2015 m. asignavimų planas*</t>
  </si>
  <si>
    <r>
      <rPr>
        <strike/>
        <sz val="10"/>
        <color rgb="FFFF0000"/>
        <rFont val="Times New Roman"/>
        <family val="1"/>
        <charset val="186"/>
      </rPr>
      <t>13</t>
    </r>
    <r>
      <rPr>
        <sz val="10"/>
        <color rgb="FFFF0000"/>
        <rFont val="Times New Roman"/>
        <family val="1"/>
        <charset val="186"/>
      </rPr>
      <t xml:space="preserve"> 14</t>
    </r>
  </si>
  <si>
    <t>* pagal Klaipėdos miesto savivaldybės tarybos 2015-07-10 sprendimą Nr. T2-...</t>
  </si>
  <si>
    <r>
      <rPr>
        <b/>
        <sz val="10"/>
        <rFont val="Times New Roman"/>
        <family val="1"/>
        <charset val="186"/>
      </rPr>
      <t xml:space="preserve">Patalpų pritaikymas </t>
    </r>
    <r>
      <rPr>
        <b/>
        <sz val="10"/>
        <color rgb="FFFF0000"/>
        <rFont val="Times New Roman"/>
        <family val="1"/>
        <charset val="186"/>
      </rPr>
      <t>švietimo įstaigų</t>
    </r>
    <r>
      <rPr>
        <b/>
        <sz val="10"/>
        <rFont val="Times New Roman"/>
        <family val="1"/>
        <charset val="186"/>
      </rPr>
      <t xml:space="preserve"> </t>
    </r>
    <r>
      <rPr>
        <b/>
        <strike/>
        <sz val="10"/>
        <rFont val="Times New Roman"/>
        <family val="1"/>
        <charset val="186"/>
      </rPr>
      <t>bendrojo ugdymo mokyklų</t>
    </r>
    <r>
      <rPr>
        <b/>
        <sz val="10"/>
        <rFont val="Times New Roman"/>
        <family val="1"/>
        <charset val="186"/>
      </rPr>
      <t xml:space="preserve">  reikmėms</t>
    </r>
    <r>
      <rPr>
        <sz val="10"/>
        <rFont val="Times New Roman"/>
        <family val="1"/>
        <charset val="186"/>
      </rPr>
      <t xml:space="preserve"> </t>
    </r>
  </si>
  <si>
    <r>
      <t xml:space="preserve">Vietų skaičiaus didinimas ikimokyklinio </t>
    </r>
    <r>
      <rPr>
        <b/>
        <sz val="10"/>
        <color rgb="FFFF0000"/>
        <rFont val="Times New Roman"/>
        <family val="1"/>
        <charset val="186"/>
      </rPr>
      <t>amžiaus vaikams švietimo</t>
    </r>
    <r>
      <rPr>
        <sz val="10"/>
        <color rgb="FFFF0000"/>
        <rFont val="Times New Roman"/>
        <family val="1"/>
      </rPr>
      <t xml:space="preserve"> </t>
    </r>
    <r>
      <rPr>
        <strike/>
        <sz val="10"/>
        <color rgb="FFFF0000"/>
        <rFont val="Times New Roman"/>
        <family val="1"/>
        <charset val="186"/>
      </rPr>
      <t>ugdymo</t>
    </r>
    <r>
      <rPr>
        <sz val="10"/>
        <color rgb="FFFF0000"/>
        <rFont val="Times New Roman"/>
        <family val="1"/>
      </rPr>
      <t xml:space="preserve"> įstaigose</t>
    </r>
  </si>
  <si>
    <t>Vietų skaičiaus didinimas ikimokyklinio amžiaus vaikams švietimo įstaigose</t>
  </si>
  <si>
    <t>* pagal Klaipėdos miesto savivaldybės tarybos 2015-07-10 sprendimą Nr. T2-145</t>
  </si>
  <si>
    <t xml:space="preserve">Klaipėdos miesto savivaldybės administracijos direktoriaus   2015 m. vasario 27 d. įsakymu Nr. AD1-533                                </t>
  </si>
  <si>
    <t xml:space="preserve">(Klaipėdos miesto savivaldybės administracijos direktoriaus 2015 m. liepos 16 d. įsakymo Nr. AD1-2134 redakcija)      </t>
  </si>
  <si>
    <t>Statybos ir infrastruktūros plėtros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</si>
</sst>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6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8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91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2" borderId="54" xfId="0" applyNumberFormat="1" applyFont="1" applyFill="1" applyBorder="1" applyAlignment="1">
      <alignment vertical="top"/>
    </xf>
    <xf numFmtId="165" fontId="4" fillId="0" borderId="16" xfId="0" applyNumberFormat="1" applyFont="1" applyFill="1" applyBorder="1" applyAlignment="1">
      <alignment horizontal="center" vertical="top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vertical="center"/>
    </xf>
    <xf numFmtId="0" fontId="5" fillId="0" borderId="24" xfId="0" applyNumberFormat="1" applyFont="1" applyBorder="1" applyAlignment="1">
      <alignment horizontal="center" vertical="top"/>
    </xf>
    <xf numFmtId="49" fontId="4" fillId="0" borderId="64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2" fillId="5" borderId="68" xfId="0" applyNumberFormat="1" applyFont="1" applyFill="1" applyBorder="1" applyAlignment="1">
      <alignment vertical="top"/>
    </xf>
    <xf numFmtId="49" fontId="2" fillId="5" borderId="64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10" fillId="0" borderId="66" xfId="0" applyFont="1" applyBorder="1" applyAlignment="1">
      <alignment horizontal="center" vertical="top" wrapText="1"/>
    </xf>
    <xf numFmtId="0" fontId="10" fillId="0" borderId="66" xfId="0" applyFont="1" applyBorder="1" applyAlignment="1">
      <alignment vertical="top" wrapText="1"/>
    </xf>
    <xf numFmtId="0" fontId="11" fillId="0" borderId="66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5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0" fontId="1" fillId="5" borderId="39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0" fontId="4" fillId="5" borderId="65" xfId="0" applyFont="1" applyFill="1" applyBorder="1" applyAlignment="1">
      <alignment horizontal="center" vertical="top"/>
    </xf>
    <xf numFmtId="49" fontId="2" fillId="6" borderId="45" xfId="0" applyNumberFormat="1" applyFont="1" applyFill="1" applyBorder="1" applyAlignment="1">
      <alignment vertical="top"/>
    </xf>
    <xf numFmtId="49" fontId="4" fillId="6" borderId="64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3" xfId="0" applyNumberFormat="1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horizontal="center" vertical="top"/>
    </xf>
    <xf numFmtId="49" fontId="2" fillId="6" borderId="68" xfId="0" applyNumberFormat="1" applyFont="1" applyFill="1" applyBorder="1" applyAlignment="1">
      <alignment vertical="top"/>
    </xf>
    <xf numFmtId="0" fontId="4" fillId="0" borderId="65" xfId="0" applyFont="1" applyFill="1" applyBorder="1" applyAlignment="1">
      <alignment horizontal="center" vertical="top" wrapText="1"/>
    </xf>
    <xf numFmtId="49" fontId="5" fillId="3" borderId="40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69" xfId="0" applyNumberFormat="1" applyFont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0" fontId="1" fillId="0" borderId="44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0" fontId="5" fillId="9" borderId="55" xfId="0" applyFont="1" applyFill="1" applyBorder="1" applyAlignment="1">
      <alignment horizontal="center" vertical="top" wrapText="1"/>
    </xf>
    <xf numFmtId="0" fontId="5" fillId="9" borderId="47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49" fontId="4" fillId="6" borderId="32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164" fontId="4" fillId="5" borderId="0" xfId="0" applyNumberFormat="1" applyFont="1" applyFill="1" applyBorder="1" applyAlignment="1">
      <alignment horizontal="left" vertical="top"/>
    </xf>
    <xf numFmtId="0" fontId="4" fillId="0" borderId="3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2" fillId="3" borderId="37" xfId="0" applyNumberFormat="1" applyFont="1" applyFill="1" applyBorder="1" applyAlignment="1">
      <alignment horizontal="center" vertical="top"/>
    </xf>
    <xf numFmtId="49" fontId="5" fillId="5" borderId="59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/>
    </xf>
    <xf numFmtId="0" fontId="5" fillId="9" borderId="61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5" fillId="9" borderId="65" xfId="0" applyFont="1" applyFill="1" applyBorder="1" applyAlignment="1">
      <alignment horizontal="center" vertical="top" wrapText="1"/>
    </xf>
    <xf numFmtId="0" fontId="4" fillId="5" borderId="62" xfId="0" applyFont="1" applyFill="1" applyBorder="1" applyAlignment="1">
      <alignment horizontal="center" vertical="top"/>
    </xf>
    <xf numFmtId="0" fontId="5" fillId="6" borderId="50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/>
    </xf>
    <xf numFmtId="49" fontId="4" fillId="6" borderId="33" xfId="0" applyNumberFormat="1" applyFont="1" applyFill="1" applyBorder="1" applyAlignment="1">
      <alignment horizontal="center" vertical="top"/>
    </xf>
    <xf numFmtId="49" fontId="1" fillId="5" borderId="39" xfId="0" applyNumberFormat="1" applyFont="1" applyFill="1" applyBorder="1" applyAlignment="1">
      <alignment horizontal="center" vertical="top" wrapText="1"/>
    </xf>
    <xf numFmtId="49" fontId="5" fillId="5" borderId="0" xfId="0" applyNumberFormat="1" applyFont="1" applyFill="1" applyBorder="1" applyAlignment="1">
      <alignment vertical="top"/>
    </xf>
    <xf numFmtId="0" fontId="5" fillId="9" borderId="55" xfId="0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4" fillId="0" borderId="69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0" fontId="4" fillId="0" borderId="53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8" borderId="16" xfId="0" applyFont="1" applyFill="1" applyBorder="1" applyAlignment="1">
      <alignment vertical="top" wrapText="1"/>
    </xf>
    <xf numFmtId="0" fontId="4" fillId="8" borderId="38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49" fontId="2" fillId="5" borderId="13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vertical="top" wrapText="1"/>
    </xf>
    <xf numFmtId="164" fontId="5" fillId="5" borderId="56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49" fontId="5" fillId="5" borderId="19" xfId="0" applyNumberFormat="1" applyFont="1" applyFill="1" applyBorder="1" applyAlignment="1">
      <alignment vertical="top"/>
    </xf>
    <xf numFmtId="49" fontId="5" fillId="5" borderId="42" xfId="0" applyNumberFormat="1" applyFont="1" applyFill="1" applyBorder="1" applyAlignment="1">
      <alignment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42" xfId="0" applyNumberFormat="1" applyFont="1" applyFill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center" vertical="top"/>
    </xf>
    <xf numFmtId="0" fontId="5" fillId="5" borderId="38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49" fontId="4" fillId="8" borderId="13" xfId="0" applyNumberFormat="1" applyFont="1" applyFill="1" applyBorder="1" applyAlignment="1">
      <alignment vertical="top"/>
    </xf>
    <xf numFmtId="49" fontId="4" fillId="8" borderId="18" xfId="0" applyNumberFormat="1" applyFont="1" applyFill="1" applyBorder="1" applyAlignment="1">
      <alignment vertical="top"/>
    </xf>
    <xf numFmtId="49" fontId="4" fillId="8" borderId="42" xfId="0" applyNumberFormat="1" applyFont="1" applyFill="1" applyBorder="1" applyAlignment="1">
      <alignment vertical="top"/>
    </xf>
    <xf numFmtId="0" fontId="4" fillId="8" borderId="31" xfId="0" applyNumberFormat="1" applyFont="1" applyFill="1" applyBorder="1" applyAlignment="1">
      <alignment horizontal="center" vertical="top"/>
    </xf>
    <xf numFmtId="0" fontId="5" fillId="9" borderId="55" xfId="0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vertical="top"/>
    </xf>
    <xf numFmtId="49" fontId="1" fillId="6" borderId="73" xfId="0" applyNumberFormat="1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0" fontId="2" fillId="0" borderId="64" xfId="0" applyNumberFormat="1" applyFont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49" fontId="1" fillId="6" borderId="51" xfId="0" applyNumberFormat="1" applyFont="1" applyFill="1" applyBorder="1" applyAlignment="1">
      <alignment horizontal="center" vertical="top"/>
    </xf>
    <xf numFmtId="0" fontId="1" fillId="5" borderId="66" xfId="0" applyFont="1" applyFill="1" applyBorder="1" applyAlignment="1">
      <alignment vertical="top" wrapText="1"/>
    </xf>
    <xf numFmtId="0" fontId="1" fillId="8" borderId="5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vertical="top" wrapText="1"/>
    </xf>
    <xf numFmtId="49" fontId="1" fillId="6" borderId="59" xfId="0" applyNumberFormat="1" applyFont="1" applyFill="1" applyBorder="1" applyAlignment="1">
      <alignment horizontal="center" vertical="top"/>
    </xf>
    <xf numFmtId="0" fontId="1" fillId="8" borderId="8" xfId="0" applyNumberFormat="1" applyFont="1" applyFill="1" applyBorder="1" applyAlignment="1">
      <alignment horizontal="center" vertical="top" wrapText="1"/>
    </xf>
    <xf numFmtId="49" fontId="1" fillId="6" borderId="66" xfId="0" applyNumberFormat="1" applyFont="1" applyFill="1" applyBorder="1" applyAlignment="1">
      <alignment horizontal="center" vertical="top"/>
    </xf>
    <xf numFmtId="0" fontId="2" fillId="6" borderId="50" xfId="0" applyFont="1" applyFill="1" applyBorder="1" applyAlignment="1">
      <alignment horizontal="center" vertical="top" wrapText="1"/>
    </xf>
    <xf numFmtId="164" fontId="2" fillId="0" borderId="56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1" fillId="5" borderId="37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8" borderId="66" xfId="0" applyFont="1" applyFill="1" applyBorder="1" applyAlignment="1">
      <alignment vertical="top" wrapText="1"/>
    </xf>
    <xf numFmtId="0" fontId="5" fillId="8" borderId="13" xfId="0" applyFont="1" applyFill="1" applyBorder="1" applyAlignment="1">
      <alignment vertical="top" wrapText="1"/>
    </xf>
    <xf numFmtId="0" fontId="1" fillId="8" borderId="6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49" fontId="4" fillId="10" borderId="59" xfId="0" applyNumberFormat="1" applyFont="1" applyFill="1" applyBorder="1" applyAlignment="1">
      <alignment vertical="top"/>
    </xf>
    <xf numFmtId="49" fontId="4" fillId="10" borderId="18" xfId="0" applyNumberFormat="1" applyFont="1" applyFill="1" applyBorder="1" applyAlignment="1">
      <alignment vertical="top"/>
    </xf>
    <xf numFmtId="49" fontId="1" fillId="5" borderId="31" xfId="0" applyNumberFormat="1" applyFont="1" applyFill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2" fillId="9" borderId="47" xfId="0" applyFont="1" applyFill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5" fillId="9" borderId="55" xfId="0" applyNumberFormat="1" applyFont="1" applyFill="1" applyBorder="1" applyAlignment="1">
      <alignment horizontal="center" vertical="top"/>
    </xf>
    <xf numFmtId="3" fontId="2" fillId="2" borderId="23" xfId="0" applyNumberFormat="1" applyFont="1" applyFill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9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 wrapText="1"/>
    </xf>
    <xf numFmtId="3" fontId="5" fillId="9" borderId="55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2" fillId="9" borderId="55" xfId="0" applyNumberFormat="1" applyFont="1" applyFill="1" applyBorder="1" applyAlignment="1">
      <alignment horizontal="center" vertical="top" wrapText="1"/>
    </xf>
    <xf numFmtId="3" fontId="1" fillId="8" borderId="5" xfId="0" applyNumberFormat="1" applyFont="1" applyFill="1" applyBorder="1" applyAlignment="1">
      <alignment horizontal="center" vertical="top"/>
    </xf>
    <xf numFmtId="3" fontId="2" fillId="4" borderId="49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49" fontId="2" fillId="2" borderId="74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 wrapText="1"/>
    </xf>
    <xf numFmtId="0" fontId="1" fillId="5" borderId="40" xfId="0" applyFont="1" applyFill="1" applyBorder="1" applyAlignment="1">
      <alignment horizontal="left" vertical="top"/>
    </xf>
    <xf numFmtId="0" fontId="1" fillId="8" borderId="31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49" fontId="4" fillId="6" borderId="68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16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8" borderId="65" xfId="0" applyFont="1" applyFill="1" applyBorder="1" applyAlignment="1">
      <alignment horizontal="center" vertical="top"/>
    </xf>
    <xf numFmtId="0" fontId="1" fillId="8" borderId="62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5" fillId="9" borderId="65" xfId="0" applyFont="1" applyFill="1" applyBorder="1" applyAlignment="1">
      <alignment horizontal="center" vertical="top"/>
    </xf>
    <xf numFmtId="0" fontId="5" fillId="6" borderId="47" xfId="0" applyFont="1" applyFill="1" applyBorder="1" applyAlignment="1">
      <alignment horizontal="center" vertical="top" wrapText="1"/>
    </xf>
    <xf numFmtId="0" fontId="4" fillId="5" borderId="61" xfId="0" applyFont="1" applyFill="1" applyBorder="1" applyAlignment="1">
      <alignment horizontal="center" vertical="top" wrapText="1"/>
    </xf>
    <xf numFmtId="0" fontId="5" fillId="9" borderId="56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2" fillId="6" borderId="47" xfId="0" applyFont="1" applyFill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0" fontId="1" fillId="0" borderId="76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left" vertical="top" wrapText="1"/>
    </xf>
    <xf numFmtId="0" fontId="1" fillId="0" borderId="72" xfId="0" applyFont="1" applyBorder="1" applyAlignment="1">
      <alignment vertical="top" wrapText="1"/>
    </xf>
    <xf numFmtId="164" fontId="1" fillId="0" borderId="45" xfId="0" applyNumberFormat="1" applyFont="1" applyFill="1" applyBorder="1" applyAlignment="1">
      <alignment horizontal="left" vertical="top"/>
    </xf>
    <xf numFmtId="0" fontId="16" fillId="5" borderId="0" xfId="0" applyNumberFormat="1" applyFont="1" applyFill="1" applyBorder="1" applyAlignment="1">
      <alignment horizontal="center" vertical="top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top"/>
    </xf>
    <xf numFmtId="0" fontId="1" fillId="0" borderId="31" xfId="0" applyNumberFormat="1" applyFont="1" applyBorder="1" applyAlignment="1">
      <alignment vertical="top"/>
    </xf>
    <xf numFmtId="0" fontId="4" fillId="0" borderId="31" xfId="0" applyFont="1" applyBorder="1" applyAlignment="1">
      <alignment horizontal="center" vertical="top" wrapText="1"/>
    </xf>
    <xf numFmtId="0" fontId="4" fillId="5" borderId="31" xfId="0" applyNumberFormat="1" applyFont="1" applyFill="1" applyBorder="1" applyAlignment="1">
      <alignment horizontal="center" vertical="top" wrapText="1"/>
    </xf>
    <xf numFmtId="0" fontId="4" fillId="8" borderId="21" xfId="0" applyFont="1" applyFill="1" applyBorder="1" applyAlignment="1">
      <alignment vertical="top"/>
    </xf>
    <xf numFmtId="0" fontId="4" fillId="5" borderId="21" xfId="0" applyNumberFormat="1" applyFont="1" applyFill="1" applyBorder="1" applyAlignment="1">
      <alignment horizontal="center" vertical="top" wrapText="1"/>
    </xf>
    <xf numFmtId="0" fontId="4" fillId="8" borderId="31" xfId="0" applyNumberFormat="1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 vertical="top"/>
    </xf>
    <xf numFmtId="0" fontId="1" fillId="5" borderId="38" xfId="0" applyNumberFormat="1" applyFont="1" applyFill="1" applyBorder="1" applyAlignment="1">
      <alignment horizontal="center" vertical="top"/>
    </xf>
    <xf numFmtId="0" fontId="1" fillId="5" borderId="60" xfId="0" applyNumberFormat="1" applyFont="1" applyFill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top" wrapText="1"/>
    </xf>
    <xf numFmtId="0" fontId="1" fillId="8" borderId="38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164" fontId="4" fillId="0" borderId="67" xfId="0" applyNumberFormat="1" applyFont="1" applyBorder="1" applyAlignment="1">
      <alignment vertical="top" wrapText="1"/>
    </xf>
    <xf numFmtId="164" fontId="4" fillId="0" borderId="43" xfId="0" applyNumberFormat="1" applyFont="1" applyBorder="1" applyAlignment="1">
      <alignment vertical="top" wrapText="1"/>
    </xf>
    <xf numFmtId="0" fontId="1" fillId="5" borderId="70" xfId="0" applyFont="1" applyFill="1" applyBorder="1" applyAlignment="1">
      <alignment horizontal="left" vertical="top" wrapText="1"/>
    </xf>
    <xf numFmtId="0" fontId="4" fillId="0" borderId="77" xfId="0" applyFont="1" applyBorder="1" applyAlignment="1">
      <alignment vertical="top"/>
    </xf>
    <xf numFmtId="0" fontId="1" fillId="0" borderId="72" xfId="0" applyFont="1" applyFill="1" applyBorder="1" applyAlignment="1">
      <alignment vertical="top" wrapText="1"/>
    </xf>
    <xf numFmtId="0" fontId="1" fillId="0" borderId="70" xfId="0" applyFont="1" applyFill="1" applyBorder="1" applyAlignment="1">
      <alignment vertical="top" wrapText="1"/>
    </xf>
    <xf numFmtId="0" fontId="3" fillId="0" borderId="67" xfId="0" applyFont="1" applyBorder="1" applyAlignment="1">
      <alignment vertical="top" wrapText="1"/>
    </xf>
    <xf numFmtId="0" fontId="1" fillId="0" borderId="77" xfId="0" applyFont="1" applyFill="1" applyBorder="1" applyAlignment="1">
      <alignment vertical="top" wrapText="1"/>
    </xf>
    <xf numFmtId="164" fontId="4" fillId="5" borderId="3" xfId="0" applyNumberFormat="1" applyFont="1" applyFill="1" applyBorder="1" applyAlignment="1">
      <alignment horizontal="left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0" borderId="43" xfId="0" applyNumberFormat="1" applyFont="1" applyFill="1" applyBorder="1" applyAlignment="1">
      <alignment horizontal="left" vertical="top" wrapText="1"/>
    </xf>
    <xf numFmtId="3" fontId="1" fillId="8" borderId="0" xfId="0" applyNumberFormat="1" applyFont="1" applyFill="1" applyBorder="1" applyAlignment="1">
      <alignment horizontal="center" vertical="top"/>
    </xf>
    <xf numFmtId="3" fontId="4" fillId="0" borderId="6" xfId="0" applyNumberFormat="1" applyFont="1" applyBorder="1" applyAlignment="1">
      <alignment horizontal="center" vertical="top"/>
    </xf>
    <xf numFmtId="3" fontId="5" fillId="6" borderId="55" xfId="0" applyNumberFormat="1" applyFont="1" applyFill="1" applyBorder="1" applyAlignment="1">
      <alignment horizontal="center" vertical="top" wrapText="1"/>
    </xf>
    <xf numFmtId="3" fontId="5" fillId="9" borderId="55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5" fillId="9" borderId="2" xfId="0" applyNumberFormat="1" applyFont="1" applyFill="1" applyBorder="1" applyAlignment="1">
      <alignment horizontal="center" vertical="top" wrapText="1"/>
    </xf>
    <xf numFmtId="3" fontId="5" fillId="9" borderId="49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2" fillId="6" borderId="55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/>
    </xf>
    <xf numFmtId="3" fontId="2" fillId="9" borderId="6" xfId="0" applyNumberFormat="1" applyFont="1" applyFill="1" applyBorder="1" applyAlignment="1">
      <alignment horizontal="center" vertical="top" wrapText="1"/>
    </xf>
    <xf numFmtId="3" fontId="2" fillId="3" borderId="49" xfId="0" applyNumberFormat="1" applyFont="1" applyFill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2" fillId="4" borderId="23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2" xfId="0" applyNumberFormat="1" applyFont="1" applyFill="1" applyBorder="1" applyAlignment="1">
      <alignment horizontal="center" vertical="top" wrapText="1"/>
    </xf>
    <xf numFmtId="3" fontId="2" fillId="9" borderId="23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 textRotation="90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3" xfId="0" applyFont="1" applyFill="1" applyBorder="1" applyAlignment="1">
      <alignment horizontal="center" vertical="top" textRotation="180" wrapText="1"/>
    </xf>
    <xf numFmtId="0" fontId="4" fillId="5" borderId="13" xfId="0" applyFont="1" applyFill="1" applyBorder="1" applyAlignment="1">
      <alignment horizontal="center" vertical="top" wrapText="1"/>
    </xf>
    <xf numFmtId="49" fontId="4" fillId="6" borderId="45" xfId="0" applyNumberFormat="1" applyFont="1" applyFill="1" applyBorder="1" applyAlignment="1">
      <alignment vertical="top"/>
    </xf>
    <xf numFmtId="0" fontId="14" fillId="0" borderId="43" xfId="0" applyFont="1" applyBorder="1" applyAlignment="1">
      <alignment vertical="top" textRotation="90" wrapText="1"/>
    </xf>
    <xf numFmtId="0" fontId="14" fillId="5" borderId="13" xfId="0" applyFont="1" applyFill="1" applyBorder="1" applyAlignment="1">
      <alignment horizontal="center" vertical="top" textRotation="90" wrapText="1"/>
    </xf>
    <xf numFmtId="49" fontId="14" fillId="6" borderId="45" xfId="0" applyNumberFormat="1" applyFont="1" applyFill="1" applyBorder="1" applyAlignment="1">
      <alignment vertical="top" textRotation="90"/>
    </xf>
    <xf numFmtId="49" fontId="14" fillId="2" borderId="54" xfId="0" applyNumberFormat="1" applyFont="1" applyFill="1" applyBorder="1" applyAlignment="1">
      <alignment horizontal="left" vertical="top" textRotation="90"/>
    </xf>
    <xf numFmtId="0" fontId="14" fillId="0" borderId="64" xfId="0" applyFont="1" applyFill="1" applyBorder="1" applyAlignment="1">
      <alignment vertical="center" textRotation="90" wrapText="1"/>
    </xf>
    <xf numFmtId="0" fontId="14" fillId="0" borderId="32" xfId="0" applyFont="1" applyFill="1" applyBorder="1" applyAlignment="1">
      <alignment vertical="center" textRotation="90" wrapText="1"/>
    </xf>
    <xf numFmtId="0" fontId="14" fillId="0" borderId="0" xfId="0" applyFont="1" applyAlignment="1">
      <alignment horizontal="center" vertical="top" textRotation="90"/>
    </xf>
    <xf numFmtId="0" fontId="14" fillId="0" borderId="0" xfId="0" applyFont="1" applyBorder="1" applyAlignment="1">
      <alignment horizontal="center" vertical="top" textRotation="90"/>
    </xf>
    <xf numFmtId="49" fontId="4" fillId="10" borderId="0" xfId="0" applyNumberFormat="1" applyFont="1" applyFill="1" applyBorder="1" applyAlignment="1">
      <alignment horizontal="center" vertical="top"/>
    </xf>
    <xf numFmtId="49" fontId="5" fillId="6" borderId="68" xfId="0" applyNumberFormat="1" applyFont="1" applyFill="1" applyBorder="1" applyAlignment="1">
      <alignment horizontal="right" vertical="top"/>
    </xf>
    <xf numFmtId="0" fontId="4" fillId="5" borderId="18" xfId="0" applyFont="1" applyFill="1" applyBorder="1" applyAlignment="1">
      <alignment horizontal="center" vertical="top" wrapText="1"/>
    </xf>
    <xf numFmtId="0" fontId="14" fillId="11" borderId="53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center" vertical="top" wrapText="1"/>
    </xf>
    <xf numFmtId="0" fontId="4" fillId="8" borderId="67" xfId="0" applyFont="1" applyFill="1" applyBorder="1" applyAlignment="1">
      <alignment horizontal="center" vertical="top" wrapText="1"/>
    </xf>
    <xf numFmtId="0" fontId="14" fillId="0" borderId="66" xfId="0" applyFont="1" applyFill="1" applyBorder="1" applyAlignment="1">
      <alignment vertical="center" textRotation="90" wrapText="1"/>
    </xf>
    <xf numFmtId="3" fontId="1" fillId="8" borderId="0" xfId="0" applyNumberFormat="1" applyFont="1" applyFill="1" applyBorder="1" applyAlignment="1">
      <alignment vertical="top"/>
    </xf>
    <xf numFmtId="0" fontId="4" fillId="0" borderId="67" xfId="0" applyFont="1" applyFill="1" applyBorder="1" applyAlignment="1">
      <alignment vertical="center" textRotation="90" wrapText="1"/>
    </xf>
    <xf numFmtId="164" fontId="4" fillId="5" borderId="0" xfId="0" applyNumberFormat="1" applyFont="1" applyFill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9" xfId="0" applyNumberFormat="1" applyFont="1" applyBorder="1" applyAlignment="1">
      <alignment horizontal="center" vertical="top"/>
    </xf>
    <xf numFmtId="0" fontId="4" fillId="8" borderId="0" xfId="0" applyFont="1" applyFill="1" applyAlignment="1">
      <alignment vertical="top"/>
    </xf>
    <xf numFmtId="3" fontId="4" fillId="8" borderId="0" xfId="0" applyNumberFormat="1" applyFont="1" applyFill="1" applyAlignment="1">
      <alignment vertical="top"/>
    </xf>
    <xf numFmtId="0" fontId="1" fillId="8" borderId="0" xfId="0" applyFont="1" applyFill="1" applyBorder="1" applyAlignment="1">
      <alignment vertical="top" wrapText="1"/>
    </xf>
    <xf numFmtId="3" fontId="1" fillId="8" borderId="0" xfId="0" applyNumberFormat="1" applyFont="1" applyFill="1" applyBorder="1" applyAlignment="1">
      <alignment vertical="top" wrapText="1"/>
    </xf>
    <xf numFmtId="3" fontId="5" fillId="8" borderId="0" xfId="0" applyNumberFormat="1" applyFont="1" applyFill="1" applyBorder="1" applyAlignment="1">
      <alignment vertical="top"/>
    </xf>
    <xf numFmtId="164" fontId="5" fillId="8" borderId="0" xfId="0" applyNumberFormat="1" applyFont="1" applyFill="1" applyBorder="1" applyAlignment="1">
      <alignment vertical="top"/>
    </xf>
    <xf numFmtId="0" fontId="4" fillId="8" borderId="0" xfId="0" applyFont="1" applyFill="1" applyBorder="1" applyAlignment="1">
      <alignment vertical="top"/>
    </xf>
    <xf numFmtId="3" fontId="4" fillId="8" borderId="0" xfId="0" applyNumberFormat="1" applyFont="1" applyFill="1" applyBorder="1" applyAlignment="1">
      <alignment vertical="top"/>
    </xf>
    <xf numFmtId="0" fontId="4" fillId="8" borderId="0" xfId="0" applyFont="1" applyFill="1" applyBorder="1" applyAlignment="1">
      <alignment horizontal="left" vertical="top"/>
    </xf>
    <xf numFmtId="0" fontId="3" fillId="8" borderId="0" xfId="0" applyFont="1" applyFill="1" applyBorder="1"/>
    <xf numFmtId="3" fontId="3" fillId="8" borderId="0" xfId="0" applyNumberFormat="1" applyFont="1" applyFill="1" applyBorder="1"/>
    <xf numFmtId="0" fontId="1" fillId="8" borderId="0" xfId="0" applyFont="1" applyFill="1" applyAlignment="1">
      <alignment vertical="top"/>
    </xf>
    <xf numFmtId="3" fontId="1" fillId="8" borderId="0" xfId="0" applyNumberFormat="1" applyFont="1" applyFill="1" applyAlignment="1">
      <alignment vertical="top"/>
    </xf>
    <xf numFmtId="0" fontId="1" fillId="8" borderId="17" xfId="0" applyFont="1" applyFill="1" applyBorder="1" applyAlignment="1">
      <alignment vertical="top"/>
    </xf>
    <xf numFmtId="0" fontId="4" fillId="0" borderId="43" xfId="0" applyFont="1" applyBorder="1" applyAlignment="1">
      <alignment horizontal="center" vertical="top" wrapText="1"/>
    </xf>
    <xf numFmtId="0" fontId="1" fillId="5" borderId="42" xfId="0" applyFont="1" applyFill="1" applyBorder="1" applyAlignment="1">
      <alignment vertical="top" wrapText="1"/>
    </xf>
    <xf numFmtId="0" fontId="14" fillId="0" borderId="42" xfId="0" applyFont="1" applyFill="1" applyBorder="1" applyAlignment="1">
      <alignment vertical="center" textRotation="90" wrapText="1"/>
    </xf>
    <xf numFmtId="0" fontId="4" fillId="8" borderId="39" xfId="0" applyNumberFormat="1" applyFont="1" applyFill="1" applyBorder="1" applyAlignment="1">
      <alignment horizontal="center" vertical="top"/>
    </xf>
    <xf numFmtId="164" fontId="2" fillId="0" borderId="56" xfId="0" applyNumberFormat="1" applyFont="1" applyFill="1" applyBorder="1" applyAlignment="1">
      <alignment horizontal="left" vertical="top"/>
    </xf>
    <xf numFmtId="0" fontId="4" fillId="0" borderId="47" xfId="0" applyFont="1" applyFill="1" applyBorder="1" applyAlignment="1">
      <alignment vertical="top" wrapText="1"/>
    </xf>
    <xf numFmtId="49" fontId="4" fillId="8" borderId="32" xfId="0" applyNumberFormat="1" applyFont="1" applyFill="1" applyBorder="1" applyAlignment="1">
      <alignment vertical="top"/>
    </xf>
    <xf numFmtId="49" fontId="4" fillId="8" borderId="18" xfId="0" applyNumberFormat="1" applyFont="1" applyFill="1" applyBorder="1" applyAlignment="1">
      <alignment horizontal="center" vertical="top"/>
    </xf>
    <xf numFmtId="0" fontId="5" fillId="9" borderId="50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49" fontId="5" fillId="0" borderId="53" xfId="0" applyNumberFormat="1" applyFont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3" borderId="5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49" fontId="2" fillId="3" borderId="40" xfId="0" applyNumberFormat="1" applyFont="1" applyFill="1" applyBorder="1" applyAlignment="1">
      <alignment horizontal="center" vertical="top"/>
    </xf>
    <xf numFmtId="0" fontId="1" fillId="5" borderId="36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49" fontId="2" fillId="2" borderId="54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4" fillId="0" borderId="6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5" borderId="37" xfId="0" applyFont="1" applyFill="1" applyBorder="1" applyAlignment="1">
      <alignment horizontal="left" vertical="top" wrapText="1"/>
    </xf>
    <xf numFmtId="0" fontId="5" fillId="2" borderId="7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left" vertical="top" wrapText="1"/>
    </xf>
    <xf numFmtId="0" fontId="5" fillId="0" borderId="32" xfId="0" applyNumberFormat="1" applyFont="1" applyBorder="1" applyAlignment="1">
      <alignment horizontal="center" vertical="top"/>
    </xf>
    <xf numFmtId="49" fontId="1" fillId="8" borderId="31" xfId="0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49" fontId="4" fillId="10" borderId="13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 wrapText="1"/>
    </xf>
    <xf numFmtId="0" fontId="4" fillId="5" borderId="31" xfId="0" applyNumberFormat="1" applyFont="1" applyFill="1" applyBorder="1" applyAlignment="1">
      <alignment horizontal="center" vertical="top"/>
    </xf>
    <xf numFmtId="3" fontId="1" fillId="0" borderId="55" xfId="0" applyNumberFormat="1" applyFont="1" applyBorder="1" applyAlignment="1">
      <alignment horizontal="center" vertical="top" wrapText="1"/>
    </xf>
    <xf numFmtId="0" fontId="14" fillId="0" borderId="64" xfId="0" applyFont="1" applyFill="1" applyBorder="1" applyAlignment="1">
      <alignment horizontal="center" vertical="center" textRotation="90" wrapText="1"/>
    </xf>
    <xf numFmtId="3" fontId="4" fillId="0" borderId="43" xfId="0" applyNumberFormat="1" applyFont="1" applyBorder="1" applyAlignment="1">
      <alignment horizontal="center" vertical="top" wrapText="1"/>
    </xf>
    <xf numFmtId="0" fontId="4" fillId="5" borderId="65" xfId="0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>
      <alignment horizontal="center" vertical="top" wrapText="1"/>
    </xf>
    <xf numFmtId="3" fontId="1" fillId="8" borderId="2" xfId="0" applyNumberFormat="1" applyFont="1" applyFill="1" applyBorder="1" applyAlignment="1">
      <alignment horizontal="center" vertical="top"/>
    </xf>
    <xf numFmtId="0" fontId="1" fillId="8" borderId="39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textRotation="90" wrapText="1"/>
    </xf>
    <xf numFmtId="0" fontId="14" fillId="0" borderId="43" xfId="0" applyFont="1" applyBorder="1" applyAlignment="1">
      <alignment vertical="center" textRotation="90" wrapText="1"/>
    </xf>
    <xf numFmtId="0" fontId="14" fillId="0" borderId="0" xfId="0" applyFont="1" applyBorder="1" applyAlignment="1">
      <alignment horizontal="center" vertical="center" textRotation="90"/>
    </xf>
    <xf numFmtId="49" fontId="14" fillId="6" borderId="45" xfId="0" applyNumberFormat="1" applyFont="1" applyFill="1" applyBorder="1" applyAlignment="1">
      <alignment vertical="center" textRotation="90"/>
    </xf>
    <xf numFmtId="49" fontId="14" fillId="2" borderId="54" xfId="0" applyNumberFormat="1" applyFont="1" applyFill="1" applyBorder="1" applyAlignment="1">
      <alignment horizontal="left" vertical="center" textRotation="90"/>
    </xf>
    <xf numFmtId="0" fontId="14" fillId="0" borderId="0" xfId="0" applyFont="1" applyAlignment="1">
      <alignment horizontal="center" vertical="center" textRotation="90"/>
    </xf>
    <xf numFmtId="0" fontId="14" fillId="5" borderId="13" xfId="0" applyFont="1" applyFill="1" applyBorder="1" applyAlignment="1">
      <alignment horizontal="center" vertical="center" textRotation="90" wrapText="1"/>
    </xf>
    <xf numFmtId="3" fontId="14" fillId="0" borderId="53" xfId="0" applyNumberFormat="1" applyFont="1" applyFill="1" applyBorder="1" applyAlignment="1">
      <alignment vertical="center" textRotation="90" wrapText="1"/>
    </xf>
    <xf numFmtId="3" fontId="14" fillId="0" borderId="32" xfId="0" applyNumberFormat="1" applyFont="1" applyFill="1" applyBorder="1" applyAlignment="1">
      <alignment vertical="center" textRotation="90" wrapText="1"/>
    </xf>
    <xf numFmtId="3" fontId="14" fillId="0" borderId="66" xfId="0" applyNumberFormat="1" applyFont="1" applyFill="1" applyBorder="1" applyAlignment="1">
      <alignment vertical="center" textRotation="90" wrapText="1"/>
    </xf>
    <xf numFmtId="3" fontId="14" fillId="0" borderId="42" xfId="0" applyNumberFormat="1" applyFont="1" applyFill="1" applyBorder="1" applyAlignment="1">
      <alignment vertical="center" textRotation="90" wrapText="1"/>
    </xf>
    <xf numFmtId="164" fontId="1" fillId="8" borderId="60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49" fontId="5" fillId="5" borderId="67" xfId="0" applyNumberFormat="1" applyFont="1" applyFill="1" applyBorder="1" applyAlignment="1">
      <alignment vertical="top"/>
    </xf>
    <xf numFmtId="0" fontId="1" fillId="5" borderId="6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textRotation="180" wrapText="1"/>
    </xf>
    <xf numFmtId="0" fontId="5" fillId="0" borderId="32" xfId="0" applyFont="1" applyFill="1" applyBorder="1" applyAlignment="1">
      <alignment horizontal="left" vertical="top" wrapText="1"/>
    </xf>
    <xf numFmtId="3" fontId="4" fillId="8" borderId="2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vertical="top" wrapText="1"/>
    </xf>
    <xf numFmtId="165" fontId="4" fillId="5" borderId="56" xfId="0" applyNumberFormat="1" applyFont="1" applyFill="1" applyBorder="1" applyAlignment="1">
      <alignment vertical="top" wrapText="1"/>
    </xf>
    <xf numFmtId="0" fontId="4" fillId="0" borderId="39" xfId="0" applyNumberFormat="1" applyFont="1" applyBorder="1" applyAlignment="1">
      <alignment horizontal="center" vertical="top"/>
    </xf>
    <xf numFmtId="0" fontId="13" fillId="0" borderId="52" xfId="0" applyFont="1" applyFill="1" applyBorder="1" applyAlignment="1">
      <alignment horizontal="center" vertical="top" wrapText="1"/>
    </xf>
    <xf numFmtId="49" fontId="2" fillId="5" borderId="42" xfId="0" applyNumberFormat="1" applyFont="1" applyFill="1" applyBorder="1" applyAlignment="1">
      <alignment horizontal="center" vertical="top"/>
    </xf>
    <xf numFmtId="0" fontId="2" fillId="0" borderId="53" xfId="0" applyNumberFormat="1" applyFont="1" applyBorder="1" applyAlignment="1">
      <alignment horizontal="center" vertical="top"/>
    </xf>
    <xf numFmtId="0" fontId="13" fillId="0" borderId="37" xfId="0" applyFont="1" applyFill="1" applyBorder="1" applyAlignment="1">
      <alignment vertical="top" wrapText="1"/>
    </xf>
    <xf numFmtId="165" fontId="5" fillId="8" borderId="56" xfId="0" applyNumberFormat="1" applyFont="1" applyFill="1" applyBorder="1" applyAlignment="1">
      <alignment vertical="top" wrapText="1"/>
    </xf>
    <xf numFmtId="165" fontId="5" fillId="8" borderId="21" xfId="0" applyNumberFormat="1" applyFont="1" applyFill="1" applyBorder="1" applyAlignment="1">
      <alignment vertical="top" wrapText="1"/>
    </xf>
    <xf numFmtId="0" fontId="4" fillId="5" borderId="2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center" textRotation="90" wrapText="1"/>
    </xf>
    <xf numFmtId="0" fontId="4" fillId="0" borderId="3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49" fontId="5" fillId="5" borderId="64" xfId="0" applyNumberFormat="1" applyFont="1" applyFill="1" applyBorder="1" applyAlignment="1">
      <alignment horizontal="center" vertical="top"/>
    </xf>
    <xf numFmtId="49" fontId="5" fillId="5" borderId="68" xfId="0" applyNumberFormat="1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59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164" fontId="4" fillId="0" borderId="27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49" fontId="4" fillId="10" borderId="42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textRotation="180" wrapText="1"/>
    </xf>
    <xf numFmtId="0" fontId="5" fillId="0" borderId="53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1" fillId="0" borderId="70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6" xfId="0" applyNumberFormat="1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center" vertical="top"/>
    </xf>
    <xf numFmtId="49" fontId="2" fillId="6" borderId="45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textRotation="90" wrapText="1"/>
    </xf>
    <xf numFmtId="0" fontId="1" fillId="0" borderId="3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72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49" fontId="2" fillId="5" borderId="64" xfId="0" applyNumberFormat="1" applyFont="1" applyFill="1" applyBorder="1" applyAlignment="1">
      <alignment horizontal="center" vertical="top"/>
    </xf>
    <xf numFmtId="49" fontId="2" fillId="5" borderId="68" xfId="0" applyNumberFormat="1" applyFont="1" applyFill="1" applyBorder="1" applyAlignment="1">
      <alignment horizontal="center" vertical="top"/>
    </xf>
    <xf numFmtId="164" fontId="4" fillId="5" borderId="20" xfId="0" applyNumberFormat="1" applyFont="1" applyFill="1" applyBorder="1" applyAlignment="1">
      <alignment horizontal="left" vertical="top" wrapText="1"/>
    </xf>
    <xf numFmtId="49" fontId="2" fillId="3" borderId="17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5" fillId="5" borderId="67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 wrapText="1"/>
    </xf>
    <xf numFmtId="3" fontId="4" fillId="0" borderId="43" xfId="0" applyNumberFormat="1" applyFont="1" applyBorder="1" applyAlignment="1">
      <alignment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5" fillId="9" borderId="61" xfId="0" applyNumberFormat="1" applyFont="1" applyFill="1" applyBorder="1" applyAlignment="1">
      <alignment horizontal="center" vertical="top" wrapText="1"/>
    </xf>
    <xf numFmtId="3" fontId="5" fillId="6" borderId="47" xfId="0" applyNumberFormat="1" applyFont="1" applyFill="1" applyBorder="1" applyAlignment="1">
      <alignment horizontal="center" vertical="top" wrapText="1"/>
    </xf>
    <xf numFmtId="3" fontId="4" fillId="0" borderId="65" xfId="0" applyNumberFormat="1" applyFont="1" applyFill="1" applyBorder="1" applyAlignment="1">
      <alignment horizontal="center" vertical="top" wrapText="1"/>
    </xf>
    <xf numFmtId="3" fontId="4" fillId="5" borderId="65" xfId="0" applyNumberFormat="1" applyFont="1" applyFill="1" applyBorder="1" applyAlignment="1">
      <alignment horizontal="center" vertical="top" wrapText="1"/>
    </xf>
    <xf numFmtId="3" fontId="4" fillId="5" borderId="61" xfId="0" applyNumberFormat="1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 wrapText="1"/>
    </xf>
    <xf numFmtId="3" fontId="5" fillId="9" borderId="65" xfId="0" applyNumberFormat="1" applyFont="1" applyFill="1" applyBorder="1" applyAlignment="1">
      <alignment horizontal="center" vertical="top" wrapText="1"/>
    </xf>
    <xf numFmtId="3" fontId="5" fillId="2" borderId="54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4" fillId="5" borderId="5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3" fontId="14" fillId="0" borderId="18" xfId="0" applyNumberFormat="1" applyFont="1" applyFill="1" applyBorder="1" applyAlignment="1">
      <alignment vertical="center" textRotation="90" wrapText="1"/>
    </xf>
    <xf numFmtId="165" fontId="1" fillId="5" borderId="22" xfId="0" applyNumberFormat="1" applyFont="1" applyFill="1" applyBorder="1" applyAlignment="1">
      <alignment vertical="top" wrapText="1"/>
    </xf>
    <xf numFmtId="165" fontId="1" fillId="5" borderId="40" xfId="0" applyNumberFormat="1" applyFont="1" applyFill="1" applyBorder="1" applyAlignment="1">
      <alignment vertical="top" wrapText="1"/>
    </xf>
    <xf numFmtId="165" fontId="1" fillId="5" borderId="41" xfId="0" applyNumberFormat="1" applyFont="1" applyFill="1" applyBorder="1" applyAlignment="1">
      <alignment vertical="top" wrapText="1"/>
    </xf>
    <xf numFmtId="3" fontId="18" fillId="0" borderId="6" xfId="0" applyNumberFormat="1" applyFont="1" applyFill="1" applyBorder="1" applyAlignment="1">
      <alignment horizontal="center" vertical="top" wrapText="1"/>
    </xf>
    <xf numFmtId="3" fontId="18" fillId="0" borderId="61" xfId="0" applyNumberFormat="1" applyFont="1" applyFill="1" applyBorder="1" applyAlignment="1">
      <alignment horizontal="center" vertical="top" wrapText="1"/>
    </xf>
    <xf numFmtId="165" fontId="1" fillId="5" borderId="37" xfId="0" applyNumberFormat="1" applyFont="1" applyFill="1" applyBorder="1" applyAlignment="1">
      <alignment vertical="top" wrapText="1"/>
    </xf>
    <xf numFmtId="3" fontId="4" fillId="9" borderId="6" xfId="0" applyNumberFormat="1" applyFont="1" applyFill="1" applyBorder="1" applyAlignment="1">
      <alignment horizontal="center" vertical="top"/>
    </xf>
    <xf numFmtId="3" fontId="4" fillId="9" borderId="5" xfId="0" applyNumberFormat="1" applyFont="1" applyFill="1" applyBorder="1" applyAlignment="1">
      <alignment horizontal="center" vertical="top"/>
    </xf>
    <xf numFmtId="3" fontId="4" fillId="9" borderId="8" xfId="0" applyNumberFormat="1" applyFont="1" applyFill="1" applyBorder="1" applyAlignment="1">
      <alignment horizontal="center" vertical="top"/>
    </xf>
    <xf numFmtId="3" fontId="4" fillId="9" borderId="2" xfId="0" applyNumberFormat="1" applyFont="1" applyFill="1" applyBorder="1" applyAlignment="1">
      <alignment horizontal="center" vertical="top"/>
    </xf>
    <xf numFmtId="3" fontId="4" fillId="9" borderId="10" xfId="0" applyNumberFormat="1" applyFont="1" applyFill="1" applyBorder="1" applyAlignment="1">
      <alignment horizontal="center" vertical="top"/>
    </xf>
    <xf numFmtId="3" fontId="4" fillId="9" borderId="9" xfId="0" applyNumberFormat="1" applyFont="1" applyFill="1" applyBorder="1" applyAlignment="1">
      <alignment horizontal="center" vertical="top"/>
    </xf>
    <xf numFmtId="3" fontId="4" fillId="9" borderId="10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 wrapText="1"/>
    </xf>
    <xf numFmtId="3" fontId="4" fillId="9" borderId="6" xfId="0" applyNumberFormat="1" applyFont="1" applyFill="1" applyBorder="1" applyAlignment="1">
      <alignment horizontal="center" vertical="top" wrapText="1"/>
    </xf>
    <xf numFmtId="3" fontId="4" fillId="9" borderId="8" xfId="0" applyNumberFormat="1" applyFont="1" applyFill="1" applyBorder="1" applyAlignment="1">
      <alignment horizontal="center" vertical="top" wrapText="1"/>
    </xf>
    <xf numFmtId="3" fontId="4" fillId="9" borderId="5" xfId="0" applyNumberFormat="1" applyFont="1" applyFill="1" applyBorder="1" applyAlignment="1">
      <alignment horizontal="center" vertical="top" wrapText="1"/>
    </xf>
    <xf numFmtId="3" fontId="1" fillId="9" borderId="8" xfId="0" applyNumberFormat="1" applyFont="1" applyFill="1" applyBorder="1" applyAlignment="1">
      <alignment horizontal="center" vertical="top"/>
    </xf>
    <xf numFmtId="3" fontId="1" fillId="9" borderId="2" xfId="0" applyNumberFormat="1" applyFont="1" applyFill="1" applyBorder="1" applyAlignment="1">
      <alignment horizontal="center" vertical="top" wrapText="1"/>
    </xf>
    <xf numFmtId="3" fontId="1" fillId="9" borderId="5" xfId="0" applyNumberFormat="1" applyFont="1" applyFill="1" applyBorder="1" applyAlignment="1">
      <alignment horizontal="center" vertical="top" wrapText="1"/>
    </xf>
    <xf numFmtId="3" fontId="1" fillId="9" borderId="2" xfId="0" applyNumberFormat="1" applyFont="1" applyFill="1" applyBorder="1" applyAlignment="1">
      <alignment horizontal="center" vertical="top"/>
    </xf>
    <xf numFmtId="3" fontId="1" fillId="9" borderId="5" xfId="0" applyNumberFormat="1" applyFont="1" applyFill="1" applyBorder="1" applyAlignment="1">
      <alignment horizontal="center" vertical="top"/>
    </xf>
    <xf numFmtId="3" fontId="1" fillId="9" borderId="10" xfId="0" applyNumberFormat="1" applyFont="1" applyFill="1" applyBorder="1" applyAlignment="1">
      <alignment horizontal="center" vertical="top" wrapText="1"/>
    </xf>
    <xf numFmtId="3" fontId="1" fillId="9" borderId="9" xfId="0" applyNumberFormat="1" applyFont="1" applyFill="1" applyBorder="1" applyAlignment="1">
      <alignment horizontal="center" vertical="top"/>
    </xf>
    <xf numFmtId="49" fontId="4" fillId="8" borderId="64" xfId="0" applyNumberFormat="1" applyFont="1" applyFill="1" applyBorder="1" applyAlignment="1">
      <alignment horizontal="center" vertical="top"/>
    </xf>
    <xf numFmtId="49" fontId="4" fillId="8" borderId="68" xfId="0" applyNumberFormat="1" applyFont="1" applyFill="1" applyBorder="1" applyAlignment="1">
      <alignment horizontal="center" vertical="top"/>
    </xf>
    <xf numFmtId="49" fontId="4" fillId="8" borderId="32" xfId="0" applyNumberFormat="1" applyFont="1" applyFill="1" applyBorder="1" applyAlignment="1">
      <alignment horizontal="center" vertical="top"/>
    </xf>
    <xf numFmtId="0" fontId="1" fillId="9" borderId="16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vertical="top"/>
    </xf>
    <xf numFmtId="0" fontId="1" fillId="8" borderId="31" xfId="0" applyNumberFormat="1" applyFont="1" applyFill="1" applyBorder="1" applyAlignment="1">
      <alignment horizontal="center" vertical="top" wrapText="1"/>
    </xf>
    <xf numFmtId="3" fontId="2" fillId="4" borderId="24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50" xfId="0" applyNumberFormat="1" applyFont="1" applyBorder="1" applyAlignment="1">
      <alignment horizontal="center" vertical="top" wrapText="1"/>
    </xf>
    <xf numFmtId="3" fontId="2" fillId="4" borderId="74" xfId="0" applyNumberFormat="1" applyFont="1" applyFill="1" applyBorder="1" applyAlignment="1">
      <alignment horizontal="center" vertical="top" wrapText="1"/>
    </xf>
    <xf numFmtId="3" fontId="1" fillId="5" borderId="15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center" vertical="top" wrapText="1"/>
    </xf>
    <xf numFmtId="3" fontId="2" fillId="9" borderId="7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164" fontId="1" fillId="0" borderId="47" xfId="0" applyNumberFormat="1" applyFont="1" applyFill="1" applyBorder="1" applyAlignment="1">
      <alignment horizontal="left" vertical="top"/>
    </xf>
    <xf numFmtId="0" fontId="4" fillId="0" borderId="39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3" fillId="0" borderId="36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center" vertical="top"/>
    </xf>
    <xf numFmtId="165" fontId="5" fillId="0" borderId="62" xfId="0" applyNumberFormat="1" applyFont="1" applyFill="1" applyBorder="1" applyAlignment="1">
      <alignment horizontal="left" vertical="top" wrapText="1"/>
    </xf>
    <xf numFmtId="49" fontId="4" fillId="8" borderId="19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3" fontId="14" fillId="0" borderId="13" xfId="0" applyNumberFormat="1" applyFont="1" applyFill="1" applyBorder="1" applyAlignment="1">
      <alignment vertical="center" textRotation="90" wrapText="1"/>
    </xf>
    <xf numFmtId="3" fontId="14" fillId="8" borderId="59" xfId="0" applyNumberFormat="1" applyFont="1" applyFill="1" applyBorder="1" applyAlignment="1">
      <alignment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4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4" fillId="5" borderId="39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8" borderId="18" xfId="0" applyFont="1" applyFill="1" applyBorder="1" applyAlignment="1">
      <alignment horizontal="left" vertical="top" wrapText="1"/>
    </xf>
    <xf numFmtId="0" fontId="4" fillId="5" borderId="39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top" wrapText="1"/>
    </xf>
    <xf numFmtId="49" fontId="2" fillId="3" borderId="40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5" fontId="4" fillId="5" borderId="70" xfId="0" applyNumberFormat="1" applyFont="1" applyFill="1" applyBorder="1" applyAlignment="1">
      <alignment horizontal="left" vertical="top" wrapText="1"/>
    </xf>
    <xf numFmtId="49" fontId="5" fillId="5" borderId="32" xfId="0" applyNumberFormat="1" applyFont="1" applyFill="1" applyBorder="1" applyAlignment="1">
      <alignment horizontal="center" vertical="top"/>
    </xf>
    <xf numFmtId="165" fontId="4" fillId="5" borderId="40" xfId="0" applyNumberFormat="1" applyFont="1" applyFill="1" applyBorder="1" applyAlignment="1">
      <alignment horizontal="left" vertical="top" wrapText="1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5" borderId="31" xfId="0" applyNumberFormat="1" applyFont="1" applyFill="1" applyBorder="1" applyAlignment="1">
      <alignment horizontal="center" vertical="top" wrapText="1"/>
    </xf>
    <xf numFmtId="0" fontId="2" fillId="9" borderId="50" xfId="0" applyFont="1" applyFill="1" applyBorder="1" applyAlignment="1">
      <alignment horizontal="center" vertical="top" wrapText="1"/>
    </xf>
    <xf numFmtId="3" fontId="2" fillId="9" borderId="50" xfId="0" applyNumberFormat="1" applyFont="1" applyFill="1" applyBorder="1" applyAlignment="1">
      <alignment horizontal="center" vertical="top" wrapText="1"/>
    </xf>
    <xf numFmtId="0" fontId="2" fillId="5" borderId="21" xfId="0" applyNumberFormat="1" applyFont="1" applyFill="1" applyBorder="1" applyAlignment="1">
      <alignment horizontal="center" vertical="top"/>
    </xf>
    <xf numFmtId="0" fontId="2" fillId="2" borderId="74" xfId="0" applyNumberFormat="1" applyFont="1" applyFill="1" applyBorder="1" applyAlignment="1">
      <alignment horizontal="center" vertical="top"/>
    </xf>
    <xf numFmtId="49" fontId="1" fillId="6" borderId="64" xfId="0" applyNumberFormat="1" applyFont="1" applyFill="1" applyBorder="1" applyAlignment="1">
      <alignment horizontal="center" vertical="top"/>
    </xf>
    <xf numFmtId="0" fontId="2" fillId="5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textRotation="180" wrapText="1"/>
    </xf>
    <xf numFmtId="0" fontId="20" fillId="0" borderId="13" xfId="0" applyFont="1" applyFill="1" applyBorder="1" applyAlignment="1">
      <alignment horizontal="center" vertical="top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top"/>
    </xf>
    <xf numFmtId="165" fontId="1" fillId="0" borderId="16" xfId="0" applyNumberFormat="1" applyFont="1" applyFill="1" applyBorder="1" applyAlignment="1">
      <alignment horizontal="center" vertical="top"/>
    </xf>
    <xf numFmtId="0" fontId="1" fillId="0" borderId="59" xfId="0" applyFont="1" applyFill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/>
    </xf>
    <xf numFmtId="0" fontId="1" fillId="0" borderId="65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/>
    </xf>
    <xf numFmtId="3" fontId="1" fillId="9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9" borderId="65" xfId="0" applyFont="1" applyFill="1" applyBorder="1" applyAlignment="1">
      <alignment horizontal="center" vertical="top"/>
    </xf>
    <xf numFmtId="3" fontId="2" fillId="9" borderId="2" xfId="0" applyNumberFormat="1" applyFont="1" applyFill="1" applyBorder="1" applyAlignment="1">
      <alignment horizontal="center" vertical="top"/>
    </xf>
    <xf numFmtId="165" fontId="2" fillId="0" borderId="17" xfId="0" applyNumberFormat="1" applyFont="1" applyFill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/>
    </xf>
    <xf numFmtId="0" fontId="1" fillId="5" borderId="61" xfId="0" applyFont="1" applyFill="1" applyBorder="1" applyAlignment="1">
      <alignment horizontal="center" vertical="top"/>
    </xf>
    <xf numFmtId="3" fontId="1" fillId="5" borderId="6" xfId="0" applyNumberFormat="1" applyFont="1" applyFill="1" applyBorder="1" applyAlignment="1">
      <alignment horizontal="center" vertical="top"/>
    </xf>
    <xf numFmtId="0" fontId="1" fillId="5" borderId="65" xfId="0" applyFont="1" applyFill="1" applyBorder="1" applyAlignment="1">
      <alignment horizontal="center" vertical="top"/>
    </xf>
    <xf numFmtId="3" fontId="1" fillId="5" borderId="2" xfId="0" applyNumberFormat="1" applyFont="1" applyFill="1" applyBorder="1" applyAlignment="1">
      <alignment horizontal="center" vertical="top"/>
    </xf>
    <xf numFmtId="0" fontId="2" fillId="9" borderId="61" xfId="0" applyFont="1" applyFill="1" applyBorder="1" applyAlignment="1">
      <alignment horizontal="center" vertical="top" wrapText="1"/>
    </xf>
    <xf numFmtId="165" fontId="2" fillId="5" borderId="17" xfId="0" applyNumberFormat="1" applyFont="1" applyFill="1" applyBorder="1" applyAlignment="1">
      <alignment horizontal="left" vertical="top" wrapText="1"/>
    </xf>
    <xf numFmtId="0" fontId="1" fillId="5" borderId="31" xfId="0" applyNumberFormat="1" applyFont="1" applyFill="1" applyBorder="1" applyAlignment="1">
      <alignment horizontal="center" vertical="top"/>
    </xf>
    <xf numFmtId="0" fontId="1" fillId="5" borderId="62" xfId="0" applyFont="1" applyFill="1" applyBorder="1" applyAlignment="1">
      <alignment horizontal="center" vertical="top"/>
    </xf>
    <xf numFmtId="3" fontId="1" fillId="5" borderId="8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/>
    </xf>
    <xf numFmtId="3" fontId="2" fillId="9" borderId="26" xfId="0" applyNumberFormat="1" applyFont="1" applyFill="1" applyBorder="1" applyAlignment="1">
      <alignment horizontal="center" vertical="top"/>
    </xf>
    <xf numFmtId="3" fontId="1" fillId="8" borderId="28" xfId="0" applyNumberFormat="1" applyFont="1" applyFill="1" applyBorder="1" applyAlignment="1">
      <alignment horizontal="center" vertical="top"/>
    </xf>
    <xf numFmtId="3" fontId="1" fillId="0" borderId="78" xfId="0" applyNumberFormat="1" applyFont="1" applyFill="1" applyBorder="1" applyAlignment="1">
      <alignment horizontal="center" vertical="top"/>
    </xf>
    <xf numFmtId="3" fontId="2" fillId="9" borderId="27" xfId="0" applyNumberFormat="1" applyFont="1" applyFill="1" applyBorder="1" applyAlignment="1">
      <alignment horizontal="center" vertical="top" wrapText="1"/>
    </xf>
    <xf numFmtId="3" fontId="1" fillId="0" borderId="70" xfId="0" applyNumberFormat="1" applyFont="1" applyFill="1" applyBorder="1" applyAlignment="1">
      <alignment horizontal="center" vertical="top"/>
    </xf>
    <xf numFmtId="3" fontId="1" fillId="5" borderId="15" xfId="0" applyNumberFormat="1" applyFont="1" applyFill="1" applyBorder="1" applyAlignment="1">
      <alignment horizontal="center" vertical="top"/>
    </xf>
    <xf numFmtId="0" fontId="1" fillId="9" borderId="10" xfId="0" applyFont="1" applyFill="1" applyBorder="1" applyAlignment="1">
      <alignment horizontal="center" vertical="top" wrapText="1"/>
    </xf>
    <xf numFmtId="3" fontId="4" fillId="9" borderId="16" xfId="0" applyNumberFormat="1" applyFont="1" applyFill="1" applyBorder="1" applyAlignment="1">
      <alignment horizontal="center" vertical="top" wrapText="1"/>
    </xf>
    <xf numFmtId="3" fontId="4" fillId="9" borderId="17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/>
    </xf>
    <xf numFmtId="3" fontId="4" fillId="9" borderId="61" xfId="0" applyNumberFormat="1" applyFont="1" applyFill="1" applyBorder="1" applyAlignment="1">
      <alignment horizontal="center" vertical="top" wrapText="1"/>
    </xf>
    <xf numFmtId="3" fontId="4" fillId="0" borderId="61" xfId="0" applyNumberFormat="1" applyFont="1" applyFill="1" applyBorder="1" applyAlignment="1">
      <alignment horizontal="center" vertical="top" wrapText="1"/>
    </xf>
    <xf numFmtId="165" fontId="4" fillId="5" borderId="40" xfId="0" applyNumberFormat="1" applyFont="1" applyFill="1" applyBorder="1" applyAlignment="1">
      <alignment vertical="top" wrapText="1"/>
    </xf>
    <xf numFmtId="165" fontId="5" fillId="5" borderId="37" xfId="0" applyNumberFormat="1" applyFont="1" applyFill="1" applyBorder="1" applyAlignment="1">
      <alignment vertical="top" wrapText="1"/>
    </xf>
    <xf numFmtId="0" fontId="5" fillId="0" borderId="39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vertical="top" wrapText="1"/>
    </xf>
    <xf numFmtId="0" fontId="5" fillId="0" borderId="60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vertical="top" wrapText="1"/>
    </xf>
    <xf numFmtId="3" fontId="14" fillId="0" borderId="59" xfId="0" applyNumberFormat="1" applyFont="1" applyFill="1" applyBorder="1" applyAlignment="1">
      <alignment vertical="center" textRotation="90" wrapText="1"/>
    </xf>
    <xf numFmtId="3" fontId="18" fillId="0" borderId="2" xfId="0" applyNumberFormat="1" applyFont="1" applyBorder="1" applyAlignment="1">
      <alignment horizontal="center" vertical="top"/>
    </xf>
    <xf numFmtId="3" fontId="18" fillId="0" borderId="8" xfId="0" applyNumberFormat="1" applyFont="1" applyBorder="1" applyAlignment="1">
      <alignment horizontal="center" vertical="top"/>
    </xf>
    <xf numFmtId="3" fontId="18" fillId="0" borderId="10" xfId="0" applyNumberFormat="1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6" xfId="0" applyNumberFormat="1" applyFont="1" applyFill="1" applyBorder="1" applyAlignment="1">
      <alignment horizontal="center" vertical="top"/>
    </xf>
    <xf numFmtId="0" fontId="21" fillId="0" borderId="61" xfId="0" applyFont="1" applyFill="1" applyBorder="1" applyAlignment="1">
      <alignment horizontal="center" vertical="top"/>
    </xf>
    <xf numFmtId="3" fontId="21" fillId="5" borderId="6" xfId="0" applyNumberFormat="1" applyFont="1" applyFill="1" applyBorder="1" applyAlignment="1">
      <alignment horizontal="center" vertical="top"/>
    </xf>
    <xf numFmtId="0" fontId="4" fillId="0" borderId="76" xfId="0" applyFont="1" applyFill="1" applyBorder="1" applyAlignment="1">
      <alignment horizontal="center" vertical="top" wrapText="1"/>
    </xf>
    <xf numFmtId="3" fontId="4" fillId="9" borderId="9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18" fillId="5" borderId="2" xfId="0" applyNumberFormat="1" applyFont="1" applyFill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22" fillId="0" borderId="18" xfId="0" applyFont="1" applyFill="1" applyBorder="1" applyAlignment="1">
      <alignment horizontal="center" vertical="top" textRotation="90" wrapText="1"/>
    </xf>
    <xf numFmtId="0" fontId="19" fillId="0" borderId="7" xfId="0" applyNumberFormat="1" applyFont="1" applyBorder="1" applyAlignment="1">
      <alignment horizontal="center" vertical="top"/>
    </xf>
    <xf numFmtId="0" fontId="18" fillId="5" borderId="62" xfId="0" applyFont="1" applyFill="1" applyBorder="1" applyAlignment="1">
      <alignment horizontal="center" vertical="top"/>
    </xf>
    <xf numFmtId="3" fontId="18" fillId="9" borderId="5" xfId="0" applyNumberFormat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vertical="top" wrapText="1"/>
    </xf>
    <xf numFmtId="0" fontId="18" fillId="0" borderId="52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9" fillId="0" borderId="69" xfId="0" applyNumberFormat="1" applyFont="1" applyBorder="1" applyAlignment="1">
      <alignment horizontal="center" vertical="top"/>
    </xf>
    <xf numFmtId="0" fontId="19" fillId="9" borderId="47" xfId="0" applyFont="1" applyFill="1" applyBorder="1" applyAlignment="1">
      <alignment horizontal="center" vertical="top" wrapText="1"/>
    </xf>
    <xf numFmtId="3" fontId="19" fillId="9" borderId="47" xfId="0" applyNumberFormat="1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vertical="top" wrapText="1"/>
    </xf>
    <xf numFmtId="0" fontId="18" fillId="0" borderId="44" xfId="0" applyNumberFormat="1" applyFont="1" applyFill="1" applyBorder="1" applyAlignment="1">
      <alignment horizontal="center" vertical="top"/>
    </xf>
    <xf numFmtId="3" fontId="4" fillId="5" borderId="2" xfId="0" applyNumberFormat="1" applyFont="1" applyFill="1" applyBorder="1" applyAlignment="1">
      <alignment horizontal="center" vertical="top"/>
    </xf>
    <xf numFmtId="165" fontId="4" fillId="5" borderId="37" xfId="0" applyNumberFormat="1" applyFont="1" applyFill="1" applyBorder="1" applyAlignment="1">
      <alignment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3" fontId="1" fillId="9" borderId="10" xfId="0" applyNumberFormat="1" applyFont="1" applyFill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8" borderId="5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59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4" fillId="10" borderId="42" xfId="0" applyNumberFormat="1" applyFont="1" applyFill="1" applyBorder="1" applyAlignment="1">
      <alignment horizontal="center" vertical="top"/>
    </xf>
    <xf numFmtId="0" fontId="5" fillId="0" borderId="53" xfId="0" applyNumberFormat="1" applyFont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textRotation="180" wrapText="1"/>
    </xf>
    <xf numFmtId="0" fontId="4" fillId="0" borderId="18" xfId="0" applyFont="1" applyFill="1" applyBorder="1" applyAlignment="1">
      <alignment horizontal="left" vertical="top" wrapText="1"/>
    </xf>
    <xf numFmtId="164" fontId="4" fillId="0" borderId="27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49" fontId="5" fillId="5" borderId="64" xfId="0" applyNumberFormat="1" applyFont="1" applyFill="1" applyBorder="1" applyAlignment="1">
      <alignment horizontal="center" vertical="top"/>
    </xf>
    <xf numFmtId="49" fontId="5" fillId="5" borderId="68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3" fontId="14" fillId="0" borderId="18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5" fillId="0" borderId="39" xfId="0" applyNumberFormat="1" applyFont="1" applyBorder="1" applyAlignment="1">
      <alignment horizontal="center" vertical="top"/>
    </xf>
    <xf numFmtId="0" fontId="13" fillId="8" borderId="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0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6" xfId="0" applyNumberFormat="1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2" fillId="6" borderId="45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textRotation="90" wrapText="1"/>
    </xf>
    <xf numFmtId="0" fontId="14" fillId="0" borderId="18" xfId="0" applyFont="1" applyFill="1" applyBorder="1" applyAlignment="1">
      <alignment horizontal="center" vertical="top" textRotation="90" wrapText="1"/>
    </xf>
    <xf numFmtId="0" fontId="4" fillId="0" borderId="72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49" fontId="2" fillId="5" borderId="64" xfId="0" applyNumberFormat="1" applyFont="1" applyFill="1" applyBorder="1" applyAlignment="1">
      <alignment horizontal="center" vertical="top"/>
    </xf>
    <xf numFmtId="49" fontId="2" fillId="5" borderId="68" xfId="0" applyNumberFormat="1" applyFont="1" applyFill="1" applyBorder="1" applyAlignment="1">
      <alignment horizontal="center" vertical="top"/>
    </xf>
    <xf numFmtId="164" fontId="4" fillId="5" borderId="20" xfId="0" applyNumberFormat="1" applyFont="1" applyFill="1" applyBorder="1" applyAlignment="1">
      <alignment horizontal="left" vertical="top" wrapText="1"/>
    </xf>
    <xf numFmtId="49" fontId="2" fillId="3" borderId="17" xfId="0" applyNumberFormat="1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49" fontId="5" fillId="5" borderId="67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0" fontId="19" fillId="0" borderId="39" xfId="0" applyNumberFormat="1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3" borderId="4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 wrapText="1"/>
    </xf>
    <xf numFmtId="3" fontId="21" fillId="8" borderId="13" xfId="0" applyNumberFormat="1" applyFont="1" applyFill="1" applyBorder="1" applyAlignment="1">
      <alignment horizontal="center" vertical="top" wrapText="1"/>
    </xf>
    <xf numFmtId="3" fontId="18" fillId="0" borderId="66" xfId="0" applyNumberFormat="1" applyFont="1" applyFill="1" applyBorder="1" applyAlignment="1">
      <alignment horizontal="center" vertical="top"/>
    </xf>
    <xf numFmtId="3" fontId="18" fillId="0" borderId="59" xfId="0" applyNumberFormat="1" applyFont="1" applyFill="1" applyBorder="1" applyAlignment="1">
      <alignment horizontal="center" vertical="top"/>
    </xf>
    <xf numFmtId="3" fontId="18" fillId="0" borderId="59" xfId="0" applyNumberFormat="1" applyFont="1" applyFill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top"/>
    </xf>
    <xf numFmtId="0" fontId="21" fillId="5" borderId="66" xfId="0" applyFont="1" applyFill="1" applyBorder="1" applyAlignment="1">
      <alignment vertical="top" wrapText="1"/>
    </xf>
    <xf numFmtId="3" fontId="21" fillId="0" borderId="2" xfId="0" applyNumberFormat="1" applyFont="1" applyFill="1" applyBorder="1" applyAlignment="1">
      <alignment horizontal="center" vertical="top" wrapText="1"/>
    </xf>
    <xf numFmtId="0" fontId="18" fillId="8" borderId="52" xfId="0" applyNumberFormat="1" applyFont="1" applyFill="1" applyBorder="1" applyAlignment="1">
      <alignment horizontal="center" vertical="top"/>
    </xf>
    <xf numFmtId="49" fontId="5" fillId="5" borderId="42" xfId="0" applyNumberFormat="1" applyFont="1" applyFill="1" applyBorder="1" applyAlignment="1">
      <alignment horizontal="center" vertical="top"/>
    </xf>
    <xf numFmtId="49" fontId="4" fillId="6" borderId="53" xfId="0" applyNumberFormat="1" applyFont="1" applyFill="1" applyBorder="1" applyAlignment="1">
      <alignment horizontal="center" vertical="top"/>
    </xf>
    <xf numFmtId="165" fontId="5" fillId="5" borderId="62" xfId="0" applyNumberFormat="1" applyFont="1" applyFill="1" applyBorder="1" applyAlignment="1">
      <alignment horizontal="left" vertical="top" wrapText="1"/>
    </xf>
    <xf numFmtId="49" fontId="5" fillId="5" borderId="33" xfId="0" applyNumberFormat="1" applyFont="1" applyFill="1" applyBorder="1" applyAlignment="1">
      <alignment horizontal="center" vertical="top"/>
    </xf>
    <xf numFmtId="0" fontId="4" fillId="0" borderId="36" xfId="0" applyFont="1" applyFill="1" applyBorder="1" applyAlignment="1">
      <alignment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44" xfId="0" applyNumberFormat="1" applyFont="1" applyFill="1" applyBorder="1" applyAlignment="1">
      <alignment horizontal="center" vertical="top"/>
    </xf>
    <xf numFmtId="49" fontId="2" fillId="5" borderId="53" xfId="0" applyNumberFormat="1" applyFont="1" applyFill="1" applyBorder="1" applyAlignment="1">
      <alignment vertical="top"/>
    </xf>
    <xf numFmtId="0" fontId="2" fillId="9" borderId="65" xfId="0" applyFont="1" applyFill="1" applyBorder="1" applyAlignment="1">
      <alignment horizontal="center" vertical="top" wrapText="1"/>
    </xf>
    <xf numFmtId="3" fontId="2" fillId="9" borderId="2" xfId="0" applyNumberFormat="1" applyFont="1" applyFill="1" applyBorder="1" applyAlignment="1">
      <alignment horizontal="center" vertical="top" wrapText="1"/>
    </xf>
    <xf numFmtId="3" fontId="18" fillId="0" borderId="2" xfId="0" applyNumberFormat="1" applyFont="1" applyFill="1" applyBorder="1" applyAlignment="1">
      <alignment horizontal="center" vertical="top" wrapText="1"/>
    </xf>
    <xf numFmtId="3" fontId="21" fillId="0" borderId="5" xfId="0" applyNumberFormat="1" applyFont="1" applyFill="1" applyBorder="1" applyAlignment="1">
      <alignment horizontal="center" vertical="top" wrapText="1"/>
    </xf>
    <xf numFmtId="0" fontId="21" fillId="5" borderId="42" xfId="0" applyFont="1" applyFill="1" applyBorder="1" applyAlignment="1">
      <alignment vertical="top" wrapText="1"/>
    </xf>
    <xf numFmtId="0" fontId="10" fillId="0" borderId="5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4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4" fillId="0" borderId="37" xfId="0" applyNumberFormat="1" applyFont="1" applyFill="1" applyBorder="1" applyAlignment="1">
      <alignment horizontal="left" vertical="top" wrapText="1"/>
    </xf>
    <xf numFmtId="165" fontId="4" fillId="0" borderId="40" xfId="0" applyNumberFormat="1" applyFont="1" applyFill="1" applyBorder="1" applyAlignment="1">
      <alignment horizontal="left" vertical="top" wrapText="1"/>
    </xf>
    <xf numFmtId="3" fontId="14" fillId="0" borderId="59" xfId="0" applyNumberFormat="1" applyFont="1" applyFill="1" applyBorder="1" applyAlignment="1">
      <alignment horizontal="center" vertical="center" textRotation="90" wrapText="1"/>
    </xf>
    <xf numFmtId="3" fontId="14" fillId="0" borderId="18" xfId="0" applyNumberFormat="1" applyFont="1" applyFill="1" applyBorder="1" applyAlignment="1">
      <alignment horizontal="center" vertical="center" textRotation="90" wrapText="1"/>
    </xf>
    <xf numFmtId="3" fontId="14" fillId="0" borderId="42" xfId="0" applyNumberFormat="1" applyFont="1" applyFill="1" applyBorder="1" applyAlignment="1">
      <alignment horizontal="center" vertical="center" textRotation="90" wrapText="1"/>
    </xf>
    <xf numFmtId="49" fontId="2" fillId="3" borderId="14" xfId="0" applyNumberFormat="1" applyFont="1" applyFill="1" applyBorder="1" applyAlignment="1">
      <alignment horizontal="right" vertical="top"/>
    </xf>
    <xf numFmtId="49" fontId="2" fillId="3" borderId="54" xfId="0" applyNumberFormat="1" applyFont="1" applyFill="1" applyBorder="1" applyAlignment="1">
      <alignment horizontal="right" vertical="top"/>
    </xf>
    <xf numFmtId="165" fontId="4" fillId="8" borderId="37" xfId="0" applyNumberFormat="1" applyFont="1" applyFill="1" applyBorder="1" applyAlignment="1">
      <alignment horizontal="left" vertical="top" wrapText="1"/>
    </xf>
    <xf numFmtId="165" fontId="4" fillId="8" borderId="40" xfId="0" applyNumberFormat="1" applyFont="1" applyFill="1" applyBorder="1" applyAlignment="1">
      <alignment horizontal="left" vertical="top" wrapText="1"/>
    </xf>
    <xf numFmtId="49" fontId="2" fillId="2" borderId="54" xfId="0" applyNumberFormat="1" applyFont="1" applyFill="1" applyBorder="1" applyAlignment="1">
      <alignment horizontal="right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0" fontId="4" fillId="0" borderId="73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 textRotation="90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39" xfId="0" applyNumberFormat="1" applyFont="1" applyBorder="1" applyAlignment="1">
      <alignment horizontal="center" vertical="top"/>
    </xf>
    <xf numFmtId="0" fontId="1" fillId="0" borderId="7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3" fontId="14" fillId="0" borderId="13" xfId="0" applyNumberFormat="1" applyFont="1" applyFill="1" applyBorder="1" applyAlignment="1">
      <alignment horizontal="center" vertical="center" textRotation="90" wrapText="1"/>
    </xf>
    <xf numFmtId="3" fontId="14" fillId="0" borderId="19" xfId="0" applyNumberFormat="1" applyFont="1" applyFill="1" applyBorder="1" applyAlignment="1">
      <alignment horizontal="center" vertical="center" textRotation="90" wrapText="1"/>
    </xf>
    <xf numFmtId="49" fontId="2" fillId="5" borderId="73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33" xfId="0" applyNumberFormat="1" applyFont="1" applyFill="1" applyBorder="1" applyAlignment="1">
      <alignment horizontal="center" vertical="top"/>
    </xf>
    <xf numFmtId="0" fontId="14" fillId="0" borderId="59" xfId="0" applyFont="1" applyFill="1" applyBorder="1" applyAlignment="1">
      <alignment horizontal="center" vertical="top" textRotation="90" wrapText="1"/>
    </xf>
    <xf numFmtId="0" fontId="14" fillId="0" borderId="18" xfId="0" applyFont="1" applyFill="1" applyBorder="1" applyAlignment="1">
      <alignment horizontal="center" vertical="top" textRotation="90" wrapText="1"/>
    </xf>
    <xf numFmtId="0" fontId="14" fillId="0" borderId="42" xfId="0" applyFont="1" applyFill="1" applyBorder="1" applyAlignment="1">
      <alignment horizontal="center" vertical="top" textRotation="90" wrapText="1"/>
    </xf>
    <xf numFmtId="0" fontId="1" fillId="0" borderId="47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7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49" fontId="1" fillId="0" borderId="4" xfId="0" applyNumberFormat="1" applyFont="1" applyBorder="1" applyAlignment="1">
      <alignment horizontal="center" vertical="top"/>
    </xf>
    <xf numFmtId="164" fontId="5" fillId="2" borderId="54" xfId="0" applyNumberFormat="1" applyFont="1" applyFill="1" applyBorder="1" applyAlignment="1">
      <alignment horizontal="center" vertical="top"/>
    </xf>
    <xf numFmtId="164" fontId="5" fillId="2" borderId="74" xfId="0" applyNumberFormat="1" applyFont="1" applyFill="1" applyBorder="1" applyAlignment="1">
      <alignment horizontal="center" vertical="top"/>
    </xf>
    <xf numFmtId="165" fontId="1" fillId="5" borderId="72" xfId="0" applyNumberFormat="1" applyFont="1" applyFill="1" applyBorder="1" applyAlignment="1">
      <alignment horizontal="left" vertical="top" wrapText="1"/>
    </xf>
    <xf numFmtId="165" fontId="1" fillId="5" borderId="67" xfId="0" applyNumberFormat="1" applyFont="1" applyFill="1" applyBorder="1" applyAlignment="1">
      <alignment horizontal="left" vertical="top" wrapText="1"/>
    </xf>
    <xf numFmtId="165" fontId="1" fillId="5" borderId="77" xfId="0" applyNumberFormat="1" applyFont="1" applyFill="1" applyBorder="1" applyAlignment="1">
      <alignment horizontal="left" vertical="top" wrapText="1"/>
    </xf>
    <xf numFmtId="164" fontId="1" fillId="0" borderId="72" xfId="0" applyNumberFormat="1" applyFont="1" applyBorder="1" applyAlignment="1">
      <alignment horizontal="left" vertical="top" wrapText="1"/>
    </xf>
    <xf numFmtId="164" fontId="1" fillId="0" borderId="77" xfId="0" applyNumberFormat="1" applyFont="1" applyBorder="1" applyAlignment="1">
      <alignment horizontal="left" vertical="top" wrapText="1"/>
    </xf>
    <xf numFmtId="0" fontId="5" fillId="0" borderId="73" xfId="0" applyNumberFormat="1" applyFont="1" applyBorder="1" applyAlignment="1">
      <alignment horizontal="center" vertical="top"/>
    </xf>
    <xf numFmtId="0" fontId="5" fillId="0" borderId="46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5" borderId="64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5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4" fillId="8" borderId="18" xfId="0" applyFont="1" applyFill="1" applyBorder="1" applyAlignment="1">
      <alignment horizontal="left" vertical="top" wrapText="1"/>
    </xf>
    <xf numFmtId="0" fontId="4" fillId="5" borderId="59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8" borderId="59" xfId="0" applyFont="1" applyFill="1" applyBorder="1" applyAlignment="1">
      <alignment horizontal="left" vertical="top" wrapText="1"/>
    </xf>
    <xf numFmtId="49" fontId="5" fillId="3" borderId="40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4" xfId="0" applyFont="1" applyFill="1" applyBorder="1" applyAlignment="1">
      <alignment horizontal="left" vertical="top" wrapText="1"/>
    </xf>
    <xf numFmtId="0" fontId="6" fillId="4" borderId="74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left" vertical="center"/>
    </xf>
    <xf numFmtId="0" fontId="5" fillId="3" borderId="74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5" borderId="72" xfId="0" applyFont="1" applyFill="1" applyBorder="1" applyAlignment="1">
      <alignment horizontal="left" vertical="top" wrapText="1"/>
    </xf>
    <xf numFmtId="0" fontId="3" fillId="0" borderId="67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1" fillId="0" borderId="70" xfId="0" applyFont="1" applyFill="1" applyBorder="1" applyAlignment="1">
      <alignment horizontal="left" vertical="top" wrapText="1"/>
    </xf>
    <xf numFmtId="0" fontId="1" fillId="0" borderId="67" xfId="0" applyFont="1" applyFill="1" applyBorder="1" applyAlignment="1">
      <alignment horizontal="left" vertical="top" wrapText="1"/>
    </xf>
    <xf numFmtId="0" fontId="1" fillId="0" borderId="77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1" fillId="0" borderId="67" xfId="0" applyFont="1" applyBorder="1" applyAlignment="1">
      <alignment vertical="top" wrapText="1"/>
    </xf>
    <xf numFmtId="0" fontId="3" fillId="0" borderId="77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textRotation="90" wrapText="1"/>
    </xf>
    <xf numFmtId="49" fontId="5" fillId="6" borderId="45" xfId="0" applyNumberFormat="1" applyFont="1" applyFill="1" applyBorder="1" applyAlignment="1">
      <alignment horizontal="center" vertical="top"/>
    </xf>
    <xf numFmtId="49" fontId="5" fillId="6" borderId="5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59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4" xfId="0" applyNumberFormat="1" applyFont="1" applyFill="1" applyBorder="1" applyAlignment="1">
      <alignment horizontal="left" vertical="top" wrapText="1"/>
    </xf>
    <xf numFmtId="49" fontId="2" fillId="7" borderId="74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49" xfId="0" applyNumberFormat="1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49" xfId="0" applyNumberFormat="1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 wrapText="1"/>
    </xf>
    <xf numFmtId="0" fontId="14" fillId="0" borderId="31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center" vertical="top"/>
    </xf>
    <xf numFmtId="49" fontId="5" fillId="2" borderId="42" xfId="0" applyNumberFormat="1" applyFont="1" applyFill="1" applyBorder="1" applyAlignment="1">
      <alignment horizontal="center" vertical="top"/>
    </xf>
    <xf numFmtId="49" fontId="5" fillId="2" borderId="5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4" fillId="10" borderId="66" xfId="0" applyNumberFormat="1" applyFont="1" applyFill="1" applyBorder="1" applyAlignment="1">
      <alignment horizontal="center" vertical="top"/>
    </xf>
    <xf numFmtId="49" fontId="4" fillId="10" borderId="42" xfId="0" applyNumberFormat="1" applyFont="1" applyFill="1" applyBorder="1" applyAlignment="1">
      <alignment horizontal="center" vertical="top"/>
    </xf>
    <xf numFmtId="49" fontId="4" fillId="10" borderId="59" xfId="0" applyNumberFormat="1" applyFont="1" applyFill="1" applyBorder="1" applyAlignment="1">
      <alignment horizontal="center" vertical="top"/>
    </xf>
    <xf numFmtId="0" fontId="5" fillId="0" borderId="51" xfId="0" applyNumberFormat="1" applyFont="1" applyBorder="1" applyAlignment="1">
      <alignment horizontal="center" vertical="top"/>
    </xf>
    <xf numFmtId="0" fontId="5" fillId="0" borderId="53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4" fillId="0" borderId="66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top" textRotation="180" wrapText="1"/>
    </xf>
    <xf numFmtId="0" fontId="4" fillId="0" borderId="42" xfId="0" applyFont="1" applyFill="1" applyBorder="1" applyAlignment="1">
      <alignment horizontal="center" vertical="top" textRotation="180" wrapText="1"/>
    </xf>
    <xf numFmtId="0" fontId="4" fillId="0" borderId="59" xfId="0" applyFont="1" applyFill="1" applyBorder="1" applyAlignment="1">
      <alignment horizontal="center" vertical="top" textRotation="180" wrapText="1"/>
    </xf>
    <xf numFmtId="0" fontId="4" fillId="5" borderId="6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/>
    </xf>
    <xf numFmtId="164" fontId="4" fillId="5" borderId="67" xfId="0" applyNumberFormat="1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textRotation="90" wrapText="1"/>
    </xf>
    <xf numFmtId="49" fontId="4" fillId="10" borderId="34" xfId="0" applyNumberFormat="1" applyFont="1" applyFill="1" applyBorder="1" applyAlignment="1">
      <alignment horizontal="center" vertical="top"/>
    </xf>
    <xf numFmtId="49" fontId="4" fillId="10" borderId="27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 textRotation="90"/>
    </xf>
    <xf numFmtId="0" fontId="14" fillId="0" borderId="42" xfId="0" applyFont="1" applyBorder="1" applyAlignment="1">
      <alignment horizontal="center" vertical="top" textRotation="90"/>
    </xf>
    <xf numFmtId="0" fontId="14" fillId="0" borderId="59" xfId="0" applyFont="1" applyBorder="1" applyAlignment="1">
      <alignment horizontal="center" vertical="top" textRotation="90"/>
    </xf>
    <xf numFmtId="3" fontId="14" fillId="8" borderId="59" xfId="0" applyNumberFormat="1" applyFont="1" applyFill="1" applyBorder="1" applyAlignment="1">
      <alignment horizontal="center" vertical="center" textRotation="90"/>
    </xf>
    <xf numFmtId="3" fontId="14" fillId="8" borderId="18" xfId="0" applyNumberFormat="1" applyFont="1" applyFill="1" applyBorder="1" applyAlignment="1">
      <alignment horizontal="center" vertical="center" textRotation="90"/>
    </xf>
    <xf numFmtId="3" fontId="14" fillId="8" borderId="42" xfId="0" applyNumberFormat="1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49" fontId="2" fillId="3" borderId="76" xfId="0" applyNumberFormat="1" applyFont="1" applyFill="1" applyBorder="1" applyAlignment="1">
      <alignment horizontal="center" vertical="top"/>
    </xf>
    <xf numFmtId="49" fontId="2" fillId="3" borderId="61" xfId="0" applyNumberFormat="1" applyFont="1" applyFill="1" applyBorder="1" applyAlignment="1">
      <alignment horizontal="center" vertical="top"/>
    </xf>
    <xf numFmtId="49" fontId="5" fillId="5" borderId="64" xfId="0" applyNumberFormat="1" applyFont="1" applyFill="1" applyBorder="1" applyAlignment="1">
      <alignment horizontal="center" vertical="top"/>
    </xf>
    <xf numFmtId="49" fontId="5" fillId="5" borderId="68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5" borderId="64" xfId="0" applyFont="1" applyFill="1" applyBorder="1" applyAlignment="1">
      <alignment horizontal="left" vertical="top" wrapText="1"/>
    </xf>
    <xf numFmtId="0" fontId="4" fillId="5" borderId="6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54" xfId="0" applyNumberFormat="1" applyFont="1" applyFill="1" applyBorder="1" applyAlignment="1">
      <alignment horizontal="left" vertical="top" wrapText="1"/>
    </xf>
    <xf numFmtId="49" fontId="2" fillId="2" borderId="74" xfId="0" applyNumberFormat="1" applyFont="1" applyFill="1" applyBorder="1" applyAlignment="1">
      <alignment horizontal="left" vertical="top" wrapText="1"/>
    </xf>
    <xf numFmtId="0" fontId="14" fillId="11" borderId="18" xfId="0" applyFont="1" applyFill="1" applyBorder="1" applyAlignment="1">
      <alignment horizontal="center" vertical="top" textRotation="90" wrapText="1"/>
    </xf>
    <xf numFmtId="0" fontId="14" fillId="11" borderId="42" xfId="0" applyFont="1" applyFill="1" applyBorder="1" applyAlignment="1">
      <alignment horizontal="center" vertical="top" textRotation="90" wrapText="1"/>
    </xf>
    <xf numFmtId="0" fontId="14" fillId="11" borderId="59" xfId="0" applyFont="1" applyFill="1" applyBorder="1" applyAlignment="1">
      <alignment horizontal="center" vertical="top" textRotation="90"/>
    </xf>
    <xf numFmtId="0" fontId="14" fillId="11" borderId="42" xfId="0" applyFont="1" applyFill="1" applyBorder="1" applyAlignment="1">
      <alignment horizontal="center" vertical="top" textRotation="90"/>
    </xf>
    <xf numFmtId="3" fontId="14" fillId="0" borderId="18" xfId="0" applyNumberFormat="1" applyFont="1" applyBorder="1" applyAlignment="1">
      <alignment horizontal="center" vertical="center" textRotation="90"/>
    </xf>
    <xf numFmtId="3" fontId="14" fillId="0" borderId="42" xfId="0" applyNumberFormat="1" applyFont="1" applyBorder="1" applyAlignment="1">
      <alignment horizontal="center" vertical="center" textRotation="90"/>
    </xf>
    <xf numFmtId="3" fontId="14" fillId="8" borderId="18" xfId="0" applyNumberFormat="1" applyFont="1" applyFill="1" applyBorder="1" applyAlignment="1">
      <alignment horizontal="center" vertical="center" textRotation="90" wrapText="1"/>
    </xf>
    <xf numFmtId="3" fontId="14" fillId="8" borderId="42" xfId="0" applyNumberFormat="1" applyFont="1" applyFill="1" applyBorder="1" applyAlignment="1">
      <alignment horizontal="center" vertical="center" textRotation="90" wrapText="1"/>
    </xf>
    <xf numFmtId="3" fontId="14" fillId="8" borderId="59" xfId="0" applyNumberFormat="1" applyFont="1" applyFill="1" applyBorder="1" applyAlignment="1">
      <alignment horizontal="center" vertical="center" textRotation="90" wrapText="1"/>
    </xf>
    <xf numFmtId="3" fontId="14" fillId="8" borderId="19" xfId="0" applyNumberFormat="1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42" xfId="0" applyFont="1" applyFill="1" applyBorder="1" applyAlignment="1">
      <alignment horizontal="center" vertical="center" textRotation="90" wrapText="1"/>
    </xf>
    <xf numFmtId="164" fontId="1" fillId="0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right" vertical="top"/>
    </xf>
    <xf numFmtId="164" fontId="4" fillId="0" borderId="37" xfId="0" applyNumberFormat="1" applyFont="1" applyFill="1" applyBorder="1" applyAlignment="1">
      <alignment horizontal="left" vertical="top" wrapText="1"/>
    </xf>
    <xf numFmtId="164" fontId="4" fillId="0" borderId="40" xfId="0" applyNumberFormat="1" applyFont="1" applyFill="1" applyBorder="1" applyAlignment="1">
      <alignment horizontal="left" vertical="top" wrapText="1"/>
    </xf>
    <xf numFmtId="164" fontId="2" fillId="2" borderId="54" xfId="0" applyNumberFormat="1" applyFont="1" applyFill="1" applyBorder="1" applyAlignment="1">
      <alignment horizontal="center" vertical="top"/>
    </xf>
    <xf numFmtId="164" fontId="2" fillId="2" borderId="74" xfId="0" applyNumberFormat="1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center" textRotation="90" wrapText="1"/>
    </xf>
    <xf numFmtId="0" fontId="4" fillId="0" borderId="63" xfId="0" applyFont="1" applyFill="1" applyBorder="1" applyAlignment="1">
      <alignment horizontal="center" vertical="center" textRotation="90" wrapText="1"/>
    </xf>
    <xf numFmtId="0" fontId="5" fillId="5" borderId="68" xfId="0" applyNumberFormat="1" applyFont="1" applyFill="1" applyBorder="1" applyAlignment="1">
      <alignment horizontal="center" vertical="top"/>
    </xf>
    <xf numFmtId="0" fontId="13" fillId="8" borderId="6" xfId="0" applyFont="1" applyFill="1" applyBorder="1" applyAlignment="1">
      <alignment horizontal="center" vertical="top" wrapText="1"/>
    </xf>
    <xf numFmtId="0" fontId="13" fillId="8" borderId="49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14" fillId="11" borderId="59" xfId="0" applyFont="1" applyFill="1" applyBorder="1" applyAlignment="1">
      <alignment horizontal="center" vertical="top" textRotation="90" wrapText="1"/>
    </xf>
    <xf numFmtId="0" fontId="1" fillId="8" borderId="29" xfId="0" applyFont="1" applyFill="1" applyBorder="1" applyAlignment="1">
      <alignment horizontal="left" vertical="top" wrapText="1"/>
    </xf>
    <xf numFmtId="0" fontId="1" fillId="8" borderId="18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center" textRotation="90" wrapText="1"/>
    </xf>
    <xf numFmtId="0" fontId="2" fillId="0" borderId="73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64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15" fillId="0" borderId="49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2" fillId="4" borderId="76" xfId="0" applyFont="1" applyFill="1" applyBorder="1" applyAlignment="1">
      <alignment horizontal="right" vertical="top" wrapText="1"/>
    </xf>
    <xf numFmtId="0" fontId="2" fillId="4" borderId="58" xfId="0" applyFont="1" applyFill="1" applyBorder="1" applyAlignment="1">
      <alignment horizontal="right" vertical="top" wrapText="1"/>
    </xf>
    <xf numFmtId="0" fontId="2" fillId="4" borderId="75" xfId="0" applyFont="1" applyFill="1" applyBorder="1" applyAlignment="1">
      <alignment horizontal="right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74" xfId="0" applyNumberFormat="1" applyFont="1" applyFill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0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164" fontId="2" fillId="4" borderId="56" xfId="0" applyNumberFormat="1" applyFont="1" applyFill="1" applyBorder="1" applyAlignment="1">
      <alignment horizontal="center" vertical="top"/>
    </xf>
    <xf numFmtId="164" fontId="2" fillId="4" borderId="69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164" fontId="1" fillId="0" borderId="40" xfId="0" applyNumberFormat="1" applyFont="1" applyBorder="1" applyAlignment="1">
      <alignment horizontal="left" vertical="top" wrapText="1"/>
    </xf>
    <xf numFmtId="0" fontId="2" fillId="9" borderId="12" xfId="0" applyFont="1" applyFill="1" applyBorder="1" applyAlignment="1">
      <alignment horizontal="right" vertical="top" wrapText="1"/>
    </xf>
    <xf numFmtId="0" fontId="2" fillId="9" borderId="54" xfId="0" applyFont="1" applyFill="1" applyBorder="1" applyAlignment="1">
      <alignment horizontal="right" vertical="top" wrapText="1"/>
    </xf>
    <xf numFmtId="0" fontId="2" fillId="9" borderId="74" xfId="0" applyFont="1" applyFill="1" applyBorder="1" applyAlignment="1">
      <alignment horizontal="right" vertical="top" wrapText="1"/>
    </xf>
    <xf numFmtId="0" fontId="1" fillId="5" borderId="41" xfId="0" applyFont="1" applyFill="1" applyBorder="1" applyAlignment="1">
      <alignment horizontal="lef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60" xfId="0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4" xfId="0" applyNumberFormat="1" applyFont="1" applyFill="1" applyBorder="1" applyAlignment="1">
      <alignment horizontal="left" vertical="top"/>
    </xf>
    <xf numFmtId="49" fontId="2" fillId="4" borderId="54" xfId="0" applyNumberFormat="1" applyFont="1" applyFill="1" applyBorder="1" applyAlignment="1">
      <alignment horizontal="right" vertical="top"/>
    </xf>
    <xf numFmtId="0" fontId="2" fillId="0" borderId="38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center" wrapText="1"/>
    </xf>
    <xf numFmtId="0" fontId="1" fillId="5" borderId="65" xfId="0" applyFont="1" applyFill="1" applyBorder="1" applyAlignment="1">
      <alignment horizontal="left" vertical="top" wrapText="1"/>
    </xf>
    <xf numFmtId="0" fontId="1" fillId="5" borderId="34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14" fillId="11" borderId="13" xfId="0" applyFont="1" applyFill="1" applyBorder="1" applyAlignment="1">
      <alignment horizontal="center" vertical="center" textRotation="90" wrapText="1"/>
    </xf>
    <xf numFmtId="0" fontId="14" fillId="11" borderId="19" xfId="0" applyFont="1" applyFill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3" fontId="14" fillId="8" borderId="13" xfId="0" applyNumberFormat="1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4" xfId="0" applyFont="1" applyFill="1" applyBorder="1" applyAlignment="1">
      <alignment horizontal="right" vertical="top" wrapText="1"/>
    </xf>
    <xf numFmtId="0" fontId="2" fillId="4" borderId="74" xfId="0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left" vertical="top" wrapText="1"/>
    </xf>
    <xf numFmtId="49" fontId="2" fillId="6" borderId="45" xfId="0" applyNumberFormat="1" applyFont="1" applyFill="1" applyBorder="1" applyAlignment="1">
      <alignment horizontal="center" vertical="top"/>
    </xf>
    <xf numFmtId="49" fontId="2" fillId="6" borderId="50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textRotation="90" wrapText="1"/>
    </xf>
    <xf numFmtId="0" fontId="4" fillId="8" borderId="29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5" fillId="0" borderId="73" xfId="0" applyNumberFormat="1" applyFont="1" applyFill="1" applyBorder="1" applyAlignment="1">
      <alignment horizontal="center" vertical="top"/>
    </xf>
    <xf numFmtId="0" fontId="5" fillId="0" borderId="46" xfId="0" applyNumberFormat="1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left" vertical="top" wrapText="1"/>
    </xf>
    <xf numFmtId="164" fontId="5" fillId="3" borderId="12" xfId="0" applyNumberFormat="1" applyFont="1" applyFill="1" applyBorder="1" applyAlignment="1">
      <alignment horizontal="center" vertical="top"/>
    </xf>
    <xf numFmtId="164" fontId="5" fillId="3" borderId="74" xfId="0" applyNumberFormat="1" applyFont="1" applyFill="1" applyBorder="1" applyAlignment="1">
      <alignment horizontal="center" vertical="top"/>
    </xf>
    <xf numFmtId="0" fontId="5" fillId="3" borderId="6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 wrapText="1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68" xfId="0" applyNumberFormat="1" applyFont="1" applyFill="1" applyBorder="1" applyAlignment="1">
      <alignment horizontal="right" vertical="top"/>
    </xf>
    <xf numFmtId="49" fontId="2" fillId="5" borderId="64" xfId="0" applyNumberFormat="1" applyFont="1" applyFill="1" applyBorder="1" applyAlignment="1">
      <alignment horizontal="center" vertical="top"/>
    </xf>
    <xf numFmtId="49" fontId="2" fillId="5" borderId="68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0" borderId="51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49" fontId="5" fillId="5" borderId="67" xfId="0" applyNumberFormat="1" applyFont="1" applyFill="1" applyBorder="1" applyAlignment="1">
      <alignment horizontal="center" vertical="top"/>
    </xf>
    <xf numFmtId="0" fontId="14" fillId="0" borderId="59" xfId="0" applyFont="1" applyFill="1" applyBorder="1" applyAlignment="1">
      <alignment horizontal="center" vertical="center" textRotation="90" wrapText="1"/>
    </xf>
    <xf numFmtId="49" fontId="5" fillId="0" borderId="51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5" fillId="0" borderId="53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5" fillId="0" borderId="5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9" fillId="8" borderId="59" xfId="0" applyFont="1" applyFill="1" applyBorder="1" applyAlignment="1">
      <alignment horizontal="left" vertical="top" wrapText="1"/>
    </xf>
    <xf numFmtId="0" fontId="19" fillId="8" borderId="19" xfId="0" applyFont="1" applyFill="1" applyBorder="1" applyAlignment="1">
      <alignment horizontal="left" vertical="top" wrapText="1"/>
    </xf>
    <xf numFmtId="3" fontId="22" fillId="8" borderId="59" xfId="0" applyNumberFormat="1" applyFont="1" applyFill="1" applyBorder="1" applyAlignment="1">
      <alignment horizontal="center" vertical="center" textRotation="90" wrapText="1"/>
    </xf>
    <xf numFmtId="3" fontId="22" fillId="8" borderId="19" xfId="0" applyNumberFormat="1" applyFont="1" applyFill="1" applyBorder="1" applyAlignment="1">
      <alignment horizontal="center" vertical="center" textRotation="90" wrapText="1"/>
    </xf>
    <xf numFmtId="0" fontId="18" fillId="5" borderId="8" xfId="0" applyFont="1" applyFill="1" applyBorder="1" applyAlignment="1">
      <alignment horizontal="center" vertical="top" wrapText="1"/>
    </xf>
    <xf numFmtId="0" fontId="18" fillId="5" borderId="49" xfId="0" applyFont="1" applyFill="1" applyBorder="1" applyAlignment="1">
      <alignment horizontal="center" vertical="top" wrapText="1"/>
    </xf>
    <xf numFmtId="0" fontId="5" fillId="6" borderId="45" xfId="0" applyFont="1" applyFill="1" applyBorder="1" applyAlignment="1">
      <alignment horizontal="right" vertical="top" wrapText="1"/>
    </xf>
    <xf numFmtId="0" fontId="5" fillId="6" borderId="50" xfId="0" applyFont="1" applyFill="1" applyBorder="1" applyAlignment="1">
      <alignment horizontal="right" vertical="top" wrapText="1"/>
    </xf>
    <xf numFmtId="0" fontId="1" fillId="5" borderId="59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top" wrapText="1"/>
    </xf>
    <xf numFmtId="0" fontId="20" fillId="0" borderId="59" xfId="0" applyFont="1" applyBorder="1" applyAlignment="1">
      <alignment horizontal="center" vertical="top" textRotation="90"/>
    </xf>
    <xf numFmtId="0" fontId="20" fillId="0" borderId="18" xfId="0" applyFont="1" applyBorder="1" applyAlignment="1">
      <alignment horizontal="center" vertical="top" textRotation="90"/>
    </xf>
    <xf numFmtId="0" fontId="20" fillId="0" borderId="42" xfId="0" applyFont="1" applyBorder="1" applyAlignment="1">
      <alignment horizontal="center" vertical="top" textRotation="90"/>
    </xf>
    <xf numFmtId="3" fontId="20" fillId="0" borderId="59" xfId="0" applyNumberFormat="1" applyFont="1" applyBorder="1" applyAlignment="1">
      <alignment horizontal="center" vertical="center" textRotation="90"/>
    </xf>
    <xf numFmtId="3" fontId="20" fillId="0" borderId="18" xfId="0" applyNumberFormat="1" applyFont="1" applyBorder="1" applyAlignment="1">
      <alignment horizontal="center" vertical="center" textRotation="90"/>
    </xf>
    <xf numFmtId="3" fontId="20" fillId="0" borderId="42" xfId="0" applyNumberFormat="1" applyFont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8" fillId="8" borderId="59" xfId="0" applyFont="1" applyFill="1" applyBorder="1" applyAlignment="1">
      <alignment horizontal="left" vertical="top" wrapText="1"/>
    </xf>
    <xf numFmtId="0" fontId="18" fillId="8" borderId="18" xfId="0" applyFont="1" applyFill="1" applyBorder="1" applyAlignment="1">
      <alignment horizontal="left" vertical="top" wrapText="1"/>
    </xf>
    <xf numFmtId="0" fontId="18" fillId="8" borderId="19" xfId="0" applyFont="1" applyFill="1" applyBorder="1" applyAlignment="1">
      <alignment horizontal="left" vertical="top" wrapText="1"/>
    </xf>
    <xf numFmtId="0" fontId="19" fillId="5" borderId="59" xfId="0" applyFont="1" applyFill="1" applyBorder="1" applyAlignment="1">
      <alignment horizontal="left" vertical="top" wrapText="1"/>
    </xf>
    <xf numFmtId="0" fontId="19" fillId="5" borderId="18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horizontal="center" vertical="top"/>
    </xf>
    <xf numFmtId="49" fontId="2" fillId="2" borderId="66" xfId="0" applyNumberFormat="1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center" textRotation="90" wrapText="1"/>
    </xf>
    <xf numFmtId="0" fontId="2" fillId="0" borderId="57" xfId="0" applyNumberFormat="1" applyFont="1" applyFill="1" applyBorder="1" applyAlignment="1">
      <alignment horizontal="center" vertical="top"/>
    </xf>
    <xf numFmtId="0" fontId="21" fillId="5" borderId="13" xfId="0" applyFont="1" applyFill="1" applyBorder="1" applyAlignment="1">
      <alignment horizontal="left" vertical="top" wrapText="1"/>
    </xf>
    <xf numFmtId="0" fontId="21" fillId="5" borderId="19" xfId="0" applyFont="1" applyFill="1" applyBorder="1" applyAlignment="1">
      <alignment horizontal="left" vertical="top" wrapText="1"/>
    </xf>
    <xf numFmtId="0" fontId="21" fillId="8" borderId="29" xfId="0" applyFont="1" applyFill="1" applyBorder="1" applyAlignment="1">
      <alignment horizontal="left" vertical="top" wrapText="1"/>
    </xf>
    <xf numFmtId="0" fontId="21" fillId="8" borderId="18" xfId="0" applyFont="1" applyFill="1" applyBorder="1" applyAlignment="1">
      <alignment horizontal="left" vertical="top" wrapText="1"/>
    </xf>
    <xf numFmtId="0" fontId="21" fillId="8" borderId="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18" xfId="0" applyFont="1" applyFill="1" applyBorder="1" applyAlignment="1">
      <alignment vertical="center" textRotation="90" wrapText="1"/>
    </xf>
    <xf numFmtId="0" fontId="1" fillId="0" borderId="19" xfId="0" applyFont="1" applyFill="1" applyBorder="1" applyAlignment="1">
      <alignment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textRotation="90" wrapText="1"/>
    </xf>
    <xf numFmtId="3" fontId="20" fillId="0" borderId="13" xfId="0" applyNumberFormat="1" applyFont="1" applyFill="1" applyBorder="1" applyAlignment="1">
      <alignment horizontal="center" vertical="center" textRotation="90" wrapText="1"/>
    </xf>
    <xf numFmtId="3" fontId="20" fillId="0" borderId="18" xfId="0" applyNumberFormat="1" applyFont="1" applyFill="1" applyBorder="1" applyAlignment="1">
      <alignment horizontal="center" vertical="center" textRotation="90" wrapText="1"/>
    </xf>
    <xf numFmtId="3" fontId="20" fillId="0" borderId="19" xfId="0" applyNumberFormat="1" applyFont="1" applyFill="1" applyBorder="1" applyAlignment="1">
      <alignment horizontal="center" vertical="center" textRotation="90" wrapText="1"/>
    </xf>
    <xf numFmtId="0" fontId="24" fillId="8" borderId="6" xfId="0" applyFont="1" applyFill="1" applyBorder="1" applyAlignment="1">
      <alignment horizontal="center" vertical="top" wrapText="1"/>
    </xf>
    <xf numFmtId="0" fontId="24" fillId="8" borderId="49" xfId="0" applyFont="1" applyFill="1" applyBorder="1" applyAlignment="1">
      <alignment horizontal="center" vertical="top" wrapText="1"/>
    </xf>
    <xf numFmtId="0" fontId="19" fillId="0" borderId="59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165" fontId="1" fillId="8" borderId="37" xfId="0" applyNumberFormat="1" applyFont="1" applyFill="1" applyBorder="1" applyAlignment="1">
      <alignment horizontal="left" vertical="top" wrapText="1"/>
    </xf>
    <xf numFmtId="165" fontId="1" fillId="8" borderId="40" xfId="0" applyNumberFormat="1" applyFont="1" applyFill="1" applyBorder="1" applyAlignment="1">
      <alignment horizontal="left" vertical="top" wrapText="1"/>
    </xf>
    <xf numFmtId="0" fontId="21" fillId="5" borderId="59" xfId="0" applyFont="1" applyFill="1" applyBorder="1" applyAlignment="1">
      <alignment horizontal="left" vertical="top" wrapText="1"/>
    </xf>
    <xf numFmtId="0" fontId="21" fillId="5" borderId="18" xfId="0" applyFont="1" applyFill="1" applyBorder="1" applyAlignment="1">
      <alignment horizontal="left" vertical="top" wrapText="1"/>
    </xf>
    <xf numFmtId="0" fontId="21" fillId="5" borderId="42" xfId="0" applyFont="1" applyFill="1" applyBorder="1" applyAlignment="1">
      <alignment horizontal="left" vertical="top" wrapText="1"/>
    </xf>
    <xf numFmtId="0" fontId="20" fillId="0" borderId="59" xfId="0" applyFont="1" applyFill="1" applyBorder="1" applyAlignment="1">
      <alignment horizontal="center" vertical="top" textRotation="90" wrapText="1"/>
    </xf>
    <xf numFmtId="0" fontId="20" fillId="0" borderId="18" xfId="0" applyFont="1" applyFill="1" applyBorder="1" applyAlignment="1">
      <alignment horizontal="center" vertical="top" textRotation="90" wrapText="1"/>
    </xf>
    <xf numFmtId="0" fontId="20" fillId="0" borderId="42" xfId="0" applyFont="1" applyFill="1" applyBorder="1" applyAlignment="1">
      <alignment horizontal="center" vertical="top" textRotation="90" wrapText="1"/>
    </xf>
    <xf numFmtId="3" fontId="20" fillId="0" borderId="59" xfId="0" applyNumberFormat="1" applyFont="1" applyFill="1" applyBorder="1" applyAlignment="1">
      <alignment horizontal="center" vertical="center" textRotation="90" wrapText="1"/>
    </xf>
    <xf numFmtId="3" fontId="20" fillId="0" borderId="42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37" xfId="0" applyNumberFormat="1" applyFont="1" applyFill="1" applyBorder="1" applyAlignment="1">
      <alignment horizontal="left" vertical="top" wrapText="1"/>
    </xf>
    <xf numFmtId="165" fontId="1" fillId="0" borderId="4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2" fillId="3" borderId="6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21" fillId="0" borderId="73" xfId="0" applyFont="1" applyFill="1" applyBorder="1" applyAlignment="1">
      <alignment horizontal="left" vertical="top" wrapText="1"/>
    </xf>
    <xf numFmtId="0" fontId="21" fillId="0" borderId="46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4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740" t="s">
        <v>65</v>
      </c>
      <c r="C1" s="740"/>
    </row>
    <row r="2" spans="2:3" ht="31.5" x14ac:dyDescent="0.2">
      <c r="B2" s="45" t="s">
        <v>12</v>
      </c>
      <c r="C2" s="46" t="s">
        <v>66</v>
      </c>
    </row>
    <row r="3" spans="2:3" ht="15.75" x14ac:dyDescent="0.2">
      <c r="B3" s="45">
        <v>1</v>
      </c>
      <c r="C3" s="47" t="s">
        <v>64</v>
      </c>
    </row>
    <row r="4" spans="2:3" ht="15.75" x14ac:dyDescent="0.2">
      <c r="B4" s="45">
        <v>2</v>
      </c>
      <c r="C4" s="48" t="s">
        <v>67</v>
      </c>
    </row>
    <row r="5" spans="2:3" ht="15.75" x14ac:dyDescent="0.2">
      <c r="B5" s="45">
        <v>3</v>
      </c>
      <c r="C5" s="47" t="s">
        <v>68</v>
      </c>
    </row>
    <row r="6" spans="2:3" ht="15.75" x14ac:dyDescent="0.2">
      <c r="B6" s="45">
        <v>4</v>
      </c>
      <c r="C6" s="47" t="s">
        <v>69</v>
      </c>
    </row>
    <row r="7" spans="2:3" ht="15.75" x14ac:dyDescent="0.2">
      <c r="B7" s="45">
        <v>5</v>
      </c>
      <c r="C7" s="47" t="s">
        <v>70</v>
      </c>
    </row>
    <row r="8" spans="2:3" ht="15.75" x14ac:dyDescent="0.2">
      <c r="B8" s="45">
        <v>6</v>
      </c>
      <c r="C8" s="47" t="s">
        <v>71</v>
      </c>
    </row>
    <row r="10" spans="2:3" ht="12.75" customHeight="1" x14ac:dyDescent="0.2">
      <c r="B10" s="741" t="s">
        <v>72</v>
      </c>
      <c r="C10" s="741"/>
    </row>
    <row r="11" spans="2:3" x14ac:dyDescent="0.2">
      <c r="B11" s="741"/>
      <c r="C11" s="741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92"/>
  <sheetViews>
    <sheetView tabSelected="1" topLeftCell="A2" zoomScaleNormal="100" zoomScaleSheetLayoutView="100" workbookViewId="0">
      <selection activeCell="U16" sqref="U16"/>
    </sheetView>
  </sheetViews>
  <sheetFormatPr defaultRowHeight="12.75" x14ac:dyDescent="0.2"/>
  <cols>
    <col min="1" max="4" width="2.42578125" style="4" customWidth="1"/>
    <col min="5" max="5" width="34.7109375" style="4" customWidth="1"/>
    <col min="6" max="6" width="3.5703125" style="706" customWidth="1"/>
    <col min="7" max="7" width="3.5703125" style="295" hidden="1" customWidth="1"/>
    <col min="8" max="8" width="3.5703125" style="378" customWidth="1"/>
    <col min="9" max="9" width="3" style="21" customWidth="1"/>
    <col min="10" max="10" width="11" style="706" customWidth="1"/>
    <col min="11" max="11" width="8.140625" style="706" customWidth="1"/>
    <col min="12" max="12" width="12.5703125" style="198" customWidth="1"/>
    <col min="13" max="13" width="22.85546875" style="4" customWidth="1"/>
    <col min="14" max="14" width="6.140625" style="9" customWidth="1"/>
    <col min="15" max="15" width="9.140625" style="70" customWidth="1"/>
    <col min="16" max="16" width="11.28515625" style="304" customWidth="1"/>
    <col min="17" max="17" width="11.42578125" style="70" customWidth="1"/>
    <col min="18" max="18" width="10" style="70" bestFit="1" customWidth="1"/>
    <col min="19" max="19" width="9.140625" style="304"/>
    <col min="20" max="20" width="9.140625" style="70"/>
    <col min="21" max="16384" width="9.140625" style="1"/>
  </cols>
  <sheetData>
    <row r="1" spans="1:22" s="211" customFormat="1" ht="18" customHeight="1" x14ac:dyDescent="0.2">
      <c r="A1" s="248"/>
      <c r="B1" s="248"/>
      <c r="C1" s="248"/>
      <c r="D1" s="248"/>
      <c r="E1" s="248"/>
      <c r="F1" s="248"/>
      <c r="G1" s="283"/>
      <c r="H1" s="373"/>
      <c r="I1" s="283"/>
      <c r="J1" s="284"/>
      <c r="K1" s="1105" t="s">
        <v>233</v>
      </c>
      <c r="L1" s="1105"/>
      <c r="M1" s="1105"/>
      <c r="N1" s="1105"/>
      <c r="O1" s="30"/>
      <c r="P1" s="522"/>
      <c r="Q1" s="30"/>
      <c r="R1" s="30"/>
      <c r="S1" s="522"/>
      <c r="T1" s="30"/>
      <c r="U1" s="30"/>
      <c r="V1" s="30"/>
    </row>
    <row r="2" spans="1:22" s="211" customFormat="1" ht="30" customHeight="1" x14ac:dyDescent="0.2">
      <c r="A2" s="248"/>
      <c r="B2" s="248"/>
      <c r="C2" s="248"/>
      <c r="D2" s="248"/>
      <c r="E2" s="248"/>
      <c r="F2" s="248"/>
      <c r="G2" s="283"/>
      <c r="H2" s="373"/>
      <c r="I2" s="283"/>
      <c r="J2" s="284"/>
      <c r="K2" s="1105" t="s">
        <v>249</v>
      </c>
      <c r="L2" s="1105"/>
      <c r="M2" s="1105"/>
      <c r="N2" s="1105"/>
      <c r="O2" s="30"/>
      <c r="P2" s="522"/>
      <c r="Q2" s="30"/>
      <c r="R2" s="30"/>
      <c r="S2" s="522"/>
      <c r="T2" s="30"/>
      <c r="U2" s="30"/>
      <c r="V2" s="30"/>
    </row>
    <row r="3" spans="1:22" s="211" customFormat="1" ht="42" customHeight="1" x14ac:dyDescent="0.2">
      <c r="A3" s="248"/>
      <c r="B3" s="248"/>
      <c r="C3" s="248"/>
      <c r="D3" s="248"/>
      <c r="E3" s="248"/>
      <c r="F3" s="248"/>
      <c r="G3" s="283"/>
      <c r="H3" s="373"/>
      <c r="I3" s="283"/>
      <c r="J3" s="284"/>
      <c r="K3" s="1105" t="s">
        <v>250</v>
      </c>
      <c r="L3" s="1105"/>
      <c r="M3" s="1105"/>
      <c r="N3" s="1105"/>
      <c r="O3" s="30"/>
      <c r="P3" s="522"/>
      <c r="Q3" s="30"/>
      <c r="R3" s="30"/>
      <c r="S3" s="522"/>
      <c r="T3" s="30"/>
      <c r="U3" s="30"/>
      <c r="V3" s="30"/>
    </row>
    <row r="4" spans="1:22" ht="12.75" customHeight="1" x14ac:dyDescent="0.2">
      <c r="A4" s="1107" t="s">
        <v>175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524"/>
      <c r="P4" s="525"/>
      <c r="Q4" s="524"/>
      <c r="R4" s="524"/>
      <c r="S4" s="523"/>
      <c r="T4" s="2"/>
      <c r="U4" s="2"/>
      <c r="V4" s="2"/>
    </row>
    <row r="5" spans="1:22" ht="13.5" customHeight="1" x14ac:dyDescent="0.2">
      <c r="A5" s="1108" t="s">
        <v>31</v>
      </c>
      <c r="B5" s="1108"/>
      <c r="C5" s="1108"/>
      <c r="D5" s="1108"/>
      <c r="E5" s="1108"/>
      <c r="F5" s="1108"/>
      <c r="G5" s="1108"/>
      <c r="H5" s="1108"/>
      <c r="I5" s="1108"/>
      <c r="J5" s="1108"/>
      <c r="K5" s="1108"/>
      <c r="L5" s="1108"/>
      <c r="M5" s="1108"/>
      <c r="N5" s="1108"/>
      <c r="O5" s="2"/>
      <c r="P5" s="523"/>
      <c r="Q5" s="2"/>
      <c r="R5" s="2"/>
      <c r="S5" s="523"/>
      <c r="T5" s="2"/>
      <c r="U5" s="2"/>
      <c r="V5" s="2"/>
    </row>
    <row r="6" spans="1:22" ht="19.5" customHeight="1" x14ac:dyDescent="0.2">
      <c r="A6" s="1109" t="s">
        <v>174</v>
      </c>
      <c r="B6" s="1109"/>
      <c r="C6" s="1109"/>
      <c r="D6" s="1109"/>
      <c r="E6" s="1109"/>
      <c r="F6" s="1109"/>
      <c r="G6" s="1109"/>
      <c r="H6" s="1109"/>
      <c r="I6" s="1109"/>
      <c r="J6" s="1109"/>
      <c r="K6" s="1109"/>
      <c r="L6" s="1109"/>
      <c r="M6" s="1109"/>
      <c r="N6" s="1109"/>
      <c r="O6" s="2"/>
      <c r="P6" s="523"/>
      <c r="Q6" s="2"/>
      <c r="R6" s="2"/>
      <c r="S6" s="523"/>
      <c r="T6" s="2"/>
      <c r="U6" s="2"/>
      <c r="V6" s="2"/>
    </row>
    <row r="7" spans="1:22" ht="12.75" customHeight="1" thickBot="1" x14ac:dyDescent="0.25">
      <c r="A7" s="707"/>
      <c r="B7" s="707"/>
      <c r="C7" s="249"/>
      <c r="D7" s="249"/>
      <c r="E7" s="249"/>
      <c r="F7" s="249"/>
      <c r="G7" s="289"/>
      <c r="H7" s="374"/>
      <c r="I7" s="249"/>
      <c r="J7" s="249"/>
      <c r="K7" s="249"/>
      <c r="L7" s="368"/>
      <c r="M7" s="249"/>
      <c r="N7" s="326" t="s">
        <v>149</v>
      </c>
      <c r="O7" s="2"/>
      <c r="P7" s="523"/>
      <c r="Q7" s="2"/>
      <c r="R7" s="2"/>
      <c r="S7" s="523"/>
      <c r="T7" s="2"/>
      <c r="U7" s="2"/>
      <c r="V7" s="2"/>
    </row>
    <row r="8" spans="1:22" ht="24" customHeight="1" x14ac:dyDescent="0.2">
      <c r="A8" s="867" t="s">
        <v>8</v>
      </c>
      <c r="B8" s="870" t="s">
        <v>9</v>
      </c>
      <c r="C8" s="870" t="s">
        <v>10</v>
      </c>
      <c r="D8" s="873" t="s">
        <v>53</v>
      </c>
      <c r="E8" s="876" t="s">
        <v>24</v>
      </c>
      <c r="F8" s="879" t="s">
        <v>11</v>
      </c>
      <c r="G8" s="892" t="s">
        <v>176</v>
      </c>
      <c r="H8" s="892" t="s">
        <v>176</v>
      </c>
      <c r="I8" s="884" t="s">
        <v>12</v>
      </c>
      <c r="J8" s="861" t="s">
        <v>95</v>
      </c>
      <c r="K8" s="861" t="s">
        <v>13</v>
      </c>
      <c r="L8" s="889" t="s">
        <v>172</v>
      </c>
      <c r="M8" s="887" t="s">
        <v>57</v>
      </c>
      <c r="N8" s="888"/>
      <c r="O8" s="2"/>
      <c r="P8" s="523"/>
      <c r="Q8" s="2"/>
      <c r="R8" s="2"/>
      <c r="S8" s="523"/>
      <c r="T8" s="2"/>
      <c r="U8" s="2"/>
      <c r="V8" s="2"/>
    </row>
    <row r="9" spans="1:22" ht="17.25" customHeight="1" x14ac:dyDescent="0.2">
      <c r="A9" s="868"/>
      <c r="B9" s="871"/>
      <c r="C9" s="871"/>
      <c r="D9" s="874"/>
      <c r="E9" s="877"/>
      <c r="F9" s="880"/>
      <c r="G9" s="893"/>
      <c r="H9" s="893"/>
      <c r="I9" s="885"/>
      <c r="J9" s="862"/>
      <c r="K9" s="862"/>
      <c r="L9" s="890"/>
      <c r="M9" s="882" t="s">
        <v>24</v>
      </c>
      <c r="N9" s="231" t="s">
        <v>150</v>
      </c>
      <c r="O9" s="2"/>
      <c r="P9" s="523"/>
      <c r="Q9" s="2"/>
      <c r="R9" s="2"/>
      <c r="S9" s="523"/>
      <c r="T9" s="2"/>
      <c r="U9" s="2"/>
      <c r="V9" s="2"/>
    </row>
    <row r="10" spans="1:22" ht="92.25" customHeight="1" thickBot="1" x14ac:dyDescent="0.25">
      <c r="A10" s="869"/>
      <c r="B10" s="872"/>
      <c r="C10" s="872"/>
      <c r="D10" s="875"/>
      <c r="E10" s="878"/>
      <c r="F10" s="881"/>
      <c r="G10" s="894"/>
      <c r="H10" s="894"/>
      <c r="I10" s="886"/>
      <c r="J10" s="863"/>
      <c r="K10" s="863"/>
      <c r="L10" s="891"/>
      <c r="M10" s="883"/>
      <c r="N10" s="78" t="s">
        <v>58</v>
      </c>
      <c r="O10" s="2"/>
      <c r="P10" s="523"/>
      <c r="Q10" s="2"/>
      <c r="R10" s="2"/>
      <c r="S10" s="523"/>
      <c r="T10" s="2"/>
      <c r="U10" s="2"/>
      <c r="V10" s="2"/>
    </row>
    <row r="11" spans="1:22" ht="13.5" thickBot="1" x14ac:dyDescent="0.25">
      <c r="A11" s="864" t="s">
        <v>33</v>
      </c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6"/>
      <c r="O11" s="2"/>
      <c r="P11" s="523"/>
      <c r="Q11" s="2"/>
      <c r="R11" s="2"/>
      <c r="S11" s="523"/>
      <c r="T11" s="2"/>
      <c r="U11" s="2"/>
      <c r="V11" s="2"/>
    </row>
    <row r="12" spans="1:22" ht="13.5" thickBot="1" x14ac:dyDescent="0.25">
      <c r="A12" s="828" t="s">
        <v>32</v>
      </c>
      <c r="B12" s="829"/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30"/>
      <c r="O12" s="2"/>
      <c r="P12" s="523"/>
      <c r="Q12" s="2"/>
      <c r="R12" s="2"/>
      <c r="S12" s="523"/>
      <c r="T12" s="2"/>
      <c r="U12" s="2"/>
      <c r="V12" s="2"/>
    </row>
    <row r="13" spans="1:22" ht="18" customHeight="1" thickBot="1" x14ac:dyDescent="0.25">
      <c r="A13" s="35" t="s">
        <v>14</v>
      </c>
      <c r="B13" s="831" t="s">
        <v>42</v>
      </c>
      <c r="C13" s="832"/>
      <c r="D13" s="832"/>
      <c r="E13" s="832"/>
      <c r="F13" s="832"/>
      <c r="G13" s="832"/>
      <c r="H13" s="832"/>
      <c r="I13" s="832"/>
      <c r="J13" s="832"/>
      <c r="K13" s="832"/>
      <c r="L13" s="832"/>
      <c r="M13" s="832"/>
      <c r="N13" s="833"/>
      <c r="O13" s="2"/>
      <c r="P13" s="523"/>
      <c r="Q13" s="2"/>
      <c r="R13" s="2"/>
      <c r="S13" s="523"/>
      <c r="T13" s="2"/>
      <c r="U13" s="2"/>
      <c r="V13" s="2"/>
    </row>
    <row r="14" spans="1:22" ht="18" customHeight="1" thickBot="1" x14ac:dyDescent="0.25">
      <c r="A14" s="72" t="s">
        <v>14</v>
      </c>
      <c r="B14" s="27" t="s">
        <v>14</v>
      </c>
      <c r="C14" s="834" t="s">
        <v>103</v>
      </c>
      <c r="D14" s="791"/>
      <c r="E14" s="791"/>
      <c r="F14" s="791"/>
      <c r="G14" s="791"/>
      <c r="H14" s="791"/>
      <c r="I14" s="791"/>
      <c r="J14" s="791"/>
      <c r="K14" s="790"/>
      <c r="L14" s="790"/>
      <c r="M14" s="790"/>
      <c r="N14" s="792"/>
      <c r="O14" s="2"/>
      <c r="P14" s="523"/>
      <c r="Q14" s="523"/>
      <c r="R14" s="526"/>
      <c r="S14" s="523"/>
      <c r="T14" s="527"/>
      <c r="U14" s="527"/>
      <c r="V14" s="2"/>
    </row>
    <row r="15" spans="1:22" ht="15" customHeight="1" x14ac:dyDescent="0.2">
      <c r="A15" s="12" t="s">
        <v>14</v>
      </c>
      <c r="B15" s="7" t="s">
        <v>14</v>
      </c>
      <c r="C15" s="338" t="s">
        <v>14</v>
      </c>
      <c r="D15" s="362"/>
      <c r="E15" s="352" t="s">
        <v>74</v>
      </c>
      <c r="F15" s="364"/>
      <c r="G15" s="694" t="s">
        <v>177</v>
      </c>
      <c r="H15" s="367"/>
      <c r="I15" s="339"/>
      <c r="J15" s="95"/>
      <c r="K15" s="95"/>
      <c r="L15" s="178"/>
      <c r="M15" s="26"/>
      <c r="N15" s="98"/>
      <c r="O15" s="2"/>
      <c r="P15" s="523"/>
      <c r="Q15" s="2"/>
      <c r="R15" s="2"/>
      <c r="S15" s="523"/>
      <c r="T15" s="2"/>
      <c r="U15" s="2"/>
      <c r="V15" s="2"/>
    </row>
    <row r="16" spans="1:22" ht="14.25" customHeight="1" x14ac:dyDescent="0.2">
      <c r="A16" s="13"/>
      <c r="B16" s="660"/>
      <c r="C16" s="52"/>
      <c r="D16" s="163" t="s">
        <v>14</v>
      </c>
      <c r="E16" s="911" t="s">
        <v>105</v>
      </c>
      <c r="F16" s="161"/>
      <c r="G16" s="783" t="s">
        <v>185</v>
      </c>
      <c r="H16" s="755">
        <v>1002010100</v>
      </c>
      <c r="I16" s="166" t="s">
        <v>34</v>
      </c>
      <c r="J16" s="1104" t="s">
        <v>98</v>
      </c>
      <c r="K16" s="79" t="s">
        <v>15</v>
      </c>
      <c r="L16" s="262">
        <f>32692.6/3.4528*1000</f>
        <v>9468431</v>
      </c>
      <c r="M16" s="669" t="s">
        <v>151</v>
      </c>
      <c r="N16" s="107" t="s">
        <v>116</v>
      </c>
      <c r="O16" s="2"/>
      <c r="P16" s="523"/>
      <c r="Q16" s="527"/>
      <c r="R16" s="527"/>
      <c r="S16" s="523"/>
      <c r="T16" s="527"/>
      <c r="U16" s="527"/>
      <c r="V16" s="2"/>
    </row>
    <row r="17" spans="1:22" ht="15" customHeight="1" x14ac:dyDescent="0.2">
      <c r="A17" s="13"/>
      <c r="B17" s="14"/>
      <c r="C17" s="52"/>
      <c r="D17" s="164"/>
      <c r="E17" s="1103"/>
      <c r="F17" s="161"/>
      <c r="G17" s="784"/>
      <c r="H17" s="962"/>
      <c r="I17" s="166"/>
      <c r="J17" s="1104"/>
      <c r="K17" s="33"/>
      <c r="L17" s="179"/>
      <c r="M17" s="250" t="s">
        <v>119</v>
      </c>
      <c r="N17" s="165" t="s">
        <v>117</v>
      </c>
      <c r="O17" s="2"/>
      <c r="P17" s="523"/>
      <c r="Q17" s="527"/>
      <c r="R17" s="527"/>
      <c r="S17" s="523"/>
      <c r="T17" s="527"/>
      <c r="U17" s="527"/>
      <c r="V17" s="2"/>
    </row>
    <row r="18" spans="1:22" ht="15" customHeight="1" x14ac:dyDescent="0.2">
      <c r="A18" s="13"/>
      <c r="B18" s="14"/>
      <c r="C18" s="52"/>
      <c r="D18" s="164"/>
      <c r="E18" s="1103"/>
      <c r="F18" s="161"/>
      <c r="G18" s="784"/>
      <c r="H18" s="962"/>
      <c r="I18" s="166"/>
      <c r="J18" s="711"/>
      <c r="K18" s="33" t="s">
        <v>18</v>
      </c>
      <c r="L18" s="179">
        <v>6167239</v>
      </c>
      <c r="M18" s="826" t="s">
        <v>152</v>
      </c>
      <c r="N18" s="107" t="s">
        <v>118</v>
      </c>
      <c r="O18" s="2"/>
      <c r="P18" s="523"/>
      <c r="Q18" s="527"/>
      <c r="R18" s="527"/>
      <c r="S18" s="523"/>
      <c r="T18" s="527"/>
      <c r="U18" s="527"/>
      <c r="V18" s="2"/>
    </row>
    <row r="19" spans="1:22" ht="14.25" customHeight="1" x14ac:dyDescent="0.2">
      <c r="A19" s="13"/>
      <c r="B19" s="14"/>
      <c r="C19" s="52"/>
      <c r="D19" s="164"/>
      <c r="E19" s="1103"/>
      <c r="F19" s="161"/>
      <c r="G19" s="784"/>
      <c r="H19" s="962"/>
      <c r="I19" s="166"/>
      <c r="J19" s="711"/>
      <c r="K19" s="84" t="s">
        <v>63</v>
      </c>
      <c r="L19" s="180">
        <v>3096152</v>
      </c>
      <c r="M19" s="827"/>
      <c r="N19" s="232"/>
      <c r="O19" s="2"/>
      <c r="P19" s="528"/>
      <c r="Q19" s="529"/>
      <c r="R19" s="529"/>
      <c r="S19" s="528"/>
      <c r="T19" s="527"/>
      <c r="U19" s="527"/>
      <c r="V19" s="2"/>
    </row>
    <row r="20" spans="1:22" ht="15.75" customHeight="1" x14ac:dyDescent="0.2">
      <c r="A20" s="13"/>
      <c r="B20" s="14"/>
      <c r="C20" s="386"/>
      <c r="D20" s="164"/>
      <c r="E20" s="161"/>
      <c r="F20" s="161"/>
      <c r="G20" s="784"/>
      <c r="H20" s="962"/>
      <c r="I20" s="110"/>
      <c r="J20" s="711"/>
      <c r="K20" s="11" t="s">
        <v>220</v>
      </c>
      <c r="L20" s="392">
        <v>393168</v>
      </c>
      <c r="M20" s="670"/>
      <c r="N20" s="232"/>
      <c r="O20" s="2"/>
      <c r="P20" s="523"/>
      <c r="Q20" s="2"/>
      <c r="R20" s="2"/>
      <c r="S20" s="523"/>
      <c r="T20" s="2"/>
      <c r="U20" s="2"/>
      <c r="V20" s="2"/>
    </row>
    <row r="21" spans="1:22" ht="15.75" customHeight="1" thickBot="1" x14ac:dyDescent="0.25">
      <c r="A21" s="13"/>
      <c r="B21" s="14"/>
      <c r="C21" s="704"/>
      <c r="D21" s="363"/>
      <c r="E21" s="162"/>
      <c r="F21" s="652"/>
      <c r="G21" s="785"/>
      <c r="H21" s="963"/>
      <c r="I21" s="337"/>
      <c r="J21" s="711"/>
      <c r="K21" s="109" t="s">
        <v>16</v>
      </c>
      <c r="L21" s="176">
        <f>SUM(L16:L20)</f>
        <v>19124990</v>
      </c>
      <c r="M21" s="251" t="s">
        <v>120</v>
      </c>
      <c r="N21" s="692">
        <v>244</v>
      </c>
      <c r="O21" s="2"/>
      <c r="P21" s="523"/>
      <c r="Q21" s="2"/>
      <c r="R21" s="2"/>
      <c r="S21" s="523"/>
      <c r="T21" s="2"/>
      <c r="U21" s="2"/>
      <c r="V21" s="2"/>
    </row>
    <row r="22" spans="1:22" ht="15.75" customHeight="1" x14ac:dyDescent="0.2">
      <c r="A22" s="825"/>
      <c r="B22" s="14"/>
      <c r="C22" s="1095"/>
      <c r="D22" s="903" t="s">
        <v>17</v>
      </c>
      <c r="E22" s="909" t="s">
        <v>144</v>
      </c>
      <c r="F22" s="944"/>
      <c r="G22" s="783" t="s">
        <v>178</v>
      </c>
      <c r="H22" s="755">
        <v>1002020100</v>
      </c>
      <c r="I22" s="1097" t="s">
        <v>34</v>
      </c>
      <c r="J22" s="711"/>
      <c r="K22" s="33" t="s">
        <v>15</v>
      </c>
      <c r="L22" s="175">
        <f>5135.9/3.4528*1000+5741</f>
        <v>1493200</v>
      </c>
      <c r="M22" s="838" t="s">
        <v>153</v>
      </c>
      <c r="N22" s="840">
        <v>8</v>
      </c>
      <c r="O22" s="2"/>
      <c r="P22" s="523"/>
      <c r="Q22" s="2"/>
      <c r="R22" s="2"/>
      <c r="S22" s="523"/>
      <c r="T22" s="2"/>
      <c r="U22" s="2"/>
      <c r="V22" s="2"/>
    </row>
    <row r="23" spans="1:22" ht="15.75" customHeight="1" x14ac:dyDescent="0.2">
      <c r="A23" s="825"/>
      <c r="B23" s="14"/>
      <c r="C23" s="902"/>
      <c r="D23" s="903"/>
      <c r="E23" s="909"/>
      <c r="F23" s="944"/>
      <c r="G23" s="784"/>
      <c r="H23" s="756"/>
      <c r="I23" s="1097"/>
      <c r="J23" s="711"/>
      <c r="K23" s="33" t="s">
        <v>18</v>
      </c>
      <c r="L23" s="310">
        <f>1765497+11481</f>
        <v>1776978</v>
      </c>
      <c r="M23" s="839"/>
      <c r="N23" s="841"/>
      <c r="O23" s="2"/>
      <c r="P23" s="523"/>
      <c r="Q23" s="2"/>
      <c r="R23" s="2"/>
      <c r="S23" s="523"/>
      <c r="T23" s="2"/>
      <c r="U23" s="2"/>
      <c r="V23" s="2"/>
    </row>
    <row r="24" spans="1:22" x14ac:dyDescent="0.2">
      <c r="A24" s="825"/>
      <c r="B24" s="14"/>
      <c r="C24" s="902"/>
      <c r="D24" s="905"/>
      <c r="E24" s="911"/>
      <c r="F24" s="946"/>
      <c r="G24" s="784"/>
      <c r="H24" s="756"/>
      <c r="I24" s="1098"/>
      <c r="J24" s="711"/>
      <c r="K24" s="86" t="s">
        <v>63</v>
      </c>
      <c r="L24" s="187">
        <v>567162</v>
      </c>
      <c r="M24" s="252" t="s">
        <v>154</v>
      </c>
      <c r="N24" s="113">
        <v>2119</v>
      </c>
      <c r="O24" s="2"/>
      <c r="P24" s="523"/>
      <c r="Q24" s="2"/>
      <c r="R24" s="2"/>
      <c r="S24" s="523"/>
      <c r="T24" s="2"/>
      <c r="U24" s="2"/>
      <c r="V24" s="2"/>
    </row>
    <row r="25" spans="1:22" ht="15.75" customHeight="1" x14ac:dyDescent="0.2">
      <c r="A25" s="662"/>
      <c r="B25" s="14"/>
      <c r="C25" s="708"/>
      <c r="D25" s="363"/>
      <c r="E25" s="668"/>
      <c r="F25" s="357"/>
      <c r="G25" s="784"/>
      <c r="H25" s="756"/>
      <c r="I25" s="110"/>
      <c r="J25" s="711"/>
      <c r="K25" s="84" t="s">
        <v>220</v>
      </c>
      <c r="L25" s="180">
        <v>91890</v>
      </c>
      <c r="M25" s="387"/>
      <c r="N25" s="388"/>
      <c r="O25" s="2"/>
      <c r="P25" s="523"/>
      <c r="Q25" s="2"/>
      <c r="R25" s="2"/>
      <c r="S25" s="523"/>
      <c r="T25" s="2"/>
      <c r="U25" s="2"/>
      <c r="V25" s="2"/>
    </row>
    <row r="26" spans="1:22" ht="13.5" thickBot="1" x14ac:dyDescent="0.25">
      <c r="A26" s="662"/>
      <c r="B26" s="14"/>
      <c r="C26" s="708"/>
      <c r="D26" s="664"/>
      <c r="E26" s="668"/>
      <c r="F26" s="357"/>
      <c r="G26" s="785"/>
      <c r="H26" s="757"/>
      <c r="I26" s="110"/>
      <c r="J26" s="711"/>
      <c r="K26" s="109" t="s">
        <v>16</v>
      </c>
      <c r="L26" s="176">
        <f>SUM(L22:L25)</f>
        <v>3929230</v>
      </c>
      <c r="M26" s="253" t="s">
        <v>121</v>
      </c>
      <c r="N26" s="111">
        <v>1060</v>
      </c>
      <c r="O26" s="2"/>
      <c r="P26" s="523"/>
      <c r="Q26" s="2"/>
      <c r="R26" s="2"/>
      <c r="S26" s="523"/>
      <c r="T26" s="2"/>
      <c r="U26" s="2"/>
      <c r="V26" s="2"/>
    </row>
    <row r="27" spans="1:22" x14ac:dyDescent="0.2">
      <c r="A27" s="898"/>
      <c r="B27" s="660"/>
      <c r="C27" s="1092"/>
      <c r="D27" s="903" t="s">
        <v>19</v>
      </c>
      <c r="E27" s="909" t="s">
        <v>145</v>
      </c>
      <c r="F27" s="944"/>
      <c r="G27" s="783" t="s">
        <v>186</v>
      </c>
      <c r="H27" s="755">
        <v>1002030100</v>
      </c>
      <c r="I27" s="1093" t="s">
        <v>34</v>
      </c>
      <c r="J27" s="711"/>
      <c r="K27" s="95" t="s">
        <v>15</v>
      </c>
      <c r="L27" s="178">
        <f>15891.2/3.4528*1000+57890</f>
        <v>4660300</v>
      </c>
      <c r="M27" s="254" t="s">
        <v>122</v>
      </c>
      <c r="N27" s="116">
        <v>36</v>
      </c>
      <c r="O27" s="2"/>
      <c r="P27" s="523"/>
      <c r="Q27" s="2"/>
      <c r="R27" s="2"/>
      <c r="S27" s="523"/>
      <c r="T27" s="2"/>
      <c r="U27" s="2"/>
      <c r="V27" s="2"/>
    </row>
    <row r="28" spans="1:22" x14ac:dyDescent="0.2">
      <c r="A28" s="898"/>
      <c r="B28" s="660"/>
      <c r="C28" s="1092"/>
      <c r="D28" s="903"/>
      <c r="E28" s="909"/>
      <c r="F28" s="944"/>
      <c r="G28" s="784"/>
      <c r="H28" s="756"/>
      <c r="I28" s="1093"/>
      <c r="J28" s="711"/>
      <c r="K28" s="43" t="s">
        <v>18</v>
      </c>
      <c r="L28" s="310">
        <f>21767820+115772</f>
        <v>21883592</v>
      </c>
      <c r="M28" s="255" t="s">
        <v>123</v>
      </c>
      <c r="N28" s="656">
        <v>16960</v>
      </c>
      <c r="O28" s="2"/>
      <c r="P28" s="523"/>
      <c r="Q28" s="2"/>
      <c r="R28" s="2"/>
      <c r="S28" s="523"/>
      <c r="T28" s="2"/>
      <c r="U28" s="2"/>
      <c r="V28" s="2"/>
    </row>
    <row r="29" spans="1:22" x14ac:dyDescent="0.2">
      <c r="A29" s="898"/>
      <c r="B29" s="660"/>
      <c r="C29" s="1092"/>
      <c r="D29" s="903"/>
      <c r="E29" s="909"/>
      <c r="F29" s="944"/>
      <c r="G29" s="784"/>
      <c r="H29" s="756"/>
      <c r="I29" s="1093"/>
      <c r="J29" s="711"/>
      <c r="K29" s="43" t="s">
        <v>18</v>
      </c>
      <c r="L29" s="310">
        <v>632375</v>
      </c>
      <c r="M29" s="256"/>
      <c r="N29" s="114"/>
      <c r="O29" s="2"/>
      <c r="P29" s="523"/>
      <c r="Q29" s="2"/>
      <c r="R29" s="2"/>
      <c r="S29" s="523"/>
      <c r="T29" s="2"/>
      <c r="U29" s="2"/>
      <c r="V29" s="2"/>
    </row>
    <row r="30" spans="1:22" x14ac:dyDescent="0.2">
      <c r="A30" s="662"/>
      <c r="B30" s="660"/>
      <c r="C30" s="663"/>
      <c r="D30" s="905"/>
      <c r="E30" s="911"/>
      <c r="F30" s="946"/>
      <c r="G30" s="784"/>
      <c r="H30" s="756"/>
      <c r="I30" s="1094"/>
      <c r="J30" s="711"/>
      <c r="K30" s="84" t="s">
        <v>63</v>
      </c>
      <c r="L30" s="180">
        <v>944508</v>
      </c>
      <c r="M30" s="1"/>
      <c r="N30" s="233"/>
      <c r="O30" s="2"/>
      <c r="P30" s="523"/>
      <c r="Q30" s="2"/>
      <c r="R30" s="2"/>
      <c r="S30" s="523"/>
      <c r="T30" s="527"/>
      <c r="U30" s="2"/>
      <c r="V30" s="2"/>
    </row>
    <row r="31" spans="1:22" ht="15.75" customHeight="1" x14ac:dyDescent="0.2">
      <c r="A31" s="662"/>
      <c r="B31" s="660"/>
      <c r="C31" s="663"/>
      <c r="D31" s="363"/>
      <c r="E31" s="668"/>
      <c r="F31" s="357"/>
      <c r="G31" s="784"/>
      <c r="H31" s="756"/>
      <c r="I31" s="385"/>
      <c r="J31" s="711"/>
      <c r="K31" s="11" t="s">
        <v>220</v>
      </c>
      <c r="L31" s="186">
        <v>105709</v>
      </c>
      <c r="M31" s="1"/>
      <c r="N31" s="233"/>
      <c r="O31" s="2"/>
      <c r="P31" s="2"/>
      <c r="Q31" s="2"/>
      <c r="R31" s="2"/>
      <c r="S31" s="2"/>
      <c r="T31" s="2"/>
      <c r="U31" s="2"/>
      <c r="V31" s="2"/>
    </row>
    <row r="32" spans="1:22" ht="15.75" customHeight="1" thickBot="1" x14ac:dyDescent="0.25">
      <c r="A32" s="662"/>
      <c r="B32" s="660"/>
      <c r="C32" s="663"/>
      <c r="D32" s="664"/>
      <c r="E32" s="666"/>
      <c r="F32" s="652"/>
      <c r="G32" s="785"/>
      <c r="H32" s="757"/>
      <c r="I32" s="705"/>
      <c r="J32" s="711"/>
      <c r="K32" s="109" t="s">
        <v>16</v>
      </c>
      <c r="L32" s="176">
        <f>SUM(L27:L31)</f>
        <v>28226484</v>
      </c>
      <c r="M32" s="257"/>
      <c r="N32" s="657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897"/>
      <c r="B33" s="900"/>
      <c r="C33" s="902"/>
      <c r="D33" s="903" t="s">
        <v>21</v>
      </c>
      <c r="E33" s="909" t="s">
        <v>124</v>
      </c>
      <c r="F33" s="912"/>
      <c r="G33" s="783" t="s">
        <v>179</v>
      </c>
      <c r="H33" s="755">
        <v>1002050100</v>
      </c>
      <c r="I33" s="906">
        <v>2</v>
      </c>
      <c r="J33" s="711"/>
      <c r="K33" s="33" t="s">
        <v>15</v>
      </c>
      <c r="L33" s="175">
        <f>15303.6/3.4528*1000</f>
        <v>4432229</v>
      </c>
      <c r="M33" s="254" t="s">
        <v>54</v>
      </c>
      <c r="N33" s="116">
        <v>6</v>
      </c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898"/>
      <c r="B34" s="860"/>
      <c r="C34" s="902"/>
      <c r="D34" s="904"/>
      <c r="E34" s="910"/>
      <c r="F34" s="913"/>
      <c r="G34" s="784"/>
      <c r="H34" s="756"/>
      <c r="I34" s="907"/>
      <c r="J34" s="711"/>
      <c r="K34" s="11" t="s">
        <v>18</v>
      </c>
      <c r="L34" s="186">
        <v>67820</v>
      </c>
      <c r="M34" s="842" t="s">
        <v>125</v>
      </c>
      <c r="N34" s="845">
        <v>5049</v>
      </c>
      <c r="O34" s="2"/>
      <c r="P34" s="2"/>
      <c r="Q34" s="2"/>
      <c r="R34" s="2"/>
      <c r="S34" s="2"/>
      <c r="T34" s="2"/>
      <c r="U34" s="2"/>
      <c r="V34" s="2"/>
    </row>
    <row r="35" spans="1:22" x14ac:dyDescent="0.2">
      <c r="A35" s="899"/>
      <c r="B35" s="901"/>
      <c r="C35" s="902"/>
      <c r="D35" s="905"/>
      <c r="E35" s="911"/>
      <c r="F35" s="914"/>
      <c r="G35" s="784"/>
      <c r="H35" s="756"/>
      <c r="I35" s="908"/>
      <c r="J35" s="711"/>
      <c r="K35" s="84" t="s">
        <v>63</v>
      </c>
      <c r="L35" s="180">
        <f>1033.5/3.4528*1000</f>
        <v>299322</v>
      </c>
      <c r="M35" s="843"/>
      <c r="N35" s="846"/>
      <c r="O35" s="530"/>
      <c r="P35" s="2"/>
      <c r="Q35" s="2"/>
      <c r="R35" s="2"/>
      <c r="S35" s="2"/>
      <c r="T35" s="2"/>
      <c r="U35" s="2"/>
      <c r="V35" s="2"/>
    </row>
    <row r="36" spans="1:22" ht="14.25" customHeight="1" x14ac:dyDescent="0.2">
      <c r="A36" s="662"/>
      <c r="B36" s="660"/>
      <c r="C36" s="663"/>
      <c r="D36" s="363"/>
      <c r="E36" s="389"/>
      <c r="F36" s="390"/>
      <c r="G36" s="784"/>
      <c r="H36" s="756"/>
      <c r="I36" s="359"/>
      <c r="J36" s="711"/>
      <c r="K36" s="11" t="s">
        <v>220</v>
      </c>
      <c r="L36" s="186">
        <v>70876</v>
      </c>
      <c r="M36" s="843"/>
      <c r="N36" s="846"/>
      <c r="O36" s="2"/>
      <c r="P36" s="2"/>
      <c r="Q36" s="2"/>
      <c r="R36" s="2"/>
      <c r="S36" s="2"/>
      <c r="T36" s="2"/>
      <c r="U36" s="2"/>
      <c r="V36" s="2"/>
    </row>
    <row r="37" spans="1:22" ht="14.25" customHeight="1" thickBot="1" x14ac:dyDescent="0.25">
      <c r="A37" s="662"/>
      <c r="B37" s="660"/>
      <c r="C37" s="663"/>
      <c r="D37" s="664"/>
      <c r="E37" s="115"/>
      <c r="F37" s="667"/>
      <c r="G37" s="785"/>
      <c r="H37" s="757"/>
      <c r="I37" s="665"/>
      <c r="J37" s="711"/>
      <c r="K37" s="109" t="s">
        <v>16</v>
      </c>
      <c r="L37" s="176">
        <f>SUM(L33:L36)</f>
        <v>4870247</v>
      </c>
      <c r="M37" s="844"/>
      <c r="N37" s="847"/>
      <c r="O37" s="2"/>
      <c r="P37" s="2"/>
      <c r="Q37" s="2"/>
      <c r="R37" s="2"/>
      <c r="S37" s="2"/>
      <c r="T37" s="2"/>
      <c r="U37" s="2"/>
      <c r="V37" s="2"/>
    </row>
    <row r="38" spans="1:22" ht="14.25" customHeight="1" x14ac:dyDescent="0.2">
      <c r="A38" s="898"/>
      <c r="B38" s="860"/>
      <c r="C38" s="902"/>
      <c r="D38" s="903" t="s">
        <v>22</v>
      </c>
      <c r="E38" s="933" t="s">
        <v>92</v>
      </c>
      <c r="F38" s="918"/>
      <c r="G38" s="783" t="s">
        <v>180</v>
      </c>
      <c r="H38" s="755">
        <v>10030201</v>
      </c>
      <c r="I38" s="906">
        <v>2</v>
      </c>
      <c r="J38" s="711"/>
      <c r="K38" s="32" t="s">
        <v>15</v>
      </c>
      <c r="L38" s="311">
        <f>749.4/3.4528*1000</f>
        <v>217041</v>
      </c>
      <c r="M38" s="915" t="s">
        <v>60</v>
      </c>
      <c r="N38" s="916">
        <v>4</v>
      </c>
      <c r="O38" s="2"/>
      <c r="P38" s="2"/>
      <c r="Q38" s="2"/>
      <c r="R38" s="2"/>
      <c r="S38" s="2"/>
      <c r="T38" s="2"/>
      <c r="U38" s="2"/>
      <c r="V38" s="2"/>
    </row>
    <row r="39" spans="1:22" ht="14.25" customHeight="1" x14ac:dyDescent="0.2">
      <c r="A39" s="898"/>
      <c r="B39" s="860"/>
      <c r="C39" s="902"/>
      <c r="D39" s="903"/>
      <c r="E39" s="933"/>
      <c r="F39" s="918"/>
      <c r="G39" s="784"/>
      <c r="H39" s="756"/>
      <c r="I39" s="906"/>
      <c r="J39" s="711"/>
      <c r="K39" s="11" t="s">
        <v>18</v>
      </c>
      <c r="L39" s="186">
        <v>205946</v>
      </c>
      <c r="M39" s="915"/>
      <c r="N39" s="916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898"/>
      <c r="B40" s="860"/>
      <c r="C40" s="902"/>
      <c r="D40" s="905"/>
      <c r="E40" s="934"/>
      <c r="F40" s="768"/>
      <c r="G40" s="784"/>
      <c r="H40" s="756"/>
      <c r="I40" s="908"/>
      <c r="J40" s="711"/>
      <c r="K40" s="85" t="s">
        <v>63</v>
      </c>
      <c r="L40" s="173">
        <f>4/3.4528*1000</f>
        <v>1158</v>
      </c>
      <c r="M40" s="915"/>
      <c r="N40" s="916"/>
      <c r="O40" s="2"/>
      <c r="P40" s="2"/>
      <c r="Q40" s="2"/>
      <c r="R40" s="2"/>
      <c r="S40" s="2"/>
      <c r="T40" s="2"/>
      <c r="U40" s="2"/>
      <c r="V40" s="2"/>
    </row>
    <row r="41" spans="1:22" ht="13.5" customHeight="1" x14ac:dyDescent="0.2">
      <c r="A41" s="662"/>
      <c r="B41" s="660"/>
      <c r="C41" s="708"/>
      <c r="D41" s="363"/>
      <c r="E41" s="391"/>
      <c r="F41" s="675"/>
      <c r="G41" s="784"/>
      <c r="H41" s="756"/>
      <c r="I41" s="359"/>
      <c r="J41" s="711"/>
      <c r="K41" s="85" t="s">
        <v>220</v>
      </c>
      <c r="L41" s="173">
        <v>33</v>
      </c>
      <c r="M41" s="87"/>
      <c r="N41" s="661"/>
      <c r="O41" s="2"/>
      <c r="P41" s="2"/>
      <c r="Q41" s="2"/>
      <c r="R41" s="2"/>
      <c r="S41" s="2"/>
      <c r="T41" s="2"/>
      <c r="U41" s="2"/>
      <c r="V41" s="2"/>
    </row>
    <row r="42" spans="1:22" ht="15.75" customHeight="1" thickBot="1" x14ac:dyDescent="0.25">
      <c r="A42" s="662"/>
      <c r="B42" s="660"/>
      <c r="C42" s="708"/>
      <c r="D42" s="664"/>
      <c r="E42" s="702"/>
      <c r="F42" s="676"/>
      <c r="G42" s="785"/>
      <c r="H42" s="757"/>
      <c r="I42" s="665"/>
      <c r="J42" s="711"/>
      <c r="K42" s="109" t="s">
        <v>16</v>
      </c>
      <c r="L42" s="176">
        <f>SUM(L38:L41)</f>
        <v>424178</v>
      </c>
      <c r="M42" s="87"/>
      <c r="N42" s="661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65"/>
      <c r="B43" s="14"/>
      <c r="C43" s="66"/>
      <c r="D43" s="903" t="s">
        <v>23</v>
      </c>
      <c r="E43" s="933" t="s">
        <v>93</v>
      </c>
      <c r="F43" s="944"/>
      <c r="G43" s="783" t="s">
        <v>181</v>
      </c>
      <c r="H43" s="755">
        <v>1002040193</v>
      </c>
      <c r="I43" s="1093" t="s">
        <v>34</v>
      </c>
      <c r="J43" s="711"/>
      <c r="K43" s="32" t="s">
        <v>15</v>
      </c>
      <c r="L43" s="311">
        <f>1166.9/3.4528*1000</f>
        <v>337958</v>
      </c>
      <c r="M43" s="258" t="s">
        <v>76</v>
      </c>
      <c r="N43" s="116">
        <v>92</v>
      </c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65"/>
      <c r="B44" s="14"/>
      <c r="C44" s="66"/>
      <c r="D44" s="904"/>
      <c r="E44" s="1099"/>
      <c r="F44" s="945"/>
      <c r="G44" s="784"/>
      <c r="H44" s="756"/>
      <c r="I44" s="1106"/>
      <c r="J44" s="711"/>
      <c r="K44" s="43" t="s">
        <v>18</v>
      </c>
      <c r="L44" s="310">
        <v>101328</v>
      </c>
      <c r="M44" s="90"/>
      <c r="N44" s="557"/>
      <c r="O44" s="2"/>
      <c r="P44" s="2"/>
      <c r="Q44" s="2"/>
      <c r="R44" s="2"/>
      <c r="S44" s="2"/>
      <c r="T44" s="2"/>
      <c r="U44" s="2"/>
      <c r="V44" s="2"/>
    </row>
    <row r="45" spans="1:22" x14ac:dyDescent="0.2">
      <c r="A45" s="65"/>
      <c r="B45" s="14"/>
      <c r="C45" s="66"/>
      <c r="D45" s="905"/>
      <c r="E45" s="934"/>
      <c r="F45" s="946"/>
      <c r="G45" s="784"/>
      <c r="H45" s="756"/>
      <c r="I45" s="1094"/>
      <c r="J45" s="711"/>
      <c r="K45" s="84" t="s">
        <v>63</v>
      </c>
      <c r="L45" s="180">
        <f>113.3/3.4528*1000</f>
        <v>32814</v>
      </c>
      <c r="M45" s="20"/>
      <c r="N45" s="557"/>
      <c r="O45" s="2"/>
      <c r="P45" s="2"/>
      <c r="Q45" s="2"/>
      <c r="R45" s="2"/>
      <c r="S45" s="2"/>
      <c r="T45" s="2"/>
      <c r="U45" s="2"/>
      <c r="V45" s="2"/>
    </row>
    <row r="46" spans="1:22" ht="14.25" customHeight="1" x14ac:dyDescent="0.2">
      <c r="A46" s="13"/>
      <c r="B46" s="14"/>
      <c r="C46" s="108"/>
      <c r="D46" s="363"/>
      <c r="E46" s="391"/>
      <c r="F46" s="357"/>
      <c r="G46" s="784"/>
      <c r="H46" s="756"/>
      <c r="I46" s="385"/>
      <c r="J46" s="711"/>
      <c r="K46" s="11" t="s">
        <v>220</v>
      </c>
      <c r="L46" s="186">
        <v>4605</v>
      </c>
      <c r="M46" s="20"/>
      <c r="N46" s="557"/>
      <c r="O46" s="2"/>
      <c r="P46" s="2"/>
      <c r="Q46" s="2"/>
      <c r="R46" s="2"/>
      <c r="S46" s="2"/>
      <c r="T46" s="2"/>
      <c r="U46" s="2"/>
      <c r="V46" s="2"/>
    </row>
    <row r="47" spans="1:22" ht="14.25" customHeight="1" thickBot="1" x14ac:dyDescent="0.25">
      <c r="A47" s="13"/>
      <c r="B47" s="14"/>
      <c r="C47" s="108"/>
      <c r="D47" s="664"/>
      <c r="E47" s="702"/>
      <c r="F47" s="652"/>
      <c r="G47" s="785"/>
      <c r="H47" s="757"/>
      <c r="I47" s="705"/>
      <c r="J47" s="711"/>
      <c r="K47" s="109" t="s">
        <v>16</v>
      </c>
      <c r="L47" s="176">
        <f>SUM(L43:L46)</f>
        <v>476705</v>
      </c>
      <c r="M47" s="259"/>
      <c r="N47" s="402"/>
      <c r="O47" s="2"/>
      <c r="P47" s="2"/>
      <c r="Q47" s="2"/>
      <c r="R47" s="2"/>
      <c r="S47" s="2"/>
      <c r="T47" s="2"/>
      <c r="U47" s="2"/>
      <c r="V47" s="2"/>
    </row>
    <row r="48" spans="1:22" ht="14.25" customHeight="1" x14ac:dyDescent="0.2">
      <c r="A48" s="65"/>
      <c r="B48" s="14"/>
      <c r="C48" s="52"/>
      <c r="D48" s="919" t="s">
        <v>44</v>
      </c>
      <c r="E48" s="1100" t="s">
        <v>104</v>
      </c>
      <c r="F48" s="918"/>
      <c r="G48" s="1096" t="s">
        <v>182</v>
      </c>
      <c r="H48" s="755">
        <v>10030202</v>
      </c>
      <c r="I48" s="906">
        <v>2</v>
      </c>
      <c r="J48" s="711"/>
      <c r="K48" s="33" t="s">
        <v>15</v>
      </c>
      <c r="L48" s="179">
        <v>117789</v>
      </c>
      <c r="M48" s="917" t="s">
        <v>77</v>
      </c>
      <c r="N48" s="234">
        <v>250</v>
      </c>
      <c r="O48" s="2"/>
      <c r="P48" s="2"/>
      <c r="Q48" s="2"/>
      <c r="R48" s="2"/>
      <c r="S48" s="2"/>
      <c r="T48" s="2"/>
      <c r="U48" s="2"/>
      <c r="V48" s="2"/>
    </row>
    <row r="49" spans="1:22" ht="14.25" customHeight="1" x14ac:dyDescent="0.2">
      <c r="A49" s="65"/>
      <c r="B49" s="14"/>
      <c r="C49" s="52"/>
      <c r="D49" s="920"/>
      <c r="E49" s="1101"/>
      <c r="F49" s="768"/>
      <c r="G49" s="962"/>
      <c r="H49" s="756"/>
      <c r="I49" s="908"/>
      <c r="J49" s="711"/>
      <c r="K49" s="79" t="s">
        <v>63</v>
      </c>
      <c r="L49" s="262">
        <f>231.9/3.4528*1000</f>
        <v>67163</v>
      </c>
      <c r="M49" s="917"/>
      <c r="N49" s="235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65"/>
      <c r="B50" s="14"/>
      <c r="C50" s="52"/>
      <c r="D50" s="297"/>
      <c r="E50" s="1101"/>
      <c r="F50" s="675"/>
      <c r="G50" s="962"/>
      <c r="H50" s="756"/>
      <c r="I50" s="359"/>
      <c r="J50" s="711"/>
      <c r="K50" s="79" t="s">
        <v>220</v>
      </c>
      <c r="L50" s="262">
        <v>14964</v>
      </c>
      <c r="M50" s="306"/>
      <c r="N50" s="235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65"/>
      <c r="B51" s="14"/>
      <c r="C51" s="52"/>
      <c r="D51" s="297"/>
      <c r="E51" s="1101"/>
      <c r="F51" s="675"/>
      <c r="G51" s="962"/>
      <c r="H51" s="756"/>
      <c r="I51" s="359"/>
      <c r="J51" s="711"/>
      <c r="K51" s="79" t="s">
        <v>216</v>
      </c>
      <c r="L51" s="262">
        <v>8431</v>
      </c>
      <c r="M51" s="306"/>
      <c r="N51" s="235"/>
      <c r="O51" s="2"/>
      <c r="P51" s="2"/>
      <c r="Q51" s="2"/>
      <c r="R51" s="2"/>
      <c r="S51" s="2"/>
      <c r="T51" s="2"/>
      <c r="U51" s="2"/>
      <c r="V51" s="2"/>
    </row>
    <row r="52" spans="1:22" ht="12.75" customHeight="1" x14ac:dyDescent="0.2">
      <c r="A52" s="65"/>
      <c r="B52" s="14"/>
      <c r="C52" s="52"/>
      <c r="D52" s="297"/>
      <c r="E52" s="1102"/>
      <c r="F52" s="676"/>
      <c r="G52" s="963"/>
      <c r="H52" s="757"/>
      <c r="I52" s="665"/>
      <c r="J52" s="711"/>
      <c r="K52" s="83" t="s">
        <v>16</v>
      </c>
      <c r="L52" s="185">
        <f>SUM(L48:L51)</f>
        <v>208347</v>
      </c>
      <c r="M52" s="123"/>
      <c r="N52" s="235"/>
      <c r="O52" s="2"/>
      <c r="P52" s="2"/>
      <c r="Q52" s="2"/>
      <c r="R52" s="2"/>
      <c r="S52" s="2"/>
      <c r="T52" s="2"/>
      <c r="U52" s="2"/>
      <c r="V52" s="2"/>
    </row>
    <row r="53" spans="1:22" ht="13.5" thickBot="1" x14ac:dyDescent="0.25">
      <c r="A53" s="92"/>
      <c r="B53" s="15"/>
      <c r="C53" s="128"/>
      <c r="D53" s="298"/>
      <c r="E53" s="856"/>
      <c r="F53" s="856"/>
      <c r="G53" s="856"/>
      <c r="H53" s="856"/>
      <c r="I53" s="856"/>
      <c r="J53" s="857"/>
      <c r="K53" s="50" t="s">
        <v>16</v>
      </c>
      <c r="L53" s="263">
        <f>L52+L47+L42+L37+L32+L26+L21</f>
        <v>57260181</v>
      </c>
      <c r="M53" s="260"/>
      <c r="N53" s="124"/>
      <c r="O53" s="2"/>
      <c r="P53" s="2"/>
      <c r="Q53" s="2"/>
      <c r="R53" s="2"/>
      <c r="S53" s="2"/>
      <c r="T53" s="2"/>
      <c r="U53" s="2"/>
      <c r="V53" s="2"/>
    </row>
    <row r="54" spans="1:22" ht="48.75" customHeight="1" x14ac:dyDescent="0.2">
      <c r="A54" s="348" t="s">
        <v>14</v>
      </c>
      <c r="B54" s="73" t="s">
        <v>14</v>
      </c>
      <c r="C54" s="671" t="s">
        <v>17</v>
      </c>
      <c r="D54" s="850"/>
      <c r="E54" s="852" t="s">
        <v>106</v>
      </c>
      <c r="F54" s="854" t="s">
        <v>84</v>
      </c>
      <c r="G54" s="921" t="s">
        <v>183</v>
      </c>
      <c r="H54" s="778">
        <v>1002030488</v>
      </c>
      <c r="I54" s="803">
        <v>2</v>
      </c>
      <c r="J54" s="746" t="s">
        <v>98</v>
      </c>
      <c r="K54" s="33" t="s">
        <v>18</v>
      </c>
      <c r="L54" s="179">
        <f>50.9/3.4528*1000</f>
        <v>14742</v>
      </c>
      <c r="M54" s="848" t="s">
        <v>126</v>
      </c>
      <c r="N54" s="895">
        <v>1</v>
      </c>
      <c r="O54" s="2"/>
      <c r="P54" s="2"/>
      <c r="Q54" s="2"/>
      <c r="R54" s="2"/>
      <c r="S54" s="2"/>
      <c r="T54" s="2"/>
      <c r="U54" s="2"/>
      <c r="V54" s="2"/>
    </row>
    <row r="55" spans="1:22" ht="13.5" thickBot="1" x14ac:dyDescent="0.25">
      <c r="A55" s="340"/>
      <c r="B55" s="15"/>
      <c r="C55" s="672"/>
      <c r="D55" s="851"/>
      <c r="E55" s="853"/>
      <c r="F55" s="855"/>
      <c r="G55" s="922"/>
      <c r="H55" s="779"/>
      <c r="I55" s="804"/>
      <c r="J55" s="747"/>
      <c r="K55" s="81" t="s">
        <v>16</v>
      </c>
      <c r="L55" s="189">
        <f>L54</f>
        <v>14742</v>
      </c>
      <c r="M55" s="849"/>
      <c r="N55" s="896"/>
      <c r="O55" s="2"/>
      <c r="P55" s="2"/>
      <c r="Q55" s="2"/>
      <c r="R55" s="2"/>
      <c r="S55" s="2"/>
      <c r="T55" s="2"/>
      <c r="U55" s="2"/>
      <c r="V55" s="2"/>
    </row>
    <row r="56" spans="1:22" ht="51.75" customHeight="1" x14ac:dyDescent="0.2">
      <c r="A56" s="686" t="s">
        <v>14</v>
      </c>
      <c r="B56" s="684" t="s">
        <v>14</v>
      </c>
      <c r="C56" s="698" t="s">
        <v>19</v>
      </c>
      <c r="D56" s="763"/>
      <c r="E56" s="852" t="s">
        <v>94</v>
      </c>
      <c r="F56" s="793"/>
      <c r="G56" s="1047"/>
      <c r="H56" s="1052">
        <v>10020502100</v>
      </c>
      <c r="I56" s="803">
        <v>2</v>
      </c>
      <c r="J56" s="746" t="s">
        <v>98</v>
      </c>
      <c r="K56" s="32" t="s">
        <v>18</v>
      </c>
      <c r="L56" s="175">
        <v>41190</v>
      </c>
      <c r="M56" s="801" t="s">
        <v>155</v>
      </c>
      <c r="N56" s="923">
        <v>5</v>
      </c>
      <c r="O56" s="2"/>
      <c r="P56" s="2"/>
      <c r="Q56" s="2"/>
      <c r="R56" s="2"/>
      <c r="S56" s="2"/>
      <c r="T56" s="2"/>
      <c r="U56" s="2"/>
      <c r="V56" s="2"/>
    </row>
    <row r="57" spans="1:22" ht="15" customHeight="1" thickBot="1" x14ac:dyDescent="0.25">
      <c r="A57" s="687"/>
      <c r="B57" s="15"/>
      <c r="C57" s="699"/>
      <c r="D57" s="795"/>
      <c r="E57" s="853"/>
      <c r="F57" s="794"/>
      <c r="G57" s="1048"/>
      <c r="H57" s="959"/>
      <c r="I57" s="804"/>
      <c r="J57" s="747"/>
      <c r="K57" s="81" t="s">
        <v>16</v>
      </c>
      <c r="L57" s="189">
        <f>L56</f>
        <v>41190</v>
      </c>
      <c r="M57" s="802"/>
      <c r="N57" s="924"/>
      <c r="O57" s="2"/>
      <c r="P57" s="2"/>
      <c r="Q57" s="2"/>
      <c r="R57" s="2"/>
      <c r="S57" s="2"/>
      <c r="T57" s="2"/>
      <c r="U57" s="2"/>
      <c r="V57" s="2"/>
    </row>
    <row r="58" spans="1:22" ht="31.5" customHeight="1" x14ac:dyDescent="0.2">
      <c r="A58" s="681" t="s">
        <v>14</v>
      </c>
      <c r="B58" s="684" t="s">
        <v>14</v>
      </c>
      <c r="C58" s="122" t="s">
        <v>21</v>
      </c>
      <c r="D58" s="763"/>
      <c r="E58" s="943" t="s">
        <v>135</v>
      </c>
      <c r="F58" s="793"/>
      <c r="G58" s="921" t="s">
        <v>184</v>
      </c>
      <c r="H58" s="778">
        <v>10020503</v>
      </c>
      <c r="I58" s="803">
        <v>2</v>
      </c>
      <c r="J58" s="746" t="s">
        <v>98</v>
      </c>
      <c r="K58" s="32" t="s">
        <v>18</v>
      </c>
      <c r="L58" s="178">
        <v>84185</v>
      </c>
      <c r="M58" s="1079" t="s">
        <v>136</v>
      </c>
      <c r="N58" s="691">
        <v>25</v>
      </c>
      <c r="O58" s="2"/>
      <c r="P58" s="2"/>
      <c r="Q58" s="2"/>
      <c r="R58" s="2"/>
      <c r="S58" s="2"/>
      <c r="T58" s="2"/>
      <c r="U58" s="2"/>
      <c r="V58" s="2"/>
    </row>
    <row r="59" spans="1:22" ht="15" customHeight="1" thickBot="1" x14ac:dyDescent="0.25">
      <c r="A59" s="687"/>
      <c r="B59" s="15"/>
      <c r="C59" s="699"/>
      <c r="D59" s="795"/>
      <c r="E59" s="853"/>
      <c r="F59" s="794"/>
      <c r="G59" s="922"/>
      <c r="H59" s="779"/>
      <c r="I59" s="804"/>
      <c r="J59" s="747"/>
      <c r="K59" s="81" t="s">
        <v>16</v>
      </c>
      <c r="L59" s="189">
        <f>L58</f>
        <v>84185</v>
      </c>
      <c r="M59" s="1080"/>
      <c r="N59" s="236"/>
      <c r="O59" s="2"/>
      <c r="P59" s="2"/>
      <c r="Q59" s="2"/>
      <c r="R59" s="2"/>
      <c r="S59" s="2"/>
      <c r="T59" s="2"/>
      <c r="U59" s="2"/>
      <c r="V59" s="2"/>
    </row>
    <row r="60" spans="1:22" ht="31.5" customHeight="1" x14ac:dyDescent="0.2">
      <c r="A60" s="686" t="s">
        <v>14</v>
      </c>
      <c r="B60" s="684" t="s">
        <v>14</v>
      </c>
      <c r="C60" s="698" t="s">
        <v>22</v>
      </c>
      <c r="D60" s="763"/>
      <c r="E60" s="1064" t="s">
        <v>127</v>
      </c>
      <c r="F60" s="793"/>
      <c r="G60" s="921" t="s">
        <v>187</v>
      </c>
      <c r="H60" s="778">
        <v>10020509</v>
      </c>
      <c r="I60" s="803">
        <v>2</v>
      </c>
      <c r="J60" s="746" t="s">
        <v>98</v>
      </c>
      <c r="K60" s="32" t="s">
        <v>15</v>
      </c>
      <c r="L60" s="178">
        <f>10/3.4528*1000</f>
        <v>2896</v>
      </c>
      <c r="M60" s="696" t="s">
        <v>128</v>
      </c>
      <c r="N60" s="118">
        <v>30</v>
      </c>
      <c r="O60" s="2"/>
      <c r="P60" s="2"/>
      <c r="Q60" s="2"/>
      <c r="R60" s="2"/>
      <c r="S60" s="2"/>
      <c r="T60" s="2"/>
      <c r="U60" s="2"/>
      <c r="V60" s="2"/>
    </row>
    <row r="61" spans="1:22" ht="15" customHeight="1" thickBot="1" x14ac:dyDescent="0.25">
      <c r="A61" s="687"/>
      <c r="B61" s="15"/>
      <c r="C61" s="699"/>
      <c r="D61" s="795"/>
      <c r="E61" s="1065"/>
      <c r="F61" s="794"/>
      <c r="G61" s="922"/>
      <c r="H61" s="779"/>
      <c r="I61" s="804"/>
      <c r="J61" s="747"/>
      <c r="K61" s="81" t="s">
        <v>16</v>
      </c>
      <c r="L61" s="189">
        <f>L60</f>
        <v>2896</v>
      </c>
      <c r="M61" s="697"/>
      <c r="N61" s="117"/>
      <c r="O61" s="2"/>
      <c r="P61" s="2"/>
      <c r="Q61" s="2"/>
      <c r="R61" s="2"/>
      <c r="S61" s="2"/>
      <c r="T61" s="2"/>
      <c r="U61" s="2"/>
      <c r="V61" s="2"/>
    </row>
    <row r="62" spans="1:22" ht="38.25" customHeight="1" x14ac:dyDescent="0.2">
      <c r="A62" s="686" t="s">
        <v>14</v>
      </c>
      <c r="B62" s="684" t="s">
        <v>14</v>
      </c>
      <c r="C62" s="698" t="s">
        <v>23</v>
      </c>
      <c r="D62" s="763"/>
      <c r="E62" s="1064" t="s">
        <v>129</v>
      </c>
      <c r="F62" s="793"/>
      <c r="G62" s="921" t="s">
        <v>188</v>
      </c>
      <c r="H62" s="778">
        <v>10020510</v>
      </c>
      <c r="I62" s="803">
        <v>2</v>
      </c>
      <c r="J62" s="746" t="s">
        <v>98</v>
      </c>
      <c r="K62" s="32" t="s">
        <v>15</v>
      </c>
      <c r="L62" s="178">
        <f>50/3.4528*1000</f>
        <v>14481</v>
      </c>
      <c r="M62" s="1075" t="s">
        <v>130</v>
      </c>
      <c r="N62" s="1077">
        <v>1.5</v>
      </c>
      <c r="O62" s="2"/>
      <c r="P62" s="2"/>
      <c r="Q62" s="2"/>
      <c r="R62" s="2"/>
      <c r="S62" s="2"/>
      <c r="T62" s="2"/>
      <c r="U62" s="2"/>
      <c r="V62" s="2"/>
    </row>
    <row r="63" spans="1:22" ht="13.5" thickBot="1" x14ac:dyDescent="0.25">
      <c r="A63" s="687"/>
      <c r="B63" s="15"/>
      <c r="C63" s="699"/>
      <c r="D63" s="795"/>
      <c r="E63" s="1065"/>
      <c r="F63" s="794"/>
      <c r="G63" s="922"/>
      <c r="H63" s="779"/>
      <c r="I63" s="804"/>
      <c r="J63" s="747"/>
      <c r="K63" s="81" t="s">
        <v>16</v>
      </c>
      <c r="L63" s="189">
        <f>L62</f>
        <v>14481</v>
      </c>
      <c r="M63" s="1076"/>
      <c r="N63" s="1078"/>
      <c r="O63" s="2"/>
      <c r="P63" s="2"/>
      <c r="Q63" s="2"/>
      <c r="R63" s="2"/>
      <c r="S63" s="2"/>
      <c r="T63" s="2"/>
      <c r="U63" s="2"/>
      <c r="V63" s="2"/>
    </row>
    <row r="64" spans="1:22" ht="15" customHeight="1" thickBot="1" x14ac:dyDescent="0.25">
      <c r="A64" s="687" t="s">
        <v>14</v>
      </c>
      <c r="B64" s="685" t="s">
        <v>14</v>
      </c>
      <c r="C64" s="1081" t="s">
        <v>20</v>
      </c>
      <c r="D64" s="1081"/>
      <c r="E64" s="1081"/>
      <c r="F64" s="1081"/>
      <c r="G64" s="1081"/>
      <c r="H64" s="1081"/>
      <c r="I64" s="1081"/>
      <c r="J64" s="1082"/>
      <c r="K64" s="966"/>
      <c r="L64" s="177">
        <f>L63+L61+L59+L57+L55+L53</f>
        <v>57417675</v>
      </c>
      <c r="M64" s="796"/>
      <c r="N64" s="797"/>
      <c r="O64" s="2"/>
      <c r="P64" s="2"/>
      <c r="Q64" s="2"/>
      <c r="R64" s="2"/>
      <c r="S64" s="2"/>
      <c r="T64" s="2"/>
      <c r="U64" s="2"/>
      <c r="V64" s="2"/>
    </row>
    <row r="65" spans="1:22" ht="16.5" customHeight="1" thickBot="1" x14ac:dyDescent="0.25">
      <c r="A65" s="6" t="s">
        <v>14</v>
      </c>
      <c r="B65" s="8" t="s">
        <v>17</v>
      </c>
      <c r="C65" s="947" t="s">
        <v>75</v>
      </c>
      <c r="D65" s="948"/>
      <c r="E65" s="948"/>
      <c r="F65" s="948"/>
      <c r="G65" s="948"/>
      <c r="H65" s="948"/>
      <c r="I65" s="948"/>
      <c r="J65" s="948"/>
      <c r="K65" s="948"/>
      <c r="L65" s="948"/>
      <c r="M65" s="948"/>
      <c r="N65" s="949"/>
      <c r="O65" s="2"/>
      <c r="P65" s="2"/>
      <c r="Q65" s="2"/>
      <c r="R65" s="2"/>
      <c r="S65" s="2"/>
      <c r="T65" s="2"/>
      <c r="U65" s="2"/>
      <c r="V65" s="2"/>
    </row>
    <row r="66" spans="1:22" ht="46.5" customHeight="1" x14ac:dyDescent="0.2">
      <c r="A66" s="72" t="s">
        <v>14</v>
      </c>
      <c r="B66" s="835" t="s">
        <v>17</v>
      </c>
      <c r="C66" s="937" t="s">
        <v>14</v>
      </c>
      <c r="D66" s="939"/>
      <c r="E66" s="941" t="s">
        <v>78</v>
      </c>
      <c r="F66" s="767"/>
      <c r="G66" s="921" t="s">
        <v>189</v>
      </c>
      <c r="H66" s="778">
        <v>1003030100</v>
      </c>
      <c r="I66" s="1067">
        <v>2</v>
      </c>
      <c r="J66" s="810" t="s">
        <v>98</v>
      </c>
      <c r="K66" s="655" t="s">
        <v>15</v>
      </c>
      <c r="L66" s="208">
        <f>65.4/3.4528*1000</f>
        <v>18941</v>
      </c>
      <c r="M66" s="358" t="s">
        <v>79</v>
      </c>
      <c r="N66" s="361">
        <v>36</v>
      </c>
      <c r="O66" s="2"/>
      <c r="P66" s="2"/>
      <c r="Q66" s="2"/>
      <c r="R66" s="2"/>
      <c r="S66" s="2"/>
      <c r="T66" s="2"/>
      <c r="U66" s="2"/>
      <c r="V66" s="2"/>
    </row>
    <row r="67" spans="1:22" ht="15.75" customHeight="1" thickBot="1" x14ac:dyDescent="0.25">
      <c r="A67" s="340"/>
      <c r="B67" s="836"/>
      <c r="C67" s="938"/>
      <c r="D67" s="940"/>
      <c r="E67" s="942"/>
      <c r="F67" s="1066"/>
      <c r="G67" s="922"/>
      <c r="H67" s="779"/>
      <c r="I67" s="1068"/>
      <c r="J67" s="986"/>
      <c r="K67" s="139" t="s">
        <v>16</v>
      </c>
      <c r="L67" s="264">
        <f>L66</f>
        <v>18941</v>
      </c>
      <c r="M67" s="331" t="s">
        <v>131</v>
      </c>
      <c r="N67" s="68">
        <v>20</v>
      </c>
      <c r="O67" s="2"/>
      <c r="P67" s="2"/>
      <c r="Q67" s="2"/>
      <c r="R67" s="2"/>
      <c r="S67" s="2"/>
      <c r="T67" s="2"/>
      <c r="U67" s="2"/>
      <c r="V67" s="2"/>
    </row>
    <row r="68" spans="1:22" ht="42.75" customHeight="1" x14ac:dyDescent="0.2">
      <c r="A68" s="935" t="s">
        <v>14</v>
      </c>
      <c r="B68" s="835" t="s">
        <v>17</v>
      </c>
      <c r="C68" s="780" t="s">
        <v>17</v>
      </c>
      <c r="D68" s="763"/>
      <c r="E68" s="765" t="s">
        <v>133</v>
      </c>
      <c r="F68" s="767"/>
      <c r="G68" s="921" t="s">
        <v>190</v>
      </c>
      <c r="H68" s="778">
        <v>10020307</v>
      </c>
      <c r="I68" s="769">
        <v>2</v>
      </c>
      <c r="J68" s="746" t="s">
        <v>98</v>
      </c>
      <c r="K68" s="96" t="s">
        <v>18</v>
      </c>
      <c r="L68" s="175">
        <v>30523</v>
      </c>
      <c r="M68" s="805" t="s">
        <v>156</v>
      </c>
      <c r="N68" s="44">
        <v>17</v>
      </c>
      <c r="O68" s="2"/>
      <c r="P68" s="2"/>
      <c r="Q68" s="2"/>
      <c r="R68" s="2"/>
      <c r="S68" s="2"/>
      <c r="T68" s="2"/>
      <c r="U68" s="2"/>
      <c r="V68" s="2"/>
    </row>
    <row r="69" spans="1:22" ht="13.5" thickBot="1" x14ac:dyDescent="0.25">
      <c r="A69" s="936"/>
      <c r="B69" s="859"/>
      <c r="C69" s="782"/>
      <c r="D69" s="764"/>
      <c r="E69" s="766"/>
      <c r="F69" s="768"/>
      <c r="G69" s="922"/>
      <c r="H69" s="779"/>
      <c r="I69" s="770"/>
      <c r="J69" s="747"/>
      <c r="K69" s="81" t="s">
        <v>16</v>
      </c>
      <c r="L69" s="189">
        <f>L68</f>
        <v>30523</v>
      </c>
      <c r="M69" s="806"/>
      <c r="N69" s="237"/>
      <c r="O69" s="2"/>
      <c r="P69" s="2"/>
      <c r="Q69" s="2"/>
      <c r="R69" s="2"/>
      <c r="S69" s="2"/>
      <c r="T69" s="2"/>
      <c r="U69" s="2"/>
      <c r="V69" s="2"/>
    </row>
    <row r="70" spans="1:22" ht="39" customHeight="1" x14ac:dyDescent="0.2">
      <c r="A70" s="1024" t="s">
        <v>14</v>
      </c>
      <c r="B70" s="684" t="s">
        <v>17</v>
      </c>
      <c r="C70" s="1083" t="s">
        <v>19</v>
      </c>
      <c r="D70" s="1087"/>
      <c r="E70" s="771" t="s">
        <v>36</v>
      </c>
      <c r="F70" s="767"/>
      <c r="G70" s="921" t="s">
        <v>191</v>
      </c>
      <c r="H70" s="778">
        <v>1003040100</v>
      </c>
      <c r="I70" s="1089">
        <v>2</v>
      </c>
      <c r="J70" s="744" t="s">
        <v>98</v>
      </c>
      <c r="K70" s="121" t="s">
        <v>15</v>
      </c>
      <c r="L70" s="208">
        <f>136.7/3.4528*1000</f>
        <v>39591</v>
      </c>
      <c r="M70" s="125" t="s">
        <v>157</v>
      </c>
      <c r="N70" s="235">
        <v>180</v>
      </c>
      <c r="O70" s="2"/>
      <c r="P70" s="2"/>
      <c r="Q70" s="2"/>
      <c r="R70" s="2"/>
      <c r="S70" s="2"/>
      <c r="T70" s="2"/>
      <c r="U70" s="2"/>
      <c r="V70" s="2"/>
    </row>
    <row r="71" spans="1:22" ht="21" customHeight="1" thickBot="1" x14ac:dyDescent="0.25">
      <c r="A71" s="1025"/>
      <c r="B71" s="685"/>
      <c r="C71" s="1084"/>
      <c r="D71" s="1088"/>
      <c r="E71" s="1069"/>
      <c r="F71" s="1066"/>
      <c r="G71" s="922"/>
      <c r="H71" s="779"/>
      <c r="I71" s="1090"/>
      <c r="J71" s="745"/>
      <c r="K71" s="334" t="s">
        <v>16</v>
      </c>
      <c r="L71" s="189">
        <f>L70</f>
        <v>39591</v>
      </c>
      <c r="M71" s="126"/>
      <c r="N71" s="134"/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935" t="s">
        <v>14</v>
      </c>
      <c r="B72" s="835" t="s">
        <v>17</v>
      </c>
      <c r="C72" s="780" t="s">
        <v>21</v>
      </c>
      <c r="D72" s="763"/>
      <c r="E72" s="771" t="s">
        <v>166</v>
      </c>
      <c r="F72" s="767" t="s">
        <v>80</v>
      </c>
      <c r="G72" s="921" t="s">
        <v>192</v>
      </c>
      <c r="H72" s="778">
        <v>10020507</v>
      </c>
      <c r="I72" s="775">
        <v>2</v>
      </c>
      <c r="J72" s="748" t="s">
        <v>99</v>
      </c>
      <c r="K72" s="95" t="s">
        <v>18</v>
      </c>
      <c r="L72" s="178">
        <f>133.5/3.4528*1000</f>
        <v>38664</v>
      </c>
      <c r="M72" s="69" t="s">
        <v>54</v>
      </c>
      <c r="N72" s="44">
        <v>2</v>
      </c>
      <c r="O72" s="2"/>
      <c r="P72" s="2"/>
      <c r="Q72" s="2"/>
      <c r="R72" s="2"/>
      <c r="S72" s="2"/>
      <c r="T72" s="2"/>
      <c r="U72" s="2"/>
      <c r="V72" s="2"/>
    </row>
    <row r="73" spans="1:22" ht="31.5" customHeight="1" x14ac:dyDescent="0.2">
      <c r="A73" s="1091"/>
      <c r="B73" s="858"/>
      <c r="C73" s="781"/>
      <c r="D73" s="985"/>
      <c r="E73" s="772"/>
      <c r="F73" s="774"/>
      <c r="G73" s="962"/>
      <c r="H73" s="756"/>
      <c r="I73" s="776"/>
      <c r="J73" s="837"/>
      <c r="K73" s="33"/>
      <c r="L73" s="179"/>
      <c r="M73" s="127"/>
      <c r="N73" s="97"/>
      <c r="O73" s="2"/>
      <c r="P73" s="2"/>
      <c r="Q73" s="2"/>
      <c r="R73" s="2"/>
      <c r="S73" s="2"/>
      <c r="T73" s="2"/>
      <c r="U73" s="2"/>
      <c r="V73" s="2"/>
    </row>
    <row r="74" spans="1:22" ht="13.5" thickBot="1" x14ac:dyDescent="0.25">
      <c r="A74" s="936"/>
      <c r="B74" s="859"/>
      <c r="C74" s="782"/>
      <c r="D74" s="764"/>
      <c r="E74" s="773"/>
      <c r="F74" s="768"/>
      <c r="G74" s="922"/>
      <c r="H74" s="779"/>
      <c r="I74" s="777"/>
      <c r="J74" s="749"/>
      <c r="K74" s="81" t="s">
        <v>16</v>
      </c>
      <c r="L74" s="189">
        <f>SUM(L72:L73)</f>
        <v>38664</v>
      </c>
      <c r="M74" s="700"/>
      <c r="N74" s="237"/>
      <c r="O74" s="2"/>
      <c r="P74" s="2"/>
      <c r="Q74" s="2"/>
      <c r="R74" s="2"/>
      <c r="S74" s="2"/>
      <c r="T74" s="2"/>
      <c r="U74" s="2"/>
      <c r="V74" s="2"/>
    </row>
    <row r="75" spans="1:22" ht="39.75" customHeight="1" x14ac:dyDescent="0.2">
      <c r="A75" s="935" t="s">
        <v>14</v>
      </c>
      <c r="B75" s="835" t="s">
        <v>17</v>
      </c>
      <c r="C75" s="780" t="s">
        <v>22</v>
      </c>
      <c r="D75" s="763"/>
      <c r="E75" s="771" t="s">
        <v>81</v>
      </c>
      <c r="F75" s="767"/>
      <c r="G75" s="921" t="s">
        <v>193</v>
      </c>
      <c r="H75" s="778">
        <v>10020506</v>
      </c>
      <c r="I75" s="775">
        <v>2</v>
      </c>
      <c r="J75" s="748" t="s">
        <v>99</v>
      </c>
      <c r="K75" s="96" t="s">
        <v>18</v>
      </c>
      <c r="L75" s="175">
        <v>110846</v>
      </c>
      <c r="M75" s="119" t="s">
        <v>54</v>
      </c>
      <c r="N75" s="120">
        <v>34</v>
      </c>
      <c r="O75" s="2"/>
      <c r="P75" s="2"/>
      <c r="Q75" s="2"/>
      <c r="R75" s="2"/>
      <c r="S75" s="2"/>
      <c r="T75" s="2"/>
      <c r="U75" s="2"/>
      <c r="V75" s="2"/>
    </row>
    <row r="76" spans="1:22" ht="18" customHeight="1" thickBot="1" x14ac:dyDescent="0.25">
      <c r="A76" s="936"/>
      <c r="B76" s="859"/>
      <c r="C76" s="782"/>
      <c r="D76" s="764"/>
      <c r="E76" s="773"/>
      <c r="F76" s="768"/>
      <c r="G76" s="922"/>
      <c r="H76" s="779"/>
      <c r="I76" s="777"/>
      <c r="J76" s="749"/>
      <c r="K76" s="81" t="s">
        <v>16</v>
      </c>
      <c r="L76" s="189">
        <f>L75</f>
        <v>110846</v>
      </c>
      <c r="M76" s="700"/>
      <c r="N76" s="237"/>
      <c r="O76" s="2"/>
      <c r="P76" s="2"/>
      <c r="Q76" s="2"/>
      <c r="R76" s="2"/>
      <c r="S76" s="2"/>
      <c r="T76" s="2"/>
      <c r="U76" s="2"/>
      <c r="V76" s="2"/>
    </row>
    <row r="77" spans="1:22" ht="36.75" customHeight="1" x14ac:dyDescent="0.2">
      <c r="A77" s="1024" t="s">
        <v>14</v>
      </c>
      <c r="B77" s="684" t="s">
        <v>17</v>
      </c>
      <c r="C77" s="1083" t="s">
        <v>23</v>
      </c>
      <c r="D77" s="1087"/>
      <c r="E77" s="771" t="s">
        <v>132</v>
      </c>
      <c r="F77" s="767"/>
      <c r="G77" s="921" t="s">
        <v>194</v>
      </c>
      <c r="H77" s="778">
        <v>10030408</v>
      </c>
      <c r="I77" s="1089">
        <v>2</v>
      </c>
      <c r="J77" s="744" t="s">
        <v>99</v>
      </c>
      <c r="K77" s="121" t="s">
        <v>15</v>
      </c>
      <c r="L77" s="208">
        <f>30/3.4528*1000</f>
        <v>8689</v>
      </c>
      <c r="M77" s="125" t="s">
        <v>91</v>
      </c>
      <c r="N77" s="238">
        <v>5000</v>
      </c>
      <c r="O77" s="2"/>
      <c r="P77" s="2"/>
      <c r="Q77" s="2"/>
      <c r="R77" s="2"/>
      <c r="S77" s="2"/>
      <c r="T77" s="2"/>
      <c r="U77" s="2"/>
      <c r="V77" s="2"/>
    </row>
    <row r="78" spans="1:22" ht="13.5" thickBot="1" x14ac:dyDescent="0.25">
      <c r="A78" s="1025"/>
      <c r="B78" s="685"/>
      <c r="C78" s="1084"/>
      <c r="D78" s="1088"/>
      <c r="E78" s="1069"/>
      <c r="F78" s="1066"/>
      <c r="G78" s="922"/>
      <c r="H78" s="779"/>
      <c r="I78" s="1090"/>
      <c r="J78" s="745"/>
      <c r="K78" s="334" t="s">
        <v>16</v>
      </c>
      <c r="L78" s="189">
        <f>L77</f>
        <v>8689</v>
      </c>
      <c r="M78" s="126"/>
      <c r="N78" s="134"/>
      <c r="O78" s="2"/>
      <c r="P78" s="2"/>
      <c r="Q78" s="2"/>
      <c r="R78" s="2"/>
      <c r="S78" s="2"/>
      <c r="T78" s="2"/>
      <c r="U78" s="2"/>
      <c r="V78" s="2"/>
    </row>
    <row r="79" spans="1:22" ht="38.25" customHeight="1" x14ac:dyDescent="0.2">
      <c r="A79" s="1024" t="s">
        <v>14</v>
      </c>
      <c r="B79" s="684" t="s">
        <v>17</v>
      </c>
      <c r="C79" s="1083" t="s">
        <v>44</v>
      </c>
      <c r="D79" s="1087"/>
      <c r="E79" s="771" t="s">
        <v>139</v>
      </c>
      <c r="F79" s="767" t="s">
        <v>87</v>
      </c>
      <c r="G79" s="921" t="s">
        <v>195</v>
      </c>
      <c r="H79" s="778">
        <v>10010104</v>
      </c>
      <c r="I79" s="1089">
        <v>2</v>
      </c>
      <c r="J79" s="744" t="s">
        <v>99</v>
      </c>
      <c r="K79" s="121" t="s">
        <v>15</v>
      </c>
      <c r="L79" s="208">
        <v>127027</v>
      </c>
      <c r="M79" s="1085" t="s">
        <v>108</v>
      </c>
      <c r="N79" s="235">
        <f>24+29</f>
        <v>53</v>
      </c>
      <c r="O79" s="2"/>
      <c r="P79" s="523"/>
      <c r="Q79" s="2"/>
      <c r="R79" s="2"/>
      <c r="S79" s="523"/>
      <c r="T79" s="2"/>
      <c r="U79" s="2"/>
      <c r="V79" s="2"/>
    </row>
    <row r="80" spans="1:22" ht="15" customHeight="1" thickBot="1" x14ac:dyDescent="0.25">
      <c r="A80" s="1025"/>
      <c r="B80" s="685"/>
      <c r="C80" s="1084"/>
      <c r="D80" s="1088"/>
      <c r="E80" s="1069"/>
      <c r="F80" s="1066"/>
      <c r="G80" s="922"/>
      <c r="H80" s="779"/>
      <c r="I80" s="1090"/>
      <c r="J80" s="745"/>
      <c r="K80" s="334" t="s">
        <v>16</v>
      </c>
      <c r="L80" s="189">
        <f>L79</f>
        <v>127027</v>
      </c>
      <c r="M80" s="1086"/>
      <c r="N80" s="134"/>
      <c r="O80" s="2"/>
      <c r="P80" s="523"/>
      <c r="Q80" s="2"/>
      <c r="R80" s="2"/>
      <c r="S80" s="523"/>
      <c r="T80" s="2"/>
      <c r="U80" s="2"/>
      <c r="V80" s="2"/>
    </row>
    <row r="81" spans="1:22" ht="13.5" thickBot="1" x14ac:dyDescent="0.25">
      <c r="A81" s="6" t="s">
        <v>14</v>
      </c>
      <c r="B81" s="5" t="s">
        <v>17</v>
      </c>
      <c r="C81" s="762" t="s">
        <v>20</v>
      </c>
      <c r="D81" s="762"/>
      <c r="E81" s="762"/>
      <c r="F81" s="762"/>
      <c r="G81" s="762"/>
      <c r="H81" s="762"/>
      <c r="I81" s="762"/>
      <c r="J81" s="762"/>
      <c r="K81" s="762"/>
      <c r="L81" s="177">
        <f>L80+L78+L76+L74+L71+L69+L67</f>
        <v>374281</v>
      </c>
      <c r="M81" s="349"/>
      <c r="N81" s="356"/>
      <c r="O81" s="2"/>
      <c r="P81" s="523"/>
      <c r="Q81" s="2"/>
      <c r="R81" s="2"/>
      <c r="S81" s="523"/>
      <c r="T81" s="2"/>
      <c r="U81" s="2"/>
      <c r="V81" s="2"/>
    </row>
    <row r="82" spans="1:22" ht="13.5" thickBot="1" x14ac:dyDescent="0.25">
      <c r="A82" s="6" t="s">
        <v>14</v>
      </c>
      <c r="B82" s="758" t="s">
        <v>6</v>
      </c>
      <c r="C82" s="759"/>
      <c r="D82" s="759"/>
      <c r="E82" s="759"/>
      <c r="F82" s="759"/>
      <c r="G82" s="759"/>
      <c r="H82" s="759"/>
      <c r="I82" s="759"/>
      <c r="J82" s="759"/>
      <c r="K82" s="759"/>
      <c r="L82" s="182">
        <f>L81+L64</f>
        <v>57791956</v>
      </c>
      <c r="M82" s="1070"/>
      <c r="N82" s="1071"/>
      <c r="O82" s="2"/>
      <c r="P82" s="523"/>
      <c r="Q82" s="2"/>
      <c r="R82" s="2"/>
      <c r="S82" s="523"/>
      <c r="T82" s="2"/>
      <c r="U82" s="2"/>
      <c r="V82" s="2"/>
    </row>
    <row r="83" spans="1:22" ht="15" customHeight="1" thickBot="1" x14ac:dyDescent="0.25">
      <c r="A83" s="686" t="s">
        <v>17</v>
      </c>
      <c r="B83" s="1072" t="s">
        <v>45</v>
      </c>
      <c r="C83" s="1073"/>
      <c r="D83" s="1073"/>
      <c r="E83" s="1073"/>
      <c r="F83" s="1073"/>
      <c r="G83" s="1073"/>
      <c r="H83" s="1073"/>
      <c r="I83" s="1073"/>
      <c r="J83" s="1073"/>
      <c r="K83" s="1073"/>
      <c r="L83" s="1073"/>
      <c r="M83" s="1073"/>
      <c r="N83" s="1074"/>
      <c r="O83" s="2"/>
      <c r="P83" s="523"/>
      <c r="Q83" s="2"/>
      <c r="R83" s="2"/>
      <c r="S83" s="523"/>
      <c r="T83" s="2"/>
      <c r="U83" s="2"/>
      <c r="V83" s="2"/>
    </row>
    <row r="84" spans="1:22" s="2" customFormat="1" ht="15" customHeight="1" thickBot="1" x14ac:dyDescent="0.25">
      <c r="A84" s="10" t="s">
        <v>17</v>
      </c>
      <c r="B84" s="8" t="s">
        <v>14</v>
      </c>
      <c r="C84" s="789" t="s">
        <v>38</v>
      </c>
      <c r="D84" s="790"/>
      <c r="E84" s="790"/>
      <c r="F84" s="790"/>
      <c r="G84" s="790"/>
      <c r="H84" s="790"/>
      <c r="I84" s="790"/>
      <c r="J84" s="790"/>
      <c r="K84" s="790"/>
      <c r="L84" s="791"/>
      <c r="M84" s="790"/>
      <c r="N84" s="792"/>
      <c r="P84" s="523"/>
      <c r="S84" s="523"/>
    </row>
    <row r="85" spans="1:22" s="2" customFormat="1" ht="15" customHeight="1" x14ac:dyDescent="0.2">
      <c r="A85" s="681" t="s">
        <v>17</v>
      </c>
      <c r="B85" s="684" t="s">
        <v>14</v>
      </c>
      <c r="C85" s="338" t="s">
        <v>14</v>
      </c>
      <c r="D85" s="59"/>
      <c r="E85" s="38" t="s">
        <v>46</v>
      </c>
      <c r="F85" s="286"/>
      <c r="G85" s="694" t="s">
        <v>196</v>
      </c>
      <c r="H85" s="673"/>
      <c r="I85" s="36"/>
      <c r="J85" s="16"/>
      <c r="K85" s="16"/>
      <c r="L85" s="208"/>
      <c r="M85" s="23"/>
      <c r="N85" s="239"/>
      <c r="P85" s="523"/>
      <c r="S85" s="523"/>
    </row>
    <row r="86" spans="1:22" s="2" customFormat="1" ht="13.5" customHeight="1" x14ac:dyDescent="0.2">
      <c r="A86" s="682"/>
      <c r="B86" s="658"/>
      <c r="C86" s="690"/>
      <c r="D86" s="61" t="s">
        <v>14</v>
      </c>
      <c r="E86" s="822" t="s">
        <v>110</v>
      </c>
      <c r="F86" s="651" t="s">
        <v>2</v>
      </c>
      <c r="G86" s="783" t="s">
        <v>197</v>
      </c>
      <c r="H86" s="755">
        <v>10010215</v>
      </c>
      <c r="I86" s="74">
        <v>5</v>
      </c>
      <c r="J86" s="750" t="s">
        <v>97</v>
      </c>
      <c r="K86" s="216" t="s">
        <v>15</v>
      </c>
      <c r="L86" s="186">
        <v>266856</v>
      </c>
      <c r="M86" s="753" t="s">
        <v>73</v>
      </c>
      <c r="N86" s="91"/>
      <c r="P86" s="523"/>
      <c r="S86" s="523"/>
    </row>
    <row r="87" spans="1:22" s="2" customFormat="1" ht="13.5" customHeight="1" x14ac:dyDescent="0.2">
      <c r="A87" s="682"/>
      <c r="B87" s="658"/>
      <c r="C87" s="690"/>
      <c r="D87" s="60"/>
      <c r="E87" s="823"/>
      <c r="F87" s="357"/>
      <c r="G87" s="784"/>
      <c r="H87" s="756"/>
      <c r="I87" s="75"/>
      <c r="J87" s="751"/>
      <c r="K87" s="217" t="s">
        <v>43</v>
      </c>
      <c r="L87" s="173">
        <v>158937</v>
      </c>
      <c r="M87" s="754"/>
      <c r="N87" s="240"/>
      <c r="P87" s="523"/>
      <c r="S87" s="523"/>
    </row>
    <row r="88" spans="1:22" s="2" customFormat="1" x14ac:dyDescent="0.2">
      <c r="A88" s="682"/>
      <c r="B88" s="658"/>
      <c r="C88" s="690"/>
      <c r="D88" s="60"/>
      <c r="E88" s="823"/>
      <c r="F88" s="357"/>
      <c r="G88" s="784"/>
      <c r="H88" s="756"/>
      <c r="I88" s="75"/>
      <c r="J88" s="751"/>
      <c r="K88" s="217" t="s">
        <v>3</v>
      </c>
      <c r="L88" s="173">
        <f>1102.9/3.4528*1000</f>
        <v>319422</v>
      </c>
      <c r="M88" s="754"/>
      <c r="N88" s="240">
        <v>100</v>
      </c>
      <c r="P88" s="523"/>
      <c r="S88" s="523"/>
    </row>
    <row r="89" spans="1:22" ht="17.25" customHeight="1" x14ac:dyDescent="0.2">
      <c r="A89" s="682"/>
      <c r="B89" s="658"/>
      <c r="C89" s="49"/>
      <c r="D89" s="62"/>
      <c r="E89" s="1060"/>
      <c r="F89" s="652"/>
      <c r="G89" s="785"/>
      <c r="H89" s="757"/>
      <c r="I89" s="53"/>
      <c r="J89" s="752"/>
      <c r="K89" s="218" t="s">
        <v>16</v>
      </c>
      <c r="L89" s="185">
        <f>SUM(L86:L88)</f>
        <v>745215</v>
      </c>
      <c r="M89" s="520"/>
      <c r="N89" s="241"/>
      <c r="O89" s="2"/>
      <c r="P89" s="523"/>
      <c r="Q89" s="2"/>
      <c r="R89" s="2"/>
      <c r="S89" s="523"/>
      <c r="T89" s="2"/>
      <c r="U89" s="2"/>
      <c r="V89" s="2"/>
    </row>
    <row r="90" spans="1:22" ht="19.5" customHeight="1" x14ac:dyDescent="0.2">
      <c r="A90" s="715"/>
      <c r="B90" s="716"/>
      <c r="C90" s="712"/>
      <c r="D90" s="88" t="s">
        <v>17</v>
      </c>
      <c r="E90" s="823" t="s">
        <v>107</v>
      </c>
      <c r="F90" s="519" t="s">
        <v>2</v>
      </c>
      <c r="G90" s="925" t="s">
        <v>181</v>
      </c>
      <c r="H90" s="954">
        <v>10010206</v>
      </c>
      <c r="I90" s="75">
        <v>5</v>
      </c>
      <c r="J90" s="742" t="s">
        <v>97</v>
      </c>
      <c r="K90" s="454" t="s">
        <v>43</v>
      </c>
      <c r="L90" s="184">
        <v>7183</v>
      </c>
      <c r="M90" s="761" t="s">
        <v>217</v>
      </c>
      <c r="N90" s="138">
        <v>100</v>
      </c>
      <c r="O90" s="2"/>
      <c r="P90" s="523"/>
      <c r="Q90" s="2"/>
      <c r="R90" s="2"/>
      <c r="S90" s="523"/>
      <c r="T90" s="2"/>
      <c r="U90" s="2"/>
      <c r="V90" s="2"/>
    </row>
    <row r="91" spans="1:22" ht="19.5" customHeight="1" x14ac:dyDescent="0.2">
      <c r="A91" s="715"/>
      <c r="B91" s="716"/>
      <c r="C91" s="712"/>
      <c r="D91" s="88"/>
      <c r="E91" s="823"/>
      <c r="F91" s="713" t="s">
        <v>47</v>
      </c>
      <c r="G91" s="925"/>
      <c r="H91" s="954"/>
      <c r="I91" s="75"/>
      <c r="J91" s="742"/>
      <c r="K91" s="167" t="s">
        <v>15</v>
      </c>
      <c r="L91" s="183">
        <v>2259</v>
      </c>
      <c r="M91" s="761"/>
      <c r="N91" s="138"/>
      <c r="O91" s="2"/>
      <c r="P91" s="523"/>
      <c r="Q91" s="2"/>
      <c r="R91" s="2"/>
      <c r="S91" s="523"/>
      <c r="T91" s="2"/>
      <c r="U91" s="2"/>
      <c r="V91" s="2"/>
    </row>
    <row r="92" spans="1:22" ht="14.25" customHeight="1" x14ac:dyDescent="0.2">
      <c r="A92" s="130"/>
      <c r="B92" s="131"/>
      <c r="C92" s="726"/>
      <c r="D92" s="727"/>
      <c r="E92" s="1060"/>
      <c r="F92" s="717"/>
      <c r="G92" s="926"/>
      <c r="H92" s="955"/>
      <c r="I92" s="53"/>
      <c r="J92" s="932"/>
      <c r="K92" s="102" t="s">
        <v>16</v>
      </c>
      <c r="L92" s="266">
        <f>SUM(L90:L91)</f>
        <v>9442</v>
      </c>
      <c r="M92" s="728"/>
      <c r="N92" s="168"/>
      <c r="O92" s="2"/>
      <c r="P92" s="523"/>
      <c r="Q92" s="2"/>
      <c r="R92" s="2"/>
      <c r="S92" s="523"/>
      <c r="T92" s="2"/>
      <c r="U92" s="2"/>
      <c r="V92" s="2"/>
    </row>
    <row r="93" spans="1:22" ht="21.75" customHeight="1" x14ac:dyDescent="0.2">
      <c r="A93" s="93"/>
      <c r="B93" s="659"/>
      <c r="C93" s="729"/>
      <c r="D93" s="106" t="s">
        <v>19</v>
      </c>
      <c r="E93" s="822" t="s">
        <v>225</v>
      </c>
      <c r="F93" s="353" t="s">
        <v>2</v>
      </c>
      <c r="G93" s="927" t="s">
        <v>181</v>
      </c>
      <c r="H93" s="928">
        <v>1002010105</v>
      </c>
      <c r="I93" s="74">
        <v>5</v>
      </c>
      <c r="J93" s="931" t="s">
        <v>97</v>
      </c>
      <c r="K93" s="167" t="s">
        <v>15</v>
      </c>
      <c r="L93" s="183">
        <v>3633</v>
      </c>
      <c r="M93" s="760" t="s">
        <v>217</v>
      </c>
      <c r="N93" s="329">
        <v>100</v>
      </c>
      <c r="O93" s="2"/>
      <c r="P93" s="523"/>
      <c r="Q93" s="2"/>
      <c r="R93" s="2"/>
      <c r="S93" s="523"/>
      <c r="T93" s="2"/>
      <c r="U93" s="2"/>
      <c r="V93" s="2"/>
    </row>
    <row r="94" spans="1:22" ht="21.75" customHeight="1" x14ac:dyDescent="0.2">
      <c r="A94" s="682"/>
      <c r="B94" s="658"/>
      <c r="C94" s="708"/>
      <c r="D94" s="88"/>
      <c r="E94" s="823"/>
      <c r="F94" s="946" t="s">
        <v>47</v>
      </c>
      <c r="G94" s="925"/>
      <c r="H94" s="929"/>
      <c r="I94" s="75"/>
      <c r="J94" s="742"/>
      <c r="K94" s="454"/>
      <c r="L94" s="184"/>
      <c r="M94" s="761"/>
      <c r="N94" s="138"/>
      <c r="O94" s="2"/>
      <c r="P94" s="523"/>
      <c r="Q94" s="2"/>
      <c r="R94" s="2"/>
      <c r="S94" s="523"/>
      <c r="T94" s="2"/>
      <c r="U94" s="2"/>
      <c r="V94" s="2"/>
    </row>
    <row r="95" spans="1:22" ht="14.25" customHeight="1" x14ac:dyDescent="0.2">
      <c r="A95" s="682"/>
      <c r="B95" s="658"/>
      <c r="C95" s="663"/>
      <c r="D95" s="88"/>
      <c r="E95" s="823"/>
      <c r="F95" s="945"/>
      <c r="G95" s="926"/>
      <c r="H95" s="930"/>
      <c r="I95" s="53"/>
      <c r="J95" s="932"/>
      <c r="K95" s="99" t="s">
        <v>16</v>
      </c>
      <c r="L95" s="209">
        <f>L93</f>
        <v>3633</v>
      </c>
      <c r="M95" s="56"/>
      <c r="N95" s="557"/>
      <c r="O95" s="2"/>
      <c r="P95" s="523"/>
      <c r="Q95" s="2"/>
      <c r="R95" s="2"/>
      <c r="S95" s="523"/>
      <c r="T95" s="2"/>
      <c r="U95" s="2"/>
      <c r="V95" s="2"/>
    </row>
    <row r="96" spans="1:22" ht="21.75" customHeight="1" x14ac:dyDescent="0.2">
      <c r="A96" s="682"/>
      <c r="B96" s="658"/>
      <c r="C96" s="708"/>
      <c r="D96" s="106" t="s">
        <v>21</v>
      </c>
      <c r="E96" s="822" t="s">
        <v>236</v>
      </c>
      <c r="F96" s="353" t="s">
        <v>2</v>
      </c>
      <c r="G96" s="927" t="s">
        <v>181</v>
      </c>
      <c r="H96" s="928">
        <v>1002010103</v>
      </c>
      <c r="I96" s="74">
        <v>5</v>
      </c>
      <c r="J96" s="931" t="s">
        <v>97</v>
      </c>
      <c r="K96" s="167" t="s">
        <v>15</v>
      </c>
      <c r="L96" s="183">
        <v>8592</v>
      </c>
      <c r="M96" s="760"/>
      <c r="N96" s="329"/>
      <c r="O96" s="2"/>
      <c r="P96" s="523"/>
      <c r="Q96" s="2"/>
      <c r="R96" s="2"/>
      <c r="S96" s="523"/>
      <c r="T96" s="2"/>
      <c r="U96" s="2"/>
      <c r="V96" s="2"/>
    </row>
    <row r="97" spans="1:22" ht="21.75" customHeight="1" x14ac:dyDescent="0.2">
      <c r="A97" s="682"/>
      <c r="B97" s="658"/>
      <c r="C97" s="708"/>
      <c r="D97" s="88"/>
      <c r="E97" s="823"/>
      <c r="F97" s="946" t="s">
        <v>47</v>
      </c>
      <c r="G97" s="925"/>
      <c r="H97" s="929"/>
      <c r="I97" s="75"/>
      <c r="J97" s="742"/>
      <c r="K97" s="454"/>
      <c r="L97" s="184"/>
      <c r="M97" s="761"/>
      <c r="N97" s="138"/>
      <c r="O97" s="2"/>
      <c r="P97" s="523"/>
      <c r="Q97" s="2"/>
      <c r="R97" s="2"/>
      <c r="S97" s="523"/>
      <c r="T97" s="2"/>
      <c r="U97" s="2"/>
      <c r="V97" s="2"/>
    </row>
    <row r="98" spans="1:22" ht="14.25" customHeight="1" x14ac:dyDescent="0.2">
      <c r="A98" s="682"/>
      <c r="B98" s="658"/>
      <c r="C98" s="663"/>
      <c r="D98" s="88"/>
      <c r="E98" s="823"/>
      <c r="F98" s="945"/>
      <c r="G98" s="926"/>
      <c r="H98" s="930"/>
      <c r="I98" s="53"/>
      <c r="J98" s="932"/>
      <c r="K98" s="99" t="s">
        <v>16</v>
      </c>
      <c r="L98" s="209">
        <f>L96</f>
        <v>8592</v>
      </c>
      <c r="M98" s="56"/>
      <c r="N98" s="557"/>
      <c r="O98" s="2"/>
      <c r="P98" s="523"/>
      <c r="Q98" s="2"/>
      <c r="R98" s="2"/>
      <c r="S98" s="523"/>
      <c r="T98" s="2"/>
      <c r="U98" s="2"/>
      <c r="V98" s="2"/>
    </row>
    <row r="99" spans="1:22" ht="15" customHeight="1" thickBot="1" x14ac:dyDescent="0.25">
      <c r="A99" s="683"/>
      <c r="B99" s="685"/>
      <c r="C99" s="699"/>
      <c r="D99" s="63"/>
      <c r="E99" s="58"/>
      <c r="F99" s="1061"/>
      <c r="G99" s="1061"/>
      <c r="H99" s="1061"/>
      <c r="I99" s="1061"/>
      <c r="J99" s="1062"/>
      <c r="K99" s="219" t="s">
        <v>16</v>
      </c>
      <c r="L99" s="263">
        <f>L92+L89+L95+L98</f>
        <v>766882</v>
      </c>
      <c r="M99" s="330"/>
      <c r="N99" s="689"/>
      <c r="O99" s="2"/>
      <c r="P99" s="523"/>
      <c r="Q99" s="2"/>
      <c r="R99" s="2"/>
      <c r="S99" s="523"/>
      <c r="T99" s="2"/>
      <c r="U99" s="2"/>
      <c r="V99" s="2"/>
    </row>
    <row r="100" spans="1:22" ht="16.5" customHeight="1" x14ac:dyDescent="0.2">
      <c r="A100" s="681" t="s">
        <v>17</v>
      </c>
      <c r="B100" s="684" t="s">
        <v>14</v>
      </c>
      <c r="C100" s="338" t="s">
        <v>17</v>
      </c>
      <c r="D100" s="59"/>
      <c r="E100" s="159" t="s">
        <v>113</v>
      </c>
      <c r="F100" s="67" t="s">
        <v>47</v>
      </c>
      <c r="G100" s="1063" t="s">
        <v>198</v>
      </c>
      <c r="H100" s="673"/>
      <c r="I100" s="36">
        <v>5</v>
      </c>
      <c r="J100" s="655" t="s">
        <v>97</v>
      </c>
      <c r="K100" s="16"/>
      <c r="L100" s="208"/>
      <c r="M100" s="210"/>
      <c r="N100" s="239"/>
      <c r="O100" s="2"/>
      <c r="P100" s="523"/>
      <c r="Q100" s="2"/>
      <c r="R100" s="2"/>
      <c r="S100" s="523"/>
      <c r="T100" s="2"/>
      <c r="U100" s="2"/>
      <c r="V100" s="2"/>
    </row>
    <row r="101" spans="1:22" ht="45.75" customHeight="1" x14ac:dyDescent="0.2">
      <c r="A101" s="682"/>
      <c r="B101" s="658"/>
      <c r="C101" s="708"/>
      <c r="D101" s="106" t="s">
        <v>14</v>
      </c>
      <c r="E101" s="653" t="s">
        <v>170</v>
      </c>
      <c r="F101" s="354"/>
      <c r="G101" s="784"/>
      <c r="H101" s="674" t="s">
        <v>219</v>
      </c>
      <c r="I101" s="282"/>
      <c r="J101" s="650"/>
      <c r="K101" s="57" t="s">
        <v>15</v>
      </c>
      <c r="L101" s="645">
        <f>8690-1500</f>
        <v>7190</v>
      </c>
      <c r="M101" s="554" t="s">
        <v>169</v>
      </c>
      <c r="N101" s="545">
        <v>5</v>
      </c>
      <c r="O101" s="2"/>
      <c r="P101" s="523"/>
      <c r="Q101" s="2"/>
      <c r="R101" s="2"/>
      <c r="S101" s="523"/>
      <c r="T101" s="2"/>
      <c r="U101" s="2"/>
      <c r="V101" s="2"/>
    </row>
    <row r="102" spans="1:22" ht="28.5" customHeight="1" x14ac:dyDescent="0.2">
      <c r="A102" s="682"/>
      <c r="B102" s="658"/>
      <c r="C102" s="708"/>
      <c r="D102" s="106" t="s">
        <v>17</v>
      </c>
      <c r="E102" s="824" t="s">
        <v>237</v>
      </c>
      <c r="F102" s="354"/>
      <c r="G102" s="695"/>
      <c r="H102" s="958">
        <v>10010309</v>
      </c>
      <c r="I102" s="282"/>
      <c r="J102" s="742"/>
      <c r="K102" s="57" t="s">
        <v>15</v>
      </c>
      <c r="L102" s="469">
        <v>23474</v>
      </c>
      <c r="M102" s="730" t="s">
        <v>100</v>
      </c>
      <c r="N102" s="731">
        <v>1</v>
      </c>
      <c r="O102" s="2"/>
      <c r="P102" s="523"/>
      <c r="Q102" s="2"/>
      <c r="R102" s="2"/>
      <c r="S102" s="523"/>
      <c r="T102" s="2"/>
      <c r="U102" s="2"/>
      <c r="V102" s="2"/>
    </row>
    <row r="103" spans="1:22" ht="16.5" customHeight="1" thickBot="1" x14ac:dyDescent="0.25">
      <c r="A103" s="683"/>
      <c r="B103" s="685"/>
      <c r="C103" s="77"/>
      <c r="D103" s="207"/>
      <c r="E103" s="816"/>
      <c r="F103" s="336"/>
      <c r="G103" s="695"/>
      <c r="H103" s="959"/>
      <c r="I103" s="76"/>
      <c r="J103" s="743"/>
      <c r="K103" s="82" t="s">
        <v>16</v>
      </c>
      <c r="L103" s="189">
        <f>SUM(L101:L102)</f>
        <v>30664</v>
      </c>
      <c r="M103" s="732" t="s">
        <v>238</v>
      </c>
      <c r="N103" s="733">
        <v>50</v>
      </c>
      <c r="O103" s="2"/>
      <c r="P103" s="523"/>
      <c r="Q103" s="2"/>
      <c r="R103" s="2"/>
      <c r="S103" s="523"/>
      <c r="T103" s="2"/>
      <c r="U103" s="2"/>
      <c r="V103" s="2"/>
    </row>
    <row r="104" spans="1:22" s="2" customFormat="1" ht="27.75" customHeight="1" x14ac:dyDescent="0.2">
      <c r="A104" s="681" t="s">
        <v>17</v>
      </c>
      <c r="B104" s="684" t="s">
        <v>14</v>
      </c>
      <c r="C104" s="671" t="s">
        <v>19</v>
      </c>
      <c r="D104" s="59"/>
      <c r="E104" s="38" t="s">
        <v>37</v>
      </c>
      <c r="F104" s="287"/>
      <c r="G104" s="290"/>
      <c r="H104" s="379"/>
      <c r="I104" s="350"/>
      <c r="J104" s="655"/>
      <c r="K104" s="16"/>
      <c r="L104" s="459"/>
      <c r="M104" s="517"/>
      <c r="N104" s="239"/>
      <c r="O104" s="70"/>
      <c r="P104" s="304"/>
      <c r="Q104" s="70"/>
      <c r="R104" s="70"/>
      <c r="S104" s="304"/>
      <c r="T104" s="70"/>
    </row>
    <row r="105" spans="1:22" s="2" customFormat="1" ht="21.75" customHeight="1" x14ac:dyDescent="0.2">
      <c r="A105" s="682"/>
      <c r="B105" s="658"/>
      <c r="C105" s="708"/>
      <c r="D105" s="88" t="s">
        <v>14</v>
      </c>
      <c r="E105" s="823" t="s">
        <v>55</v>
      </c>
      <c r="F105" s="299" t="s">
        <v>2</v>
      </c>
      <c r="G105" s="950"/>
      <c r="H105" s="956">
        <v>10010402</v>
      </c>
      <c r="I105" s="51">
        <v>5</v>
      </c>
      <c r="J105" s="751" t="s">
        <v>97</v>
      </c>
      <c r="K105" s="64" t="s">
        <v>15</v>
      </c>
      <c r="L105" s="462">
        <f>164475+176</f>
        <v>164651</v>
      </c>
      <c r="M105" s="817" t="s">
        <v>96</v>
      </c>
      <c r="N105" s="308"/>
      <c r="O105" s="70"/>
      <c r="P105" s="304"/>
      <c r="Q105" s="70"/>
      <c r="R105" s="70"/>
      <c r="S105" s="304"/>
      <c r="T105" s="70"/>
    </row>
    <row r="106" spans="1:22" s="2" customFormat="1" x14ac:dyDescent="0.2">
      <c r="A106" s="682"/>
      <c r="B106" s="658"/>
      <c r="C106" s="690"/>
      <c r="D106" s="60"/>
      <c r="E106" s="823"/>
      <c r="F106" s="357"/>
      <c r="G106" s="950"/>
      <c r="H106" s="956"/>
      <c r="I106" s="75"/>
      <c r="J106" s="751"/>
      <c r="K106" s="369" t="s">
        <v>43</v>
      </c>
      <c r="L106" s="463">
        <v>1680</v>
      </c>
      <c r="M106" s="818"/>
      <c r="N106" s="309"/>
      <c r="O106" s="70"/>
      <c r="P106" s="304"/>
      <c r="Q106" s="70"/>
      <c r="R106" s="70"/>
      <c r="S106" s="304"/>
      <c r="T106" s="70"/>
    </row>
    <row r="107" spans="1:22" ht="25.5" customHeight="1" x14ac:dyDescent="0.2">
      <c r="A107" s="682"/>
      <c r="B107" s="658"/>
      <c r="C107" s="690"/>
      <c r="D107" s="60"/>
      <c r="E107" s="823"/>
      <c r="F107" s="357"/>
      <c r="G107" s="950"/>
      <c r="H107" s="956"/>
      <c r="I107" s="75"/>
      <c r="J107" s="751"/>
      <c r="K107" s="220" t="s">
        <v>3</v>
      </c>
      <c r="L107" s="464">
        <v>7443</v>
      </c>
      <c r="M107" s="818"/>
      <c r="N107" s="309"/>
    </row>
    <row r="108" spans="1:22" ht="20.25" customHeight="1" x14ac:dyDescent="0.2">
      <c r="A108" s="682"/>
      <c r="B108" s="658"/>
      <c r="C108" s="690"/>
      <c r="D108" s="62"/>
      <c r="E108" s="39"/>
      <c r="F108" s="652"/>
      <c r="G108" s="951"/>
      <c r="H108" s="957"/>
      <c r="I108" s="53"/>
      <c r="J108" s="752"/>
      <c r="K108" s="99" t="s">
        <v>16</v>
      </c>
      <c r="L108" s="460">
        <f>SUM(L105:L107)</f>
        <v>173774</v>
      </c>
      <c r="M108" s="818"/>
      <c r="N108" s="309">
        <v>100</v>
      </c>
    </row>
    <row r="109" spans="1:22" ht="27.75" customHeight="1" x14ac:dyDescent="0.2">
      <c r="A109" s="682"/>
      <c r="B109" s="658"/>
      <c r="C109" s="708"/>
      <c r="D109" s="106" t="s">
        <v>17</v>
      </c>
      <c r="E109" s="822" t="s">
        <v>111</v>
      </c>
      <c r="F109" s="112" t="s">
        <v>2</v>
      </c>
      <c r="G109" s="952"/>
      <c r="H109" s="928">
        <v>10010403</v>
      </c>
      <c r="I109" s="75">
        <v>5</v>
      </c>
      <c r="J109" s="819" t="s">
        <v>112</v>
      </c>
      <c r="K109" s="64" t="s">
        <v>15</v>
      </c>
      <c r="L109" s="462">
        <f>323464-176</f>
        <v>323288</v>
      </c>
      <c r="M109" s="518" t="s">
        <v>100</v>
      </c>
      <c r="N109" s="396" t="s">
        <v>114</v>
      </c>
    </row>
    <row r="110" spans="1:22" ht="26.25" customHeight="1" x14ac:dyDescent="0.2">
      <c r="A110" s="682"/>
      <c r="B110" s="658"/>
      <c r="C110" s="708"/>
      <c r="D110" s="88"/>
      <c r="E110" s="823"/>
      <c r="F110" s="354"/>
      <c r="G110" s="953"/>
      <c r="H110" s="930"/>
      <c r="I110" s="75"/>
      <c r="J110" s="820"/>
      <c r="K110" s="99" t="s">
        <v>16</v>
      </c>
      <c r="L110" s="460">
        <f>L109</f>
        <v>323288</v>
      </c>
      <c r="M110" s="399" t="s">
        <v>115</v>
      </c>
      <c r="N110" s="395">
        <v>100</v>
      </c>
    </row>
    <row r="111" spans="1:22" ht="15" customHeight="1" thickBot="1" x14ac:dyDescent="0.25">
      <c r="A111" s="687"/>
      <c r="B111" s="685"/>
      <c r="C111" s="672"/>
      <c r="D111" s="207"/>
      <c r="E111" s="58"/>
      <c r="F111" s="288"/>
      <c r="G111" s="291"/>
      <c r="H111" s="376"/>
      <c r="I111" s="693"/>
      <c r="J111" s="104"/>
      <c r="K111" s="219" t="s">
        <v>16</v>
      </c>
      <c r="L111" s="461">
        <f>L110+L108</f>
        <v>497062</v>
      </c>
      <c r="M111" s="400"/>
      <c r="N111" s="401"/>
    </row>
    <row r="112" spans="1:22" ht="15" customHeight="1" x14ac:dyDescent="0.2">
      <c r="A112" s="681" t="s">
        <v>17</v>
      </c>
      <c r="B112" s="684" t="s">
        <v>14</v>
      </c>
      <c r="C112" s="89" t="s">
        <v>21</v>
      </c>
      <c r="D112" s="135"/>
      <c r="E112" s="815" t="s">
        <v>138</v>
      </c>
      <c r="F112" s="971" t="s">
        <v>82</v>
      </c>
      <c r="G112" s="921" t="s">
        <v>200</v>
      </c>
      <c r="H112" s="778">
        <v>10010506</v>
      </c>
      <c r="I112" s="807">
        <v>2</v>
      </c>
      <c r="J112" s="810" t="s">
        <v>98</v>
      </c>
      <c r="K112" s="16" t="s">
        <v>15</v>
      </c>
      <c r="L112" s="208">
        <f>50/3.4528*1000</f>
        <v>14481</v>
      </c>
      <c r="M112" s="798" t="s">
        <v>54</v>
      </c>
      <c r="N112" s="242">
        <v>3</v>
      </c>
    </row>
    <row r="113" spans="1:14" ht="26.25" customHeight="1" x14ac:dyDescent="0.2">
      <c r="A113" s="682"/>
      <c r="B113" s="658"/>
      <c r="C113" s="52"/>
      <c r="D113" s="136"/>
      <c r="E113" s="821"/>
      <c r="F113" s="972"/>
      <c r="G113" s="962"/>
      <c r="H113" s="756"/>
      <c r="I113" s="808"/>
      <c r="J113" s="751"/>
      <c r="K113" s="34"/>
      <c r="L113" s="265"/>
      <c r="M113" s="799"/>
      <c r="N113" s="309"/>
    </row>
    <row r="114" spans="1:14" ht="16.5" customHeight="1" thickBot="1" x14ac:dyDescent="0.25">
      <c r="A114" s="682"/>
      <c r="B114" s="658"/>
      <c r="C114" s="52"/>
      <c r="D114" s="137"/>
      <c r="E114" s="816"/>
      <c r="F114" s="301" t="s">
        <v>168</v>
      </c>
      <c r="G114" s="922"/>
      <c r="H114" s="779"/>
      <c r="I114" s="973"/>
      <c r="J114" s="986"/>
      <c r="K114" s="82" t="s">
        <v>16</v>
      </c>
      <c r="L114" s="189">
        <f>SUM(L112:L113)</f>
        <v>14481</v>
      </c>
      <c r="M114" s="800"/>
      <c r="N114" s="689"/>
    </row>
    <row r="115" spans="1:14" ht="29.25" customHeight="1" x14ac:dyDescent="0.2">
      <c r="A115" s="681" t="s">
        <v>17</v>
      </c>
      <c r="B115" s="684" t="s">
        <v>14</v>
      </c>
      <c r="C115" s="89" t="s">
        <v>22</v>
      </c>
      <c r="D115" s="135"/>
      <c r="E115" s="470" t="s">
        <v>240</v>
      </c>
      <c r="F115" s="811"/>
      <c r="G115" s="921" t="s">
        <v>199</v>
      </c>
      <c r="H115" s="531"/>
      <c r="I115" s="807">
        <v>2</v>
      </c>
      <c r="J115" s="810" t="s">
        <v>98</v>
      </c>
      <c r="K115" s="16"/>
      <c r="L115" s="208"/>
      <c r="M115" s="472"/>
      <c r="N115" s="242"/>
    </row>
    <row r="116" spans="1:14" ht="48.75" customHeight="1" x14ac:dyDescent="0.2">
      <c r="A116" s="682"/>
      <c r="B116" s="658"/>
      <c r="C116" s="52"/>
      <c r="D116" s="136"/>
      <c r="E116" s="161" t="s">
        <v>230</v>
      </c>
      <c r="F116" s="774"/>
      <c r="G116" s="962"/>
      <c r="H116" s="471">
        <v>10010507</v>
      </c>
      <c r="I116" s="808"/>
      <c r="J116" s="751"/>
      <c r="K116" s="34" t="s">
        <v>15</v>
      </c>
      <c r="L116" s="265">
        <f>100/3.4528*1000</f>
        <v>28962</v>
      </c>
      <c r="M116" s="473" t="s">
        <v>137</v>
      </c>
      <c r="N116" s="309"/>
    </row>
    <row r="117" spans="1:14" ht="54.75" customHeight="1" x14ac:dyDescent="0.2">
      <c r="A117" s="682"/>
      <c r="B117" s="658"/>
      <c r="C117" s="52"/>
      <c r="D117" s="136"/>
      <c r="E117" s="619" t="s">
        <v>226</v>
      </c>
      <c r="F117" s="774"/>
      <c r="G117" s="962"/>
      <c r="H117" s="620">
        <v>10010605</v>
      </c>
      <c r="I117" s="808"/>
      <c r="J117" s="751"/>
      <c r="K117" s="64" t="s">
        <v>15</v>
      </c>
      <c r="L117" s="194">
        <v>30000</v>
      </c>
      <c r="M117" s="477" t="s">
        <v>231</v>
      </c>
      <c r="N117" s="308">
        <v>100</v>
      </c>
    </row>
    <row r="118" spans="1:14" ht="30.75" customHeight="1" x14ac:dyDescent="0.2">
      <c r="A118" s="682"/>
      <c r="B118" s="658"/>
      <c r="C118" s="52"/>
      <c r="D118" s="136"/>
      <c r="E118" s="911" t="s">
        <v>234</v>
      </c>
      <c r="F118" s="774"/>
      <c r="G118" s="962"/>
      <c r="H118" s="958">
        <v>10010606</v>
      </c>
      <c r="I118" s="808"/>
      <c r="J118" s="751"/>
      <c r="K118" s="64" t="s">
        <v>15</v>
      </c>
      <c r="L118" s="194">
        <v>6030</v>
      </c>
      <c r="M118" s="477"/>
      <c r="N118" s="308"/>
    </row>
    <row r="119" spans="1:14" ht="21" customHeight="1" x14ac:dyDescent="0.2">
      <c r="A119" s="130"/>
      <c r="B119" s="131"/>
      <c r="C119" s="129"/>
      <c r="D119" s="137"/>
      <c r="E119" s="910"/>
      <c r="F119" s="976"/>
      <c r="G119" s="963"/>
      <c r="H119" s="957"/>
      <c r="I119" s="809"/>
      <c r="J119" s="752"/>
      <c r="K119" s="102" t="s">
        <v>16</v>
      </c>
      <c r="L119" s="266">
        <f>SUM(L115:L118)</f>
        <v>64992</v>
      </c>
      <c r="M119" s="474"/>
      <c r="N119" s="243"/>
    </row>
    <row r="120" spans="1:14" ht="36.75" customHeight="1" x14ac:dyDescent="0.2">
      <c r="A120" s="93" t="s">
        <v>17</v>
      </c>
      <c r="B120" s="659" t="s">
        <v>14</v>
      </c>
      <c r="C120" s="94" t="s">
        <v>23</v>
      </c>
      <c r="D120" s="332"/>
      <c r="E120" s="824" t="s">
        <v>232</v>
      </c>
      <c r="F120" s="676" t="s">
        <v>83</v>
      </c>
      <c r="G120" s="300" t="s">
        <v>201</v>
      </c>
      <c r="H120" s="958">
        <v>10010302</v>
      </c>
      <c r="I120" s="677">
        <v>6</v>
      </c>
      <c r="J120" s="678" t="s">
        <v>171</v>
      </c>
      <c r="K120" s="100" t="s">
        <v>4</v>
      </c>
      <c r="L120" s="195">
        <v>135842</v>
      </c>
      <c r="M120" s="227" t="s">
        <v>100</v>
      </c>
      <c r="N120" s="168">
        <v>100</v>
      </c>
    </row>
    <row r="121" spans="1:14" ht="27" customHeight="1" x14ac:dyDescent="0.2">
      <c r="A121" s="682"/>
      <c r="B121" s="658"/>
      <c r="C121" s="708"/>
      <c r="D121" s="333"/>
      <c r="E121" s="821"/>
      <c r="F121" s="357" t="s">
        <v>2</v>
      </c>
      <c r="G121" s="977"/>
      <c r="H121" s="956"/>
      <c r="I121" s="677">
        <v>5</v>
      </c>
      <c r="J121" s="974" t="s">
        <v>251</v>
      </c>
      <c r="K121" s="169" t="s">
        <v>146</v>
      </c>
      <c r="L121" s="196">
        <v>223048</v>
      </c>
      <c r="M121" s="967" t="s">
        <v>102</v>
      </c>
      <c r="N121" s="545">
        <v>10</v>
      </c>
    </row>
    <row r="122" spans="1:14" ht="13.5" thickBot="1" x14ac:dyDescent="0.25">
      <c r="A122" s="701"/>
      <c r="B122" s="658"/>
      <c r="C122" s="708"/>
      <c r="D122" s="333"/>
      <c r="E122" s="816"/>
      <c r="F122" s="357"/>
      <c r="G122" s="950"/>
      <c r="H122" s="959"/>
      <c r="I122" s="359"/>
      <c r="J122" s="975"/>
      <c r="K122" s="102" t="s">
        <v>16</v>
      </c>
      <c r="L122" s="266">
        <f>SUM(L120:L121)</f>
        <v>358890</v>
      </c>
      <c r="M122" s="968"/>
      <c r="N122" s="240"/>
    </row>
    <row r="123" spans="1:14" ht="33.75" customHeight="1" x14ac:dyDescent="0.2">
      <c r="A123" s="681" t="s">
        <v>17</v>
      </c>
      <c r="B123" s="684" t="s">
        <v>14</v>
      </c>
      <c r="C123" s="671" t="s">
        <v>44</v>
      </c>
      <c r="D123" s="37"/>
      <c r="E123" s="815" t="s">
        <v>141</v>
      </c>
      <c r="F123" s="811"/>
      <c r="G123" s="1047" t="s">
        <v>201</v>
      </c>
      <c r="H123" s="1052">
        <v>10010406</v>
      </c>
      <c r="I123" s="133">
        <v>6</v>
      </c>
      <c r="J123" s="813" t="s">
        <v>171</v>
      </c>
      <c r="K123" s="100" t="s">
        <v>15</v>
      </c>
      <c r="L123" s="195">
        <f>350/3.4528*1000</f>
        <v>101367</v>
      </c>
      <c r="M123" s="393" t="s">
        <v>140</v>
      </c>
      <c r="N123" s="239">
        <v>100</v>
      </c>
    </row>
    <row r="124" spans="1:14" ht="13.5" thickBot="1" x14ac:dyDescent="0.25">
      <c r="A124" s="683"/>
      <c r="B124" s="685"/>
      <c r="C124" s="699"/>
      <c r="D124" s="132"/>
      <c r="E124" s="816"/>
      <c r="F124" s="812"/>
      <c r="G124" s="1048"/>
      <c r="H124" s="959"/>
      <c r="I124" s="134"/>
      <c r="J124" s="814"/>
      <c r="K124" s="221" t="s">
        <v>16</v>
      </c>
      <c r="L124" s="267">
        <f>L123</f>
        <v>101367</v>
      </c>
      <c r="M124" s="394"/>
      <c r="N124" s="689"/>
    </row>
    <row r="125" spans="1:14" ht="17.25" customHeight="1" thickBot="1" x14ac:dyDescent="0.25">
      <c r="A125" s="687" t="s">
        <v>17</v>
      </c>
      <c r="B125" s="5" t="s">
        <v>14</v>
      </c>
      <c r="C125" s="966" t="s">
        <v>20</v>
      </c>
      <c r="D125" s="762"/>
      <c r="E125" s="762"/>
      <c r="F125" s="762"/>
      <c r="G125" s="762"/>
      <c r="H125" s="762"/>
      <c r="I125" s="762"/>
      <c r="J125" s="762"/>
      <c r="K125" s="762"/>
      <c r="L125" s="177">
        <f>L124+L122+L119+L114+L111+L103+L99</f>
        <v>1834338</v>
      </c>
      <c r="M125" s="796"/>
      <c r="N125" s="797"/>
    </row>
    <row r="126" spans="1:14" ht="19.5" customHeight="1" thickBot="1" x14ac:dyDescent="0.25">
      <c r="A126" s="701" t="s">
        <v>17</v>
      </c>
      <c r="B126" s="5" t="s">
        <v>17</v>
      </c>
      <c r="C126" s="1037" t="s">
        <v>40</v>
      </c>
      <c r="D126" s="1038"/>
      <c r="E126" s="1038"/>
      <c r="F126" s="1038"/>
      <c r="G126" s="292"/>
      <c r="H126" s="377"/>
      <c r="I126" s="351"/>
      <c r="J126" s="225"/>
      <c r="K126" s="28"/>
      <c r="L126" s="181"/>
      <c r="M126" s="22"/>
      <c r="N126" s="199"/>
    </row>
    <row r="127" spans="1:14" ht="18" customHeight="1" x14ac:dyDescent="0.2">
      <c r="A127" s="686" t="s">
        <v>17</v>
      </c>
      <c r="B127" s="684" t="s">
        <v>17</v>
      </c>
      <c r="C127" s="698" t="s">
        <v>17</v>
      </c>
      <c r="D127" s="763"/>
      <c r="E127" s="978" t="s">
        <v>247</v>
      </c>
      <c r="F127" s="793"/>
      <c r="G127" s="921" t="s">
        <v>202</v>
      </c>
      <c r="H127" s="778">
        <v>10010502</v>
      </c>
      <c r="I127" s="982">
        <v>2</v>
      </c>
      <c r="J127" s="748" t="s">
        <v>98</v>
      </c>
      <c r="K127" s="170" t="s">
        <v>15</v>
      </c>
      <c r="L127" s="190">
        <v>513107</v>
      </c>
      <c r="M127" s="228" t="s">
        <v>142</v>
      </c>
      <c r="N127" s="118">
        <v>410</v>
      </c>
    </row>
    <row r="128" spans="1:14" ht="27.75" customHeight="1" x14ac:dyDescent="0.2">
      <c r="A128" s="701"/>
      <c r="B128" s="658"/>
      <c r="C128" s="690"/>
      <c r="D128" s="985"/>
      <c r="E128" s="979"/>
      <c r="F128" s="981"/>
      <c r="G128" s="962"/>
      <c r="H128" s="756"/>
      <c r="I128" s="983"/>
      <c r="J128" s="837"/>
      <c r="K128" s="172"/>
      <c r="L128" s="174"/>
      <c r="M128" s="425" t="s">
        <v>143</v>
      </c>
      <c r="N128" s="516">
        <v>22</v>
      </c>
    </row>
    <row r="129" spans="1:20" ht="13.5" thickBot="1" x14ac:dyDescent="0.25">
      <c r="A129" s="687"/>
      <c r="B129" s="140"/>
      <c r="C129" s="699"/>
      <c r="D129" s="795"/>
      <c r="E129" s="980"/>
      <c r="F129" s="794"/>
      <c r="G129" s="922"/>
      <c r="H129" s="779"/>
      <c r="I129" s="984"/>
      <c r="J129" s="749"/>
      <c r="K129" s="171" t="s">
        <v>16</v>
      </c>
      <c r="L129" s="191">
        <f>SUM(L127:L128)</f>
        <v>513107</v>
      </c>
      <c r="M129" s="229" t="s">
        <v>85</v>
      </c>
      <c r="N129" s="68">
        <v>380</v>
      </c>
    </row>
    <row r="130" spans="1:20" ht="15.75" customHeight="1" thickBot="1" x14ac:dyDescent="0.25">
      <c r="A130" s="6" t="s">
        <v>17</v>
      </c>
      <c r="B130" s="5" t="s">
        <v>17</v>
      </c>
      <c r="C130" s="966" t="s">
        <v>20</v>
      </c>
      <c r="D130" s="762"/>
      <c r="E130" s="762"/>
      <c r="F130" s="762"/>
      <c r="G130" s="762"/>
      <c r="H130" s="762"/>
      <c r="I130" s="762"/>
      <c r="J130" s="762"/>
      <c r="K130" s="762"/>
      <c r="L130" s="177">
        <f>L129</f>
        <v>513107</v>
      </c>
      <c r="M130" s="969"/>
      <c r="N130" s="970"/>
    </row>
    <row r="131" spans="1:20" ht="15.75" customHeight="1" thickBot="1" x14ac:dyDescent="0.25">
      <c r="A131" s="686" t="s">
        <v>17</v>
      </c>
      <c r="B131" s="42" t="s">
        <v>19</v>
      </c>
      <c r="C131" s="948" t="s">
        <v>39</v>
      </c>
      <c r="D131" s="948"/>
      <c r="E131" s="948"/>
      <c r="F131" s="948"/>
      <c r="G131" s="948"/>
      <c r="H131" s="948"/>
      <c r="I131" s="948"/>
      <c r="J131" s="948"/>
      <c r="K131" s="948"/>
      <c r="L131" s="948"/>
      <c r="M131" s="948"/>
      <c r="N131" s="949"/>
    </row>
    <row r="132" spans="1:20" ht="29.25" customHeight="1" x14ac:dyDescent="0.2">
      <c r="A132" s="681" t="s">
        <v>17</v>
      </c>
      <c r="B132" s="684" t="s">
        <v>19</v>
      </c>
      <c r="C132" s="698" t="s">
        <v>14</v>
      </c>
      <c r="D132" s="141"/>
      <c r="E132" s="142" t="s">
        <v>41</v>
      </c>
      <c r="F132" s="654"/>
      <c r="G132" s="293" t="s">
        <v>203</v>
      </c>
      <c r="H132" s="293"/>
      <c r="I132" s="143">
        <v>6</v>
      </c>
      <c r="J132" s="960" t="s">
        <v>101</v>
      </c>
      <c r="K132" s="212"/>
      <c r="L132" s="268"/>
      <c r="M132" s="144"/>
      <c r="N132" s="244"/>
    </row>
    <row r="133" spans="1:20" s="2" customFormat="1" ht="48" customHeight="1" x14ac:dyDescent="0.2">
      <c r="A133" s="682"/>
      <c r="B133" s="658"/>
      <c r="C133" s="49"/>
      <c r="D133" s="145" t="s">
        <v>14</v>
      </c>
      <c r="E133" s="146" t="s">
        <v>62</v>
      </c>
      <c r="F133" s="675"/>
      <c r="G133" s="303" t="s">
        <v>205</v>
      </c>
      <c r="H133" s="382">
        <v>10010801</v>
      </c>
      <c r="I133" s="680"/>
      <c r="J133" s="961"/>
      <c r="K133" s="213" t="s">
        <v>15</v>
      </c>
      <c r="L133" s="269">
        <f>800/3.4528*1000+5145+2900</f>
        <v>239741</v>
      </c>
      <c r="M133" s="347" t="s">
        <v>158</v>
      </c>
      <c r="N133" s="147">
        <v>14</v>
      </c>
      <c r="O133" s="70"/>
      <c r="P133" s="304"/>
      <c r="Q133" s="70"/>
      <c r="R133" s="70"/>
      <c r="S133" s="304"/>
      <c r="T133" s="70"/>
    </row>
    <row r="134" spans="1:20" ht="46.5" customHeight="1" x14ac:dyDescent="0.2">
      <c r="A134" s="682"/>
      <c r="B134" s="658"/>
      <c r="C134" s="49"/>
      <c r="D134" s="62" t="s">
        <v>17</v>
      </c>
      <c r="E134" s="327" t="s">
        <v>49</v>
      </c>
      <c r="F134" s="675"/>
      <c r="G134" s="328" t="s">
        <v>206</v>
      </c>
      <c r="H134" s="381">
        <v>10010802</v>
      </c>
      <c r="I134" s="703"/>
      <c r="J134" s="710"/>
      <c r="K134" s="222" t="s">
        <v>15</v>
      </c>
      <c r="L134" s="270">
        <f>227/3.4528*1000</f>
        <v>65744</v>
      </c>
      <c r="M134" s="688" t="s">
        <v>159</v>
      </c>
      <c r="N134" s="245">
        <v>95</v>
      </c>
    </row>
    <row r="135" spans="1:20" s="2" customFormat="1" ht="51" customHeight="1" x14ac:dyDescent="0.2">
      <c r="A135" s="682"/>
      <c r="B135" s="658"/>
      <c r="C135" s="49"/>
      <c r="D135" s="62" t="s">
        <v>19</v>
      </c>
      <c r="E135" s="327" t="s">
        <v>51</v>
      </c>
      <c r="F135" s="675"/>
      <c r="G135" s="303" t="s">
        <v>207</v>
      </c>
      <c r="H135" s="382">
        <v>10010804</v>
      </c>
      <c r="I135" s="703"/>
      <c r="J135" s="710"/>
      <c r="K135" s="222" t="s">
        <v>15</v>
      </c>
      <c r="L135" s="270">
        <v>90187</v>
      </c>
      <c r="M135" s="688" t="s">
        <v>165</v>
      </c>
      <c r="N135" s="245">
        <v>30</v>
      </c>
      <c r="O135" s="70"/>
      <c r="P135" s="304"/>
      <c r="Q135" s="70"/>
      <c r="R135" s="70"/>
      <c r="S135" s="304"/>
      <c r="T135" s="70"/>
    </row>
    <row r="136" spans="1:20" ht="50.25" customHeight="1" x14ac:dyDescent="0.2">
      <c r="A136" s="682"/>
      <c r="B136" s="658"/>
      <c r="C136" s="49"/>
      <c r="D136" s="62" t="s">
        <v>21</v>
      </c>
      <c r="E136" s="327" t="s">
        <v>56</v>
      </c>
      <c r="F136" s="675"/>
      <c r="G136" s="328" t="s">
        <v>208</v>
      </c>
      <c r="H136" s="380">
        <v>10010808</v>
      </c>
      <c r="I136" s="680"/>
      <c r="J136" s="710"/>
      <c r="K136" s="222" t="s">
        <v>15</v>
      </c>
      <c r="L136" s="270">
        <f>80/3.4528*1000</f>
        <v>23170</v>
      </c>
      <c r="M136" s="688" t="s">
        <v>160</v>
      </c>
      <c r="N136" s="245">
        <v>6</v>
      </c>
    </row>
    <row r="137" spans="1:20" ht="47.25" customHeight="1" x14ac:dyDescent="0.2">
      <c r="A137" s="682"/>
      <c r="B137" s="658"/>
      <c r="C137" s="49"/>
      <c r="D137" s="62" t="s">
        <v>22</v>
      </c>
      <c r="E137" s="327" t="s">
        <v>50</v>
      </c>
      <c r="F137" s="679"/>
      <c r="G137" s="328" t="s">
        <v>209</v>
      </c>
      <c r="H137" s="383">
        <v>10010803</v>
      </c>
      <c r="I137" s="680"/>
      <c r="J137" s="710"/>
      <c r="K137" s="222" t="s">
        <v>15</v>
      </c>
      <c r="L137" s="270">
        <f>16190-2900</f>
        <v>13290</v>
      </c>
      <c r="M137" s="688" t="s">
        <v>59</v>
      </c>
      <c r="N137" s="384">
        <v>40.1</v>
      </c>
    </row>
    <row r="138" spans="1:20" s="101" customFormat="1" ht="26.25" customHeight="1" x14ac:dyDescent="0.2">
      <c r="A138" s="682"/>
      <c r="B138" s="658"/>
      <c r="C138" s="690"/>
      <c r="D138" s="60" t="s">
        <v>23</v>
      </c>
      <c r="E138" s="149" t="s">
        <v>52</v>
      </c>
      <c r="F138" s="679"/>
      <c r="G138" s="962" t="s">
        <v>210</v>
      </c>
      <c r="H138" s="756">
        <v>10010806</v>
      </c>
      <c r="I138" s="680"/>
      <c r="J138" s="710"/>
      <c r="K138" s="222" t="s">
        <v>15</v>
      </c>
      <c r="L138" s="270">
        <f>2023.9/3.4528*1000</f>
        <v>586162</v>
      </c>
      <c r="M138" s="204" t="s">
        <v>161</v>
      </c>
      <c r="N138" s="205">
        <v>100</v>
      </c>
      <c r="O138" s="318"/>
      <c r="P138" s="319"/>
      <c r="Q138" s="320"/>
      <c r="R138" s="318"/>
      <c r="S138" s="319"/>
      <c r="T138" s="318"/>
    </row>
    <row r="139" spans="1:20" s="101" customFormat="1" ht="24" customHeight="1" x14ac:dyDescent="0.2">
      <c r="A139" s="682"/>
      <c r="B139" s="658"/>
      <c r="C139" s="690"/>
      <c r="D139" s="60"/>
      <c r="E139" s="149"/>
      <c r="F139" s="305"/>
      <c r="G139" s="963"/>
      <c r="H139" s="756"/>
      <c r="I139" s="680"/>
      <c r="J139" s="710"/>
      <c r="K139" s="222" t="s">
        <v>18</v>
      </c>
      <c r="L139" s="270">
        <v>6864</v>
      </c>
      <c r="M139" s="204"/>
      <c r="N139" s="205"/>
      <c r="O139" s="318"/>
      <c r="P139" s="319"/>
      <c r="Q139" s="320"/>
      <c r="R139" s="318"/>
      <c r="S139" s="319"/>
      <c r="T139" s="318"/>
    </row>
    <row r="140" spans="1:20" ht="46.5" customHeight="1" x14ac:dyDescent="0.2">
      <c r="A140" s="682"/>
      <c r="B140" s="658"/>
      <c r="C140" s="690"/>
      <c r="D140" s="152" t="s">
        <v>44</v>
      </c>
      <c r="E140" s="158" t="s">
        <v>90</v>
      </c>
      <c r="F140" s="302"/>
      <c r="G140" s="303" t="s">
        <v>211</v>
      </c>
      <c r="H140" s="382">
        <v>10010703</v>
      </c>
      <c r="I140" s="360"/>
      <c r="J140" s="151"/>
      <c r="K140" s="214" t="s">
        <v>15</v>
      </c>
      <c r="L140" s="371">
        <f>1355.7/3.4528*1000</f>
        <v>392638</v>
      </c>
      <c r="M140" s="156" t="s">
        <v>162</v>
      </c>
      <c r="N140" s="372">
        <v>16</v>
      </c>
    </row>
    <row r="141" spans="1:20" ht="47.25" customHeight="1" x14ac:dyDescent="0.2">
      <c r="A141" s="682"/>
      <c r="B141" s="658"/>
      <c r="C141" s="690"/>
      <c r="D141" s="150" t="s">
        <v>109</v>
      </c>
      <c r="E141" s="160" t="s">
        <v>167</v>
      </c>
      <c r="F141" s="302"/>
      <c r="G141" s="294" t="s">
        <v>212</v>
      </c>
      <c r="H141" s="381">
        <v>10010800</v>
      </c>
      <c r="I141" s="360"/>
      <c r="J141" s="151"/>
      <c r="K141" s="215" t="s">
        <v>15</v>
      </c>
      <c r="L141" s="192">
        <f>200/3.4528*1000</f>
        <v>57924</v>
      </c>
      <c r="M141" s="355" t="s">
        <v>163</v>
      </c>
      <c r="N141" s="55">
        <v>1</v>
      </c>
    </row>
    <row r="142" spans="1:20" ht="15" customHeight="1" thickBot="1" x14ac:dyDescent="0.25">
      <c r="A142" s="682"/>
      <c r="B142" s="658"/>
      <c r="C142" s="690"/>
      <c r="D142" s="63"/>
      <c r="E142" s="58"/>
      <c r="F142" s="288"/>
      <c r="G142" s="291"/>
      <c r="H142" s="376"/>
      <c r="I142" s="693"/>
      <c r="J142" s="153"/>
      <c r="K142" s="223" t="s">
        <v>16</v>
      </c>
      <c r="L142" s="271">
        <f>SUM(L133:L141)</f>
        <v>1475720</v>
      </c>
      <c r="M142" s="157"/>
      <c r="N142" s="689"/>
    </row>
    <row r="143" spans="1:20" ht="35.25" customHeight="1" x14ac:dyDescent="0.2">
      <c r="A143" s="681" t="s">
        <v>17</v>
      </c>
      <c r="B143" s="684" t="s">
        <v>19</v>
      </c>
      <c r="C143" s="698" t="s">
        <v>17</v>
      </c>
      <c r="D143" s="992"/>
      <c r="E143" s="994" t="s">
        <v>134</v>
      </c>
      <c r="F143" s="990" t="s">
        <v>88</v>
      </c>
      <c r="G143" s="921" t="s">
        <v>204</v>
      </c>
      <c r="H143" s="778">
        <v>10010704</v>
      </c>
      <c r="I143" s="996">
        <v>6</v>
      </c>
      <c r="J143" s="960" t="s">
        <v>171</v>
      </c>
      <c r="K143" s="226" t="s">
        <v>15</v>
      </c>
      <c r="L143" s="268">
        <f>73/3.4528*1000-5145</f>
        <v>15997</v>
      </c>
      <c r="M143" s="964" t="s">
        <v>89</v>
      </c>
      <c r="N143" s="242">
        <v>1</v>
      </c>
    </row>
    <row r="144" spans="1:20" ht="15.75" customHeight="1" thickBot="1" x14ac:dyDescent="0.25">
      <c r="A144" s="683"/>
      <c r="B144" s="685"/>
      <c r="C144" s="699"/>
      <c r="D144" s="993"/>
      <c r="E144" s="995"/>
      <c r="F144" s="991"/>
      <c r="G144" s="922"/>
      <c r="H144" s="779"/>
      <c r="I144" s="997"/>
      <c r="J144" s="998"/>
      <c r="K144" s="171" t="s">
        <v>16</v>
      </c>
      <c r="L144" s="191">
        <f>L143</f>
        <v>15997</v>
      </c>
      <c r="M144" s="965"/>
      <c r="N144" s="689"/>
    </row>
    <row r="145" spans="1:35" ht="46.5" customHeight="1" x14ac:dyDescent="0.2">
      <c r="A145" s="1024" t="s">
        <v>17</v>
      </c>
      <c r="B145" s="835" t="s">
        <v>19</v>
      </c>
      <c r="C145" s="41" t="s">
        <v>19</v>
      </c>
      <c r="D145" s="1015"/>
      <c r="E145" s="1026" t="s">
        <v>48</v>
      </c>
      <c r="F145" s="990"/>
      <c r="G145" s="921" t="s">
        <v>213</v>
      </c>
      <c r="H145" s="778">
        <v>1001080700</v>
      </c>
      <c r="I145" s="1027">
        <v>2</v>
      </c>
      <c r="J145" s="748" t="s">
        <v>99</v>
      </c>
      <c r="K145" s="224" t="s">
        <v>15</v>
      </c>
      <c r="L145" s="272">
        <f>108/3.4528*1000</f>
        <v>31279</v>
      </c>
      <c r="M145" s="1008" t="s">
        <v>164</v>
      </c>
      <c r="N145" s="246">
        <v>320</v>
      </c>
    </row>
    <row r="146" spans="1:35" ht="15.75" customHeight="1" thickBot="1" x14ac:dyDescent="0.25">
      <c r="A146" s="1025"/>
      <c r="B146" s="836"/>
      <c r="C146" s="40"/>
      <c r="D146" s="1017"/>
      <c r="E146" s="1020"/>
      <c r="F146" s="991"/>
      <c r="G146" s="922"/>
      <c r="H146" s="779"/>
      <c r="I146" s="1028"/>
      <c r="J146" s="749"/>
      <c r="K146" s="171" t="s">
        <v>16</v>
      </c>
      <c r="L146" s="273">
        <f>L145</f>
        <v>31279</v>
      </c>
      <c r="M146" s="1009"/>
      <c r="N146" s="689"/>
    </row>
    <row r="147" spans="1:35" ht="15.75" customHeight="1" x14ac:dyDescent="0.2">
      <c r="A147" s="1010" t="s">
        <v>17</v>
      </c>
      <c r="B147" s="1013" t="s">
        <v>19</v>
      </c>
      <c r="C147" s="41" t="s">
        <v>22</v>
      </c>
      <c r="D147" s="1015"/>
      <c r="E147" s="1018" t="s">
        <v>148</v>
      </c>
      <c r="F147" s="811" t="s">
        <v>86</v>
      </c>
      <c r="G147" s="921" t="s">
        <v>214</v>
      </c>
      <c r="H147" s="778">
        <v>10010702</v>
      </c>
      <c r="I147" s="1040">
        <v>2</v>
      </c>
      <c r="J147" s="748" t="s">
        <v>99</v>
      </c>
      <c r="K147" s="170" t="s">
        <v>15</v>
      </c>
      <c r="L147" s="190">
        <f>64/3.4528*1000</f>
        <v>18536</v>
      </c>
      <c r="M147" s="1008" t="s">
        <v>61</v>
      </c>
      <c r="N147" s="247">
        <v>9</v>
      </c>
    </row>
    <row r="148" spans="1:35" ht="75.75" customHeight="1" x14ac:dyDescent="0.2">
      <c r="A148" s="1011"/>
      <c r="B148" s="858"/>
      <c r="C148" s="501"/>
      <c r="D148" s="1016"/>
      <c r="E148" s="1019"/>
      <c r="F148" s="774"/>
      <c r="G148" s="962"/>
      <c r="H148" s="756"/>
      <c r="I148" s="1041"/>
      <c r="J148" s="837"/>
      <c r="K148" s="455"/>
      <c r="L148" s="174"/>
      <c r="M148" s="1029"/>
      <c r="N148" s="502"/>
    </row>
    <row r="149" spans="1:35" ht="17.25" customHeight="1" thickBot="1" x14ac:dyDescent="0.25">
      <c r="A149" s="1012"/>
      <c r="B149" s="1014"/>
      <c r="C149" s="40"/>
      <c r="D149" s="1017"/>
      <c r="E149" s="1020"/>
      <c r="F149" s="812"/>
      <c r="G149" s="922"/>
      <c r="H149" s="779"/>
      <c r="I149" s="1042"/>
      <c r="J149" s="749"/>
      <c r="K149" s="171" t="s">
        <v>16</v>
      </c>
      <c r="L149" s="273">
        <f>SUM(L147:L147)</f>
        <v>18536</v>
      </c>
      <c r="M149" s="154"/>
      <c r="N149" s="689"/>
    </row>
    <row r="150" spans="1:35" ht="14.25" customHeight="1" thickBot="1" x14ac:dyDescent="0.25">
      <c r="A150" s="17" t="s">
        <v>17</v>
      </c>
      <c r="B150" s="18" t="s">
        <v>19</v>
      </c>
      <c r="C150" s="966" t="s">
        <v>20</v>
      </c>
      <c r="D150" s="762"/>
      <c r="E150" s="762"/>
      <c r="F150" s="762"/>
      <c r="G150" s="762"/>
      <c r="H150" s="762"/>
      <c r="I150" s="762"/>
      <c r="J150" s="762"/>
      <c r="K150" s="762"/>
      <c r="L150" s="177">
        <f>L149+L146+L144+L142</f>
        <v>1541532</v>
      </c>
      <c r="M150" s="1023"/>
      <c r="N150" s="970"/>
    </row>
    <row r="151" spans="1:35" s="31" customFormat="1" ht="14.25" customHeight="1" thickBot="1" x14ac:dyDescent="0.25">
      <c r="A151" s="17" t="s">
        <v>17</v>
      </c>
      <c r="B151" s="759" t="s">
        <v>6</v>
      </c>
      <c r="C151" s="759"/>
      <c r="D151" s="759"/>
      <c r="E151" s="759"/>
      <c r="F151" s="759"/>
      <c r="G151" s="759"/>
      <c r="H151" s="759"/>
      <c r="I151" s="759"/>
      <c r="J151" s="759"/>
      <c r="K151" s="759"/>
      <c r="L151" s="274">
        <f>L150+L130+L125</f>
        <v>3888977</v>
      </c>
      <c r="M151" s="1006"/>
      <c r="N151" s="1007"/>
      <c r="O151" s="312"/>
      <c r="P151" s="313"/>
      <c r="Q151" s="312"/>
      <c r="R151" s="312"/>
      <c r="S151" s="313"/>
      <c r="T151" s="312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1:35" s="3" customFormat="1" ht="15.75" customHeight="1" thickBot="1" x14ac:dyDescent="0.25">
      <c r="A152" s="19" t="s">
        <v>5</v>
      </c>
      <c r="B152" s="1039" t="s">
        <v>7</v>
      </c>
      <c r="C152" s="1039"/>
      <c r="D152" s="1039"/>
      <c r="E152" s="1039"/>
      <c r="F152" s="1039"/>
      <c r="G152" s="1039"/>
      <c r="H152" s="1039"/>
      <c r="I152" s="1039"/>
      <c r="J152" s="1039"/>
      <c r="K152" s="1039"/>
      <c r="L152" s="193">
        <f>L151+L82</f>
        <v>61680933</v>
      </c>
      <c r="M152" s="1021"/>
      <c r="N152" s="1022"/>
      <c r="O152" s="321"/>
      <c r="P152" s="322"/>
      <c r="Q152" s="321"/>
      <c r="R152" s="321"/>
      <c r="S152" s="322"/>
      <c r="T152" s="321"/>
    </row>
    <row r="153" spans="1:35" s="4" customFormat="1" ht="23.25" customHeight="1" x14ac:dyDescent="0.2">
      <c r="A153" s="1056" t="s">
        <v>248</v>
      </c>
      <c r="B153" s="1056"/>
      <c r="C153" s="1056"/>
      <c r="D153" s="1056"/>
      <c r="E153" s="1056"/>
      <c r="F153" s="1056"/>
      <c r="G153" s="1056"/>
      <c r="H153" s="1056"/>
      <c r="I153" s="1056"/>
      <c r="J153" s="1056"/>
      <c r="K153" s="1056"/>
      <c r="L153" s="1056"/>
      <c r="M153" s="1056"/>
      <c r="N153" s="1056"/>
      <c r="O153" s="323"/>
      <c r="P153" s="324"/>
      <c r="Q153" s="70"/>
      <c r="R153" s="323"/>
      <c r="S153" s="324"/>
      <c r="T153" s="323"/>
    </row>
    <row r="154" spans="1:35" s="4" customFormat="1" ht="13.5" thickBot="1" x14ac:dyDescent="0.25">
      <c r="A154" s="1043" t="s">
        <v>0</v>
      </c>
      <c r="B154" s="1043"/>
      <c r="C154" s="1043"/>
      <c r="D154" s="1043"/>
      <c r="E154" s="1043"/>
      <c r="F154" s="1043"/>
      <c r="G154" s="1043"/>
      <c r="H154" s="1043"/>
      <c r="I154" s="1043"/>
      <c r="J154" s="1043"/>
      <c r="K154" s="1043"/>
      <c r="L154" s="1043"/>
      <c r="M154" s="80"/>
      <c r="N154" s="80"/>
      <c r="O154" s="323"/>
      <c r="P154" s="324"/>
      <c r="Q154" s="323"/>
      <c r="R154" s="323"/>
      <c r="S154" s="324"/>
      <c r="T154" s="323"/>
    </row>
    <row r="155" spans="1:35" s="4" customFormat="1" ht="34.5" thickBot="1" x14ac:dyDescent="0.25">
      <c r="A155" s="1057" t="s">
        <v>1</v>
      </c>
      <c r="B155" s="1058"/>
      <c r="C155" s="1058"/>
      <c r="D155" s="1058"/>
      <c r="E155" s="1058"/>
      <c r="F155" s="1058"/>
      <c r="G155" s="1058"/>
      <c r="H155" s="1058"/>
      <c r="I155" s="1058"/>
      <c r="J155" s="1058"/>
      <c r="K155" s="1059"/>
      <c r="L155" s="275" t="s">
        <v>173</v>
      </c>
      <c r="M155" s="24"/>
      <c r="N155" s="341"/>
      <c r="O155" s="323"/>
      <c r="P155" s="324"/>
      <c r="Q155" s="323"/>
      <c r="R155" s="323"/>
      <c r="S155" s="324"/>
      <c r="T155" s="323"/>
    </row>
    <row r="156" spans="1:35" s="4" customFormat="1" x14ac:dyDescent="0.2">
      <c r="A156" s="1003" t="s">
        <v>25</v>
      </c>
      <c r="B156" s="1004"/>
      <c r="C156" s="1004"/>
      <c r="D156" s="1004"/>
      <c r="E156" s="1004"/>
      <c r="F156" s="1004"/>
      <c r="G156" s="1004"/>
      <c r="H156" s="1004"/>
      <c r="I156" s="1004"/>
      <c r="J156" s="1004"/>
      <c r="K156" s="1005"/>
      <c r="L156" s="276">
        <f>SUM(L157:L163)</f>
        <v>61131020</v>
      </c>
      <c r="M156" s="25"/>
      <c r="N156" s="230"/>
      <c r="O156" s="323"/>
      <c r="P156" s="324"/>
      <c r="Q156" s="323"/>
      <c r="R156" s="323"/>
      <c r="S156" s="324"/>
      <c r="T156" s="323"/>
    </row>
    <row r="157" spans="1:35" s="4" customFormat="1" x14ac:dyDescent="0.2">
      <c r="A157" s="999" t="s">
        <v>28</v>
      </c>
      <c r="B157" s="1000"/>
      <c r="C157" s="1000"/>
      <c r="D157" s="1000"/>
      <c r="E157" s="1000"/>
      <c r="F157" s="1000"/>
      <c r="G157" s="1000"/>
      <c r="H157" s="1000"/>
      <c r="I157" s="1000"/>
      <c r="J157" s="1001"/>
      <c r="K157" s="1002"/>
      <c r="L157" s="277">
        <f>SUMIF(K16:K147,"sb",L16:L147)</f>
        <v>23967131</v>
      </c>
      <c r="M157" s="200"/>
      <c r="N157" s="342"/>
      <c r="O157" s="323"/>
      <c r="P157" s="324"/>
      <c r="Q157" s="323"/>
      <c r="R157" s="323"/>
      <c r="S157" s="324"/>
      <c r="T157" s="323"/>
    </row>
    <row r="158" spans="1:35" s="4" customFormat="1" x14ac:dyDescent="0.2">
      <c r="A158" s="999" t="s">
        <v>35</v>
      </c>
      <c r="B158" s="1000"/>
      <c r="C158" s="1000"/>
      <c r="D158" s="1000"/>
      <c r="E158" s="1000"/>
      <c r="F158" s="1000"/>
      <c r="G158" s="1000"/>
      <c r="H158" s="1000"/>
      <c r="I158" s="1000"/>
      <c r="J158" s="1001"/>
      <c r="K158" s="1002"/>
      <c r="L158" s="277">
        <f>SUMIF(K16:K147,"sb(sp)",L16:L147)</f>
        <v>5008279</v>
      </c>
      <c r="M158" s="200"/>
      <c r="N158" s="342"/>
      <c r="O158" s="323"/>
      <c r="P158" s="324"/>
      <c r="Q158" s="323"/>
      <c r="R158" s="323"/>
      <c r="S158" s="324"/>
      <c r="T158" s="323"/>
    </row>
    <row r="159" spans="1:35" s="4" customFormat="1" x14ac:dyDescent="0.2">
      <c r="A159" s="987" t="s">
        <v>221</v>
      </c>
      <c r="B159" s="988"/>
      <c r="C159" s="988"/>
      <c r="D159" s="988"/>
      <c r="E159" s="988"/>
      <c r="F159" s="988"/>
      <c r="G159" s="988"/>
      <c r="H159" s="988"/>
      <c r="I159" s="988"/>
      <c r="J159" s="988"/>
      <c r="K159" s="989"/>
      <c r="L159" s="277">
        <f>SUMIF(K16:K147,"sb(spl)",L16:L147)</f>
        <v>681245</v>
      </c>
      <c r="M159" s="200"/>
      <c r="N159" s="342"/>
      <c r="O159" s="323"/>
      <c r="P159" s="324"/>
      <c r="Q159" s="323"/>
      <c r="R159" s="323"/>
      <c r="S159" s="324"/>
      <c r="T159" s="323"/>
    </row>
    <row r="160" spans="1:35" s="4" customFormat="1" x14ac:dyDescent="0.2">
      <c r="A160" s="987" t="s">
        <v>215</v>
      </c>
      <c r="B160" s="988"/>
      <c r="C160" s="988"/>
      <c r="D160" s="988"/>
      <c r="E160" s="988"/>
      <c r="F160" s="988"/>
      <c r="G160" s="988"/>
      <c r="H160" s="988"/>
      <c r="I160" s="988"/>
      <c r="J160" s="988"/>
      <c r="K160" s="989"/>
      <c r="L160" s="277">
        <f>SUMIF(K16:K147,"sb(p)",L16:L147)</f>
        <v>167800</v>
      </c>
      <c r="M160" s="200"/>
      <c r="N160" s="342"/>
      <c r="O160" s="323"/>
      <c r="P160" s="324"/>
      <c r="Q160" s="323"/>
      <c r="R160" s="323"/>
      <c r="S160" s="324"/>
      <c r="T160" s="323"/>
    </row>
    <row r="161" spans="1:20" s="4" customFormat="1" x14ac:dyDescent="0.2">
      <c r="A161" s="999" t="s">
        <v>29</v>
      </c>
      <c r="B161" s="1000"/>
      <c r="C161" s="1000"/>
      <c r="D161" s="1000"/>
      <c r="E161" s="1000"/>
      <c r="F161" s="1000"/>
      <c r="G161" s="1000"/>
      <c r="H161" s="1000"/>
      <c r="I161" s="1000"/>
      <c r="J161" s="1001"/>
      <c r="K161" s="1002"/>
      <c r="L161" s="277">
        <f>SUMIF(K16:K147,"sb(vb)",L16:L147)</f>
        <v>31162292</v>
      </c>
      <c r="M161" s="200"/>
      <c r="N161" s="342"/>
      <c r="O161" s="323"/>
      <c r="P161" s="324"/>
      <c r="Q161" s="323"/>
      <c r="R161" s="323"/>
      <c r="S161" s="324"/>
      <c r="T161" s="323"/>
    </row>
    <row r="162" spans="1:20" s="4" customFormat="1" x14ac:dyDescent="0.2">
      <c r="A162" s="1049" t="s">
        <v>222</v>
      </c>
      <c r="B162" s="1050"/>
      <c r="C162" s="1050"/>
      <c r="D162" s="1050"/>
      <c r="E162" s="1050"/>
      <c r="F162" s="1050"/>
      <c r="G162" s="1050"/>
      <c r="H162" s="1050"/>
      <c r="I162" s="1050"/>
      <c r="J162" s="1050"/>
      <c r="K162" s="1051"/>
      <c r="L162" s="307">
        <f>SUMIF(K16:K147,"sb(l)",L16:L147)</f>
        <v>8431</v>
      </c>
      <c r="M162" s="200"/>
      <c r="N162" s="342"/>
      <c r="O162" s="323"/>
      <c r="P162" s="324"/>
      <c r="Q162" s="323"/>
      <c r="R162" s="323"/>
      <c r="S162" s="324"/>
      <c r="T162" s="323"/>
    </row>
    <row r="163" spans="1:20" s="4" customFormat="1" ht="13.5" thickBot="1" x14ac:dyDescent="0.25">
      <c r="A163" s="786" t="s">
        <v>218</v>
      </c>
      <c r="B163" s="787"/>
      <c r="C163" s="787"/>
      <c r="D163" s="787"/>
      <c r="E163" s="787"/>
      <c r="F163" s="787"/>
      <c r="G163" s="787"/>
      <c r="H163" s="787"/>
      <c r="I163" s="787"/>
      <c r="J163" s="787"/>
      <c r="K163" s="788"/>
      <c r="L163" s="366">
        <f>SUMIF(K16:K147,"PF",L16:L147)</f>
        <v>135842</v>
      </c>
      <c r="M163" s="200"/>
      <c r="N163" s="342"/>
      <c r="O163" s="323"/>
      <c r="P163" s="324"/>
      <c r="Q163" s="323"/>
      <c r="R163" s="323"/>
      <c r="S163" s="324"/>
      <c r="T163" s="323"/>
    </row>
    <row r="164" spans="1:20" s="4" customFormat="1" ht="13.5" thickBot="1" x14ac:dyDescent="0.25">
      <c r="A164" s="1053" t="s">
        <v>26</v>
      </c>
      <c r="B164" s="1054"/>
      <c r="C164" s="1054"/>
      <c r="D164" s="1054"/>
      <c r="E164" s="1054"/>
      <c r="F164" s="1054"/>
      <c r="G164" s="1054"/>
      <c r="H164" s="1054"/>
      <c r="I164" s="1054"/>
      <c r="J164" s="1054"/>
      <c r="K164" s="1055"/>
      <c r="L164" s="278">
        <f>SUM(L165:L166)</f>
        <v>549913</v>
      </c>
      <c r="M164" s="202"/>
      <c r="N164" s="345"/>
      <c r="O164" s="323"/>
      <c r="P164" s="324"/>
      <c r="Q164" s="323"/>
      <c r="R164" s="323"/>
      <c r="S164" s="324"/>
      <c r="T164" s="323"/>
    </row>
    <row r="165" spans="1:20" x14ac:dyDescent="0.2">
      <c r="A165" s="1033" t="s">
        <v>30</v>
      </c>
      <c r="B165" s="1034"/>
      <c r="C165" s="1034"/>
      <c r="D165" s="1034"/>
      <c r="E165" s="1034"/>
      <c r="F165" s="1034"/>
      <c r="G165" s="1034"/>
      <c r="H165" s="1034"/>
      <c r="I165" s="1034"/>
      <c r="J165" s="1035"/>
      <c r="K165" s="1036"/>
      <c r="L165" s="279">
        <f>SUMIF(K16:K147,"es",L16:L147)</f>
        <v>326865</v>
      </c>
      <c r="M165" s="201"/>
      <c r="N165" s="343"/>
    </row>
    <row r="166" spans="1:20" ht="13.5" thickBot="1" x14ac:dyDescent="0.25">
      <c r="A166" s="1044" t="s">
        <v>147</v>
      </c>
      <c r="B166" s="1045"/>
      <c r="C166" s="1045"/>
      <c r="D166" s="1045"/>
      <c r="E166" s="1045"/>
      <c r="F166" s="1045"/>
      <c r="G166" s="1045"/>
      <c r="H166" s="1045"/>
      <c r="I166" s="1045"/>
      <c r="J166" s="1045"/>
      <c r="K166" s="1046"/>
      <c r="L166" s="280">
        <f>SUMIF(K16:K147,K121,L16:L147)</f>
        <v>223048</v>
      </c>
      <c r="M166" s="201"/>
      <c r="N166" s="343"/>
    </row>
    <row r="167" spans="1:20" ht="13.5" thickBot="1" x14ac:dyDescent="0.25">
      <c r="A167" s="1030" t="s">
        <v>27</v>
      </c>
      <c r="B167" s="1031"/>
      <c r="C167" s="1031"/>
      <c r="D167" s="1031"/>
      <c r="E167" s="1031"/>
      <c r="F167" s="1031"/>
      <c r="G167" s="1031"/>
      <c r="H167" s="1031"/>
      <c r="I167" s="1031"/>
      <c r="J167" s="1031"/>
      <c r="K167" s="1032"/>
      <c r="L167" s="281">
        <f>L164+L156</f>
        <v>61680933</v>
      </c>
      <c r="M167" s="203"/>
      <c r="N167" s="344"/>
    </row>
    <row r="168" spans="1:20" ht="60" customHeight="1" x14ac:dyDescent="0.2"/>
    <row r="169" spans="1:20" x14ac:dyDescent="0.2">
      <c r="E169" s="1"/>
      <c r="F169" s="29"/>
      <c r="G169" s="296"/>
      <c r="H169" s="375"/>
      <c r="I169" s="335"/>
      <c r="J169" s="29"/>
      <c r="K169" s="29"/>
      <c r="L169" s="197"/>
      <c r="O169" s="1"/>
      <c r="P169" s="1"/>
      <c r="Q169" s="1"/>
      <c r="R169" s="1"/>
      <c r="S169" s="1"/>
      <c r="T169" s="1"/>
    </row>
    <row r="170" spans="1:20" x14ac:dyDescent="0.2">
      <c r="E170" s="1"/>
      <c r="F170" s="29"/>
      <c r="G170" s="296"/>
      <c r="H170" s="375"/>
      <c r="I170" s="335"/>
      <c r="J170" s="29"/>
      <c r="K170" s="29"/>
      <c r="L170" s="197"/>
      <c r="N170" s="105"/>
      <c r="O170" s="1"/>
      <c r="P170" s="1"/>
      <c r="Q170" s="1"/>
      <c r="R170" s="1"/>
      <c r="S170" s="1"/>
      <c r="T170" s="1"/>
    </row>
    <row r="171" spans="1:20" x14ac:dyDescent="0.2">
      <c r="E171" s="1"/>
      <c r="F171" s="29"/>
      <c r="G171" s="296"/>
      <c r="H171" s="375"/>
      <c r="I171" s="335"/>
      <c r="J171" s="29"/>
      <c r="K171" s="29"/>
      <c r="L171" s="197"/>
      <c r="O171" s="1"/>
      <c r="P171" s="1"/>
      <c r="Q171" s="1"/>
      <c r="R171" s="1"/>
      <c r="S171" s="1"/>
      <c r="T171" s="1"/>
    </row>
    <row r="172" spans="1:20" x14ac:dyDescent="0.2">
      <c r="E172" s="1"/>
      <c r="F172" s="29"/>
      <c r="G172" s="296"/>
      <c r="H172" s="375"/>
      <c r="I172" s="335"/>
      <c r="J172" s="29"/>
      <c r="K172" s="29"/>
      <c r="L172" s="197"/>
      <c r="O172" s="1"/>
      <c r="P172" s="1"/>
      <c r="Q172" s="1"/>
      <c r="R172" s="1"/>
      <c r="S172" s="1"/>
      <c r="T172" s="1"/>
    </row>
    <row r="173" spans="1:20" x14ac:dyDescent="0.2">
      <c r="E173" s="1"/>
      <c r="F173" s="29"/>
      <c r="G173" s="296"/>
      <c r="H173" s="375"/>
      <c r="I173" s="335"/>
      <c r="J173" s="29"/>
      <c r="K173" s="29"/>
      <c r="L173" s="197"/>
      <c r="O173" s="1"/>
      <c r="P173" s="1"/>
      <c r="Q173" s="1"/>
      <c r="R173" s="1"/>
      <c r="S173" s="1"/>
      <c r="T173" s="1"/>
    </row>
    <row r="174" spans="1:20" x14ac:dyDescent="0.2">
      <c r="E174" s="1"/>
      <c r="F174" s="29"/>
      <c r="G174" s="296"/>
      <c r="H174" s="375"/>
      <c r="I174" s="335"/>
      <c r="J174" s="29"/>
      <c r="K174" s="29"/>
      <c r="L174" s="197"/>
      <c r="O174" s="1"/>
      <c r="P174" s="1"/>
      <c r="Q174" s="1"/>
      <c r="R174" s="1"/>
      <c r="S174" s="1"/>
      <c r="T174" s="1"/>
    </row>
    <row r="175" spans="1:20" x14ac:dyDescent="0.2">
      <c r="E175" s="1"/>
      <c r="F175" s="29"/>
      <c r="G175" s="296"/>
      <c r="H175" s="375"/>
      <c r="I175" s="335"/>
      <c r="J175" s="29"/>
      <c r="K175" s="29"/>
      <c r="L175" s="197"/>
      <c r="O175" s="1"/>
      <c r="P175" s="1"/>
      <c r="Q175" s="1"/>
      <c r="R175" s="1"/>
      <c r="S175" s="1"/>
      <c r="T175" s="1"/>
    </row>
    <row r="176" spans="1:20" x14ac:dyDescent="0.2">
      <c r="E176" s="1"/>
      <c r="F176" s="29"/>
      <c r="G176" s="296"/>
      <c r="H176" s="375"/>
      <c r="I176" s="335"/>
      <c r="J176" s="29"/>
      <c r="K176" s="29"/>
      <c r="L176" s="197"/>
      <c r="O176" s="1"/>
      <c r="P176" s="1"/>
      <c r="Q176" s="1"/>
      <c r="R176" s="1"/>
      <c r="S176" s="1"/>
      <c r="T176" s="1"/>
    </row>
    <row r="177" spans="1:20" x14ac:dyDescent="0.2">
      <c r="E177" s="1"/>
      <c r="F177" s="29"/>
      <c r="G177" s="296"/>
      <c r="H177" s="375"/>
      <c r="I177" s="335"/>
      <c r="J177" s="29"/>
      <c r="K177" s="29"/>
      <c r="L177" s="197"/>
      <c r="O177" s="1"/>
      <c r="P177" s="1"/>
      <c r="Q177" s="1"/>
      <c r="R177" s="1"/>
      <c r="S177" s="1"/>
      <c r="T177" s="1"/>
    </row>
    <row r="178" spans="1:20" x14ac:dyDescent="0.2">
      <c r="E178" s="1"/>
      <c r="F178" s="29"/>
      <c r="G178" s="296"/>
      <c r="H178" s="375"/>
      <c r="I178" s="335"/>
      <c r="J178" s="29"/>
      <c r="K178" s="29"/>
      <c r="L178" s="197"/>
      <c r="O178" s="1"/>
      <c r="P178" s="1"/>
      <c r="Q178" s="1"/>
      <c r="R178" s="1"/>
      <c r="S178" s="1"/>
      <c r="T178" s="1"/>
    </row>
    <row r="179" spans="1:20" x14ac:dyDescent="0.2">
      <c r="E179" s="1"/>
      <c r="F179" s="29"/>
      <c r="G179" s="296"/>
      <c r="H179" s="375"/>
      <c r="I179" s="335"/>
      <c r="J179" s="29"/>
      <c r="K179" s="29"/>
      <c r="L179" s="197"/>
      <c r="O179" s="1"/>
      <c r="P179" s="1"/>
      <c r="Q179" s="1"/>
      <c r="R179" s="1"/>
      <c r="S179" s="1"/>
      <c r="T179" s="1"/>
    </row>
    <row r="180" spans="1:20" x14ac:dyDescent="0.2">
      <c r="A180" s="1"/>
      <c r="B180" s="1"/>
      <c r="C180" s="1"/>
      <c r="D180" s="1"/>
      <c r="E180" s="1"/>
      <c r="F180" s="29"/>
      <c r="G180" s="296"/>
      <c r="H180" s="375"/>
      <c r="I180" s="335"/>
      <c r="J180" s="29"/>
      <c r="K180" s="29"/>
      <c r="L180" s="197"/>
      <c r="M180" s="1"/>
      <c r="N180" s="1"/>
      <c r="O180" s="1"/>
      <c r="P180" s="1"/>
      <c r="Q180" s="1"/>
      <c r="R180" s="1"/>
      <c r="S180" s="1"/>
      <c r="T180" s="1"/>
    </row>
    <row r="181" spans="1:20" x14ac:dyDescent="0.2">
      <c r="A181" s="1"/>
      <c r="B181" s="1"/>
      <c r="C181" s="1"/>
      <c r="D181" s="1"/>
      <c r="E181" s="1"/>
      <c r="F181" s="29"/>
      <c r="G181" s="296"/>
      <c r="H181" s="375"/>
      <c r="I181" s="335"/>
      <c r="J181" s="29"/>
      <c r="K181" s="29"/>
      <c r="L181" s="197"/>
      <c r="M181" s="1"/>
      <c r="N181" s="1"/>
      <c r="O181" s="1"/>
      <c r="P181" s="1"/>
      <c r="Q181" s="1"/>
      <c r="R181" s="1"/>
      <c r="S181" s="1"/>
      <c r="T181" s="1"/>
    </row>
    <row r="182" spans="1:20" x14ac:dyDescent="0.2">
      <c r="A182" s="1"/>
      <c r="B182" s="1"/>
      <c r="C182" s="1"/>
      <c r="D182" s="1"/>
      <c r="E182" s="1"/>
      <c r="F182" s="29"/>
      <c r="G182" s="296"/>
      <c r="H182" s="375"/>
      <c r="I182" s="335"/>
      <c r="J182" s="29"/>
      <c r="K182" s="29"/>
      <c r="L182" s="197"/>
      <c r="M182" s="1"/>
      <c r="N182" s="1"/>
      <c r="O182" s="1"/>
      <c r="P182" s="1"/>
      <c r="Q182" s="1"/>
      <c r="R182" s="1"/>
      <c r="S182" s="1"/>
      <c r="T182" s="1"/>
    </row>
    <row r="183" spans="1:20" x14ac:dyDescent="0.2">
      <c r="A183" s="1"/>
      <c r="B183" s="1"/>
      <c r="C183" s="1"/>
      <c r="D183" s="1"/>
      <c r="E183" s="1"/>
      <c r="F183" s="29"/>
      <c r="G183" s="296"/>
      <c r="H183" s="375"/>
      <c r="I183" s="335"/>
      <c r="J183" s="29"/>
      <c r="K183" s="29"/>
      <c r="L183" s="197"/>
      <c r="M183" s="1"/>
      <c r="N183" s="1"/>
      <c r="O183" s="1"/>
      <c r="P183" s="1"/>
      <c r="Q183" s="1"/>
      <c r="R183" s="1"/>
      <c r="S183" s="1"/>
      <c r="T183" s="1"/>
    </row>
    <row r="184" spans="1:20" x14ac:dyDescent="0.2">
      <c r="A184" s="1"/>
      <c r="B184" s="1"/>
      <c r="C184" s="1"/>
      <c r="D184" s="1"/>
      <c r="E184" s="1"/>
      <c r="F184" s="29"/>
      <c r="G184" s="296"/>
      <c r="H184" s="375"/>
      <c r="I184" s="335"/>
      <c r="J184" s="29"/>
      <c r="K184" s="29"/>
      <c r="L184" s="197"/>
      <c r="M184" s="1"/>
      <c r="N184" s="1"/>
      <c r="O184" s="1"/>
      <c r="P184" s="1"/>
      <c r="Q184" s="1"/>
      <c r="R184" s="1"/>
      <c r="S184" s="1"/>
      <c r="T184" s="1"/>
    </row>
    <row r="185" spans="1:20" x14ac:dyDescent="0.2">
      <c r="A185" s="1"/>
      <c r="B185" s="1"/>
      <c r="C185" s="1"/>
      <c r="D185" s="1"/>
      <c r="E185" s="1"/>
      <c r="F185" s="29"/>
      <c r="G185" s="296"/>
      <c r="H185" s="375"/>
      <c r="I185" s="335"/>
      <c r="J185" s="29"/>
      <c r="K185" s="29"/>
      <c r="L185" s="197"/>
      <c r="M185" s="1"/>
      <c r="N185" s="1"/>
      <c r="O185" s="1"/>
      <c r="P185" s="1"/>
      <c r="Q185" s="1"/>
      <c r="R185" s="1"/>
      <c r="S185" s="1"/>
      <c r="T185" s="1"/>
    </row>
    <row r="186" spans="1:20" x14ac:dyDescent="0.2">
      <c r="A186" s="1"/>
      <c r="B186" s="1"/>
      <c r="C186" s="1"/>
      <c r="D186" s="1"/>
      <c r="E186" s="1"/>
      <c r="F186" s="29"/>
      <c r="G186" s="296"/>
      <c r="H186" s="375"/>
      <c r="I186" s="335"/>
      <c r="J186" s="29"/>
      <c r="K186" s="29"/>
      <c r="L186" s="197"/>
      <c r="M186" s="1"/>
      <c r="N186" s="1"/>
      <c r="O186" s="1"/>
      <c r="P186" s="1"/>
      <c r="Q186" s="1"/>
      <c r="R186" s="1"/>
      <c r="S186" s="1"/>
      <c r="T186" s="1"/>
    </row>
    <row r="187" spans="1:20" x14ac:dyDescent="0.2">
      <c r="A187" s="1"/>
      <c r="B187" s="1"/>
      <c r="C187" s="1"/>
      <c r="D187" s="1"/>
      <c r="E187" s="1"/>
      <c r="F187" s="29"/>
      <c r="G187" s="296"/>
      <c r="H187" s="375"/>
      <c r="I187" s="335"/>
      <c r="J187" s="29"/>
      <c r="K187" s="29"/>
      <c r="L187" s="197"/>
      <c r="M187" s="1"/>
      <c r="N187" s="1"/>
      <c r="O187" s="1"/>
      <c r="P187" s="1"/>
      <c r="Q187" s="1"/>
      <c r="R187" s="1"/>
      <c r="S187" s="1"/>
      <c r="T187" s="1"/>
    </row>
    <row r="188" spans="1:20" x14ac:dyDescent="0.2">
      <c r="A188" s="1"/>
      <c r="B188" s="1"/>
      <c r="C188" s="1"/>
      <c r="D188" s="1"/>
      <c r="E188" s="1"/>
      <c r="F188" s="29"/>
      <c r="G188" s="296"/>
      <c r="H188" s="375"/>
      <c r="I188" s="335"/>
      <c r="J188" s="29"/>
      <c r="K188" s="29"/>
      <c r="L188" s="197"/>
      <c r="M188" s="1"/>
      <c r="N188" s="1"/>
      <c r="O188" s="1"/>
      <c r="P188" s="1"/>
      <c r="Q188" s="1"/>
      <c r="R188" s="1"/>
      <c r="S188" s="1"/>
      <c r="T188" s="1"/>
    </row>
    <row r="189" spans="1:20" x14ac:dyDescent="0.2">
      <c r="A189" s="1"/>
      <c r="B189" s="1"/>
      <c r="C189" s="1"/>
      <c r="D189" s="1"/>
      <c r="E189" s="1"/>
      <c r="F189" s="29"/>
      <c r="G189" s="296"/>
      <c r="H189" s="375"/>
      <c r="I189" s="335"/>
      <c r="J189" s="29"/>
      <c r="K189" s="29"/>
      <c r="L189" s="197"/>
      <c r="M189" s="1"/>
      <c r="N189" s="1"/>
      <c r="O189" s="1"/>
      <c r="P189" s="1"/>
      <c r="Q189" s="1"/>
      <c r="R189" s="1"/>
      <c r="S189" s="1"/>
      <c r="T189" s="1"/>
    </row>
    <row r="190" spans="1:20" x14ac:dyDescent="0.2">
      <c r="A190" s="1"/>
      <c r="B190" s="1"/>
      <c r="C190" s="1"/>
      <c r="D190" s="1"/>
      <c r="E190" s="1"/>
      <c r="F190" s="29"/>
      <c r="G190" s="296"/>
      <c r="H190" s="375"/>
      <c r="I190" s="335"/>
      <c r="J190" s="29"/>
      <c r="K190" s="29"/>
      <c r="L190" s="197"/>
      <c r="M190" s="1"/>
      <c r="N190" s="1"/>
      <c r="O190" s="1"/>
      <c r="P190" s="1"/>
      <c r="Q190" s="1"/>
      <c r="R190" s="1"/>
      <c r="S190" s="1"/>
      <c r="T190" s="1"/>
    </row>
    <row r="191" spans="1:20" x14ac:dyDescent="0.2">
      <c r="A191" s="1"/>
      <c r="B191" s="1"/>
      <c r="C191" s="1"/>
      <c r="D191" s="1"/>
      <c r="E191" s="1"/>
      <c r="F191" s="29"/>
      <c r="G191" s="296"/>
      <c r="H191" s="375"/>
      <c r="I191" s="335"/>
      <c r="J191" s="29"/>
      <c r="K191" s="29"/>
      <c r="L191" s="197"/>
      <c r="M191" s="1"/>
      <c r="N191" s="1"/>
      <c r="O191" s="1"/>
      <c r="P191" s="1"/>
      <c r="Q191" s="1"/>
      <c r="R191" s="1"/>
      <c r="S191" s="1"/>
      <c r="T191" s="1"/>
    </row>
    <row r="192" spans="1:20" x14ac:dyDescent="0.2">
      <c r="A192" s="1"/>
      <c r="B192" s="1"/>
      <c r="C192" s="1"/>
      <c r="D192" s="1"/>
      <c r="E192" s="1"/>
      <c r="F192" s="29"/>
      <c r="G192" s="296"/>
      <c r="H192" s="375"/>
      <c r="I192" s="335"/>
      <c r="J192" s="29"/>
      <c r="K192" s="29"/>
      <c r="L192" s="197"/>
      <c r="M192" s="1"/>
      <c r="N192" s="1"/>
      <c r="O192" s="1"/>
      <c r="P192" s="1"/>
      <c r="Q192" s="1"/>
      <c r="R192" s="1"/>
      <c r="S192" s="1"/>
      <c r="T192" s="1"/>
    </row>
  </sheetData>
  <mergeCells count="325">
    <mergeCell ref="E16:E19"/>
    <mergeCell ref="G72:G74"/>
    <mergeCell ref="G75:G76"/>
    <mergeCell ref="J16:J17"/>
    <mergeCell ref="H118:H119"/>
    <mergeCell ref="K2:N2"/>
    <mergeCell ref="K1:N1"/>
    <mergeCell ref="K3:N3"/>
    <mergeCell ref="G33:G37"/>
    <mergeCell ref="I43:I45"/>
    <mergeCell ref="H8:H10"/>
    <mergeCell ref="H16:H21"/>
    <mergeCell ref="H22:H26"/>
    <mergeCell ref="H27:H32"/>
    <mergeCell ref="H33:H37"/>
    <mergeCell ref="H38:H42"/>
    <mergeCell ref="H43:H47"/>
    <mergeCell ref="G16:G21"/>
    <mergeCell ref="G22:G26"/>
    <mergeCell ref="G27:G32"/>
    <mergeCell ref="A4:N4"/>
    <mergeCell ref="A5:N5"/>
    <mergeCell ref="A6:N6"/>
    <mergeCell ref="A27:A29"/>
    <mergeCell ref="C27:C29"/>
    <mergeCell ref="E60:E61"/>
    <mergeCell ref="H48:H52"/>
    <mergeCell ref="H54:H55"/>
    <mergeCell ref="F27:F30"/>
    <mergeCell ref="I27:I30"/>
    <mergeCell ref="C22:C24"/>
    <mergeCell ref="D22:D24"/>
    <mergeCell ref="E22:E24"/>
    <mergeCell ref="F22:F24"/>
    <mergeCell ref="D27:D30"/>
    <mergeCell ref="E27:E30"/>
    <mergeCell ref="G48:G52"/>
    <mergeCell ref="G54:G55"/>
    <mergeCell ref="I56:I57"/>
    <mergeCell ref="I54:I55"/>
    <mergeCell ref="I22:I24"/>
    <mergeCell ref="G43:G47"/>
    <mergeCell ref="E43:E45"/>
    <mergeCell ref="D43:D45"/>
    <mergeCell ref="G38:G42"/>
    <mergeCell ref="E48:E52"/>
    <mergeCell ref="M90:M91"/>
    <mergeCell ref="A79:A80"/>
    <mergeCell ref="C79:C80"/>
    <mergeCell ref="J79:J80"/>
    <mergeCell ref="M79:M80"/>
    <mergeCell ref="A70:A71"/>
    <mergeCell ref="C70:C71"/>
    <mergeCell ref="D70:D71"/>
    <mergeCell ref="E70:E71"/>
    <mergeCell ref="F70:F71"/>
    <mergeCell ref="I70:I71"/>
    <mergeCell ref="A72:A74"/>
    <mergeCell ref="D79:D80"/>
    <mergeCell ref="E79:E80"/>
    <mergeCell ref="F79:F80"/>
    <mergeCell ref="I79:I80"/>
    <mergeCell ref="A77:A78"/>
    <mergeCell ref="C77:C78"/>
    <mergeCell ref="I77:I78"/>
    <mergeCell ref="D77:D78"/>
    <mergeCell ref="J77:J78"/>
    <mergeCell ref="F77:F78"/>
    <mergeCell ref="H70:H71"/>
    <mergeCell ref="A75:A76"/>
    <mergeCell ref="M82:N82"/>
    <mergeCell ref="B83:N83"/>
    <mergeCell ref="G56:G57"/>
    <mergeCell ref="M62:M63"/>
    <mergeCell ref="N62:N63"/>
    <mergeCell ref="M58:M59"/>
    <mergeCell ref="C64:K64"/>
    <mergeCell ref="M64:N64"/>
    <mergeCell ref="B75:B76"/>
    <mergeCell ref="G79:G80"/>
    <mergeCell ref="C75:C76"/>
    <mergeCell ref="G70:G71"/>
    <mergeCell ref="D62:D63"/>
    <mergeCell ref="D72:D74"/>
    <mergeCell ref="E86:E89"/>
    <mergeCell ref="F99:J99"/>
    <mergeCell ref="J90:J92"/>
    <mergeCell ref="E90:E92"/>
    <mergeCell ref="G100:G101"/>
    <mergeCell ref="H56:H57"/>
    <mergeCell ref="H58:H59"/>
    <mergeCell ref="H60:H61"/>
    <mergeCell ref="H62:H63"/>
    <mergeCell ref="J60:J61"/>
    <mergeCell ref="G58:G59"/>
    <mergeCell ref="J93:J95"/>
    <mergeCell ref="E62:E63"/>
    <mergeCell ref="F62:F63"/>
    <mergeCell ref="G62:G63"/>
    <mergeCell ref="F66:F67"/>
    <mergeCell ref="I66:I67"/>
    <mergeCell ref="J66:J67"/>
    <mergeCell ref="H66:H67"/>
    <mergeCell ref="E77:E78"/>
    <mergeCell ref="G68:G69"/>
    <mergeCell ref="G77:G78"/>
    <mergeCell ref="H68:H69"/>
    <mergeCell ref="A167:K167"/>
    <mergeCell ref="A165:K165"/>
    <mergeCell ref="C125:K125"/>
    <mergeCell ref="C126:F126"/>
    <mergeCell ref="B152:K152"/>
    <mergeCell ref="I147:I149"/>
    <mergeCell ref="A154:L154"/>
    <mergeCell ref="A166:K166"/>
    <mergeCell ref="G123:G124"/>
    <mergeCell ref="G127:G129"/>
    <mergeCell ref="G143:G144"/>
    <mergeCell ref="G145:G146"/>
    <mergeCell ref="G147:G149"/>
    <mergeCell ref="A160:K160"/>
    <mergeCell ref="A162:K162"/>
    <mergeCell ref="C150:K150"/>
    <mergeCell ref="B151:K151"/>
    <mergeCell ref="H123:H124"/>
    <mergeCell ref="H127:H129"/>
    <mergeCell ref="A164:K164"/>
    <mergeCell ref="A161:K161"/>
    <mergeCell ref="A158:K158"/>
    <mergeCell ref="A153:N153"/>
    <mergeCell ref="A155:K155"/>
    <mergeCell ref="M151:N151"/>
    <mergeCell ref="M145:M146"/>
    <mergeCell ref="A147:A149"/>
    <mergeCell ref="B147:B149"/>
    <mergeCell ref="D147:D149"/>
    <mergeCell ref="E147:E149"/>
    <mergeCell ref="F147:F149"/>
    <mergeCell ref="M152:N152"/>
    <mergeCell ref="M150:N150"/>
    <mergeCell ref="J147:J149"/>
    <mergeCell ref="A145:A146"/>
    <mergeCell ref="B145:B146"/>
    <mergeCell ref="D145:D146"/>
    <mergeCell ref="E145:E146"/>
    <mergeCell ref="F145:F146"/>
    <mergeCell ref="I145:I146"/>
    <mergeCell ref="J145:J146"/>
    <mergeCell ref="M147:M148"/>
    <mergeCell ref="A159:K159"/>
    <mergeCell ref="H147:H149"/>
    <mergeCell ref="F143:F144"/>
    <mergeCell ref="D143:D144"/>
    <mergeCell ref="E143:E144"/>
    <mergeCell ref="I143:I144"/>
    <mergeCell ref="J143:J144"/>
    <mergeCell ref="H143:H144"/>
    <mergeCell ref="H145:H146"/>
    <mergeCell ref="A157:K157"/>
    <mergeCell ref="A156:K156"/>
    <mergeCell ref="J132:J133"/>
    <mergeCell ref="G138:G139"/>
    <mergeCell ref="M143:M144"/>
    <mergeCell ref="C130:K130"/>
    <mergeCell ref="M121:M122"/>
    <mergeCell ref="M130:N130"/>
    <mergeCell ref="E118:E119"/>
    <mergeCell ref="F112:F113"/>
    <mergeCell ref="G112:G114"/>
    <mergeCell ref="I112:I114"/>
    <mergeCell ref="J121:J122"/>
    <mergeCell ref="F115:F119"/>
    <mergeCell ref="G115:G119"/>
    <mergeCell ref="G121:G122"/>
    <mergeCell ref="H120:H122"/>
    <mergeCell ref="C131:N131"/>
    <mergeCell ref="E127:E129"/>
    <mergeCell ref="F127:F129"/>
    <mergeCell ref="I127:I129"/>
    <mergeCell ref="J127:J129"/>
    <mergeCell ref="D127:D129"/>
    <mergeCell ref="H138:H139"/>
    <mergeCell ref="J112:J114"/>
    <mergeCell ref="E120:E122"/>
    <mergeCell ref="G105:G108"/>
    <mergeCell ref="G109:G110"/>
    <mergeCell ref="H90:H92"/>
    <mergeCell ref="H105:H108"/>
    <mergeCell ref="H109:H110"/>
    <mergeCell ref="H112:H114"/>
    <mergeCell ref="E93:E95"/>
    <mergeCell ref="G93:G95"/>
    <mergeCell ref="H93:H95"/>
    <mergeCell ref="H102:H103"/>
    <mergeCell ref="F97:F98"/>
    <mergeCell ref="F94:F95"/>
    <mergeCell ref="J105:J108"/>
    <mergeCell ref="E105:E107"/>
    <mergeCell ref="G90:G92"/>
    <mergeCell ref="G96:G98"/>
    <mergeCell ref="H96:H98"/>
    <mergeCell ref="J96:J98"/>
    <mergeCell ref="A38:A40"/>
    <mergeCell ref="I38:I40"/>
    <mergeCell ref="C38:C40"/>
    <mergeCell ref="D38:D40"/>
    <mergeCell ref="E38:E40"/>
    <mergeCell ref="F38:F40"/>
    <mergeCell ref="A68:A69"/>
    <mergeCell ref="B68:B69"/>
    <mergeCell ref="C68:C69"/>
    <mergeCell ref="C66:C67"/>
    <mergeCell ref="D66:D67"/>
    <mergeCell ref="E66:E67"/>
    <mergeCell ref="D58:D59"/>
    <mergeCell ref="E58:E59"/>
    <mergeCell ref="G66:G67"/>
    <mergeCell ref="F43:F45"/>
    <mergeCell ref="I48:I49"/>
    <mergeCell ref="C65:N65"/>
    <mergeCell ref="N54:N55"/>
    <mergeCell ref="D60:D61"/>
    <mergeCell ref="A33:A35"/>
    <mergeCell ref="B33:B35"/>
    <mergeCell ref="C33:C35"/>
    <mergeCell ref="D33:D35"/>
    <mergeCell ref="I33:I35"/>
    <mergeCell ref="E33:E35"/>
    <mergeCell ref="F33:F35"/>
    <mergeCell ref="M38:M40"/>
    <mergeCell ref="N38:N40"/>
    <mergeCell ref="M48:M49"/>
    <mergeCell ref="J54:J55"/>
    <mergeCell ref="F48:F49"/>
    <mergeCell ref="D48:D49"/>
    <mergeCell ref="G60:G61"/>
    <mergeCell ref="N56:N57"/>
    <mergeCell ref="E56:E57"/>
    <mergeCell ref="J56:J57"/>
    <mergeCell ref="J8:J10"/>
    <mergeCell ref="A11:N11"/>
    <mergeCell ref="A8:A10"/>
    <mergeCell ref="B8:B10"/>
    <mergeCell ref="C8:C10"/>
    <mergeCell ref="D8:D10"/>
    <mergeCell ref="E8:E10"/>
    <mergeCell ref="F8:F10"/>
    <mergeCell ref="M9:M10"/>
    <mergeCell ref="I8:I10"/>
    <mergeCell ref="M8:N8"/>
    <mergeCell ref="K8:K10"/>
    <mergeCell ref="L8:L10"/>
    <mergeCell ref="G8:G10"/>
    <mergeCell ref="A22:A24"/>
    <mergeCell ref="M18:M19"/>
    <mergeCell ref="A12:N12"/>
    <mergeCell ref="B13:N13"/>
    <mergeCell ref="C14:N14"/>
    <mergeCell ref="D75:D76"/>
    <mergeCell ref="E75:E76"/>
    <mergeCell ref="F75:F76"/>
    <mergeCell ref="I75:I76"/>
    <mergeCell ref="B66:B67"/>
    <mergeCell ref="J72:J74"/>
    <mergeCell ref="M22:M23"/>
    <mergeCell ref="N22:N23"/>
    <mergeCell ref="M34:M37"/>
    <mergeCell ref="N34:N37"/>
    <mergeCell ref="M54:M55"/>
    <mergeCell ref="D54:D55"/>
    <mergeCell ref="E54:E55"/>
    <mergeCell ref="F54:F55"/>
    <mergeCell ref="E53:J53"/>
    <mergeCell ref="B72:B74"/>
    <mergeCell ref="B38:B40"/>
    <mergeCell ref="F60:F61"/>
    <mergeCell ref="I60:I61"/>
    <mergeCell ref="A163:K163"/>
    <mergeCell ref="C84:N84"/>
    <mergeCell ref="F58:F59"/>
    <mergeCell ref="D56:D57"/>
    <mergeCell ref="M125:N125"/>
    <mergeCell ref="M112:M114"/>
    <mergeCell ref="M56:M57"/>
    <mergeCell ref="I58:I59"/>
    <mergeCell ref="J58:J59"/>
    <mergeCell ref="F56:F57"/>
    <mergeCell ref="M68:M69"/>
    <mergeCell ref="I115:I119"/>
    <mergeCell ref="J115:J119"/>
    <mergeCell ref="F123:F124"/>
    <mergeCell ref="J123:J124"/>
    <mergeCell ref="E123:E124"/>
    <mergeCell ref="M105:M108"/>
    <mergeCell ref="J109:J110"/>
    <mergeCell ref="I62:I63"/>
    <mergeCell ref="J62:J63"/>
    <mergeCell ref="E112:E114"/>
    <mergeCell ref="E96:E98"/>
    <mergeCell ref="E109:E110"/>
    <mergeCell ref="E102:E103"/>
    <mergeCell ref="J102:J103"/>
    <mergeCell ref="J70:J71"/>
    <mergeCell ref="J68:J69"/>
    <mergeCell ref="J75:J76"/>
    <mergeCell ref="J86:J89"/>
    <mergeCell ref="M86:M88"/>
    <mergeCell ref="H86:H89"/>
    <mergeCell ref="B82:K82"/>
    <mergeCell ref="M93:M94"/>
    <mergeCell ref="C81:K81"/>
    <mergeCell ref="D68:D69"/>
    <mergeCell ref="E68:E69"/>
    <mergeCell ref="F68:F69"/>
    <mergeCell ref="I68:I69"/>
    <mergeCell ref="E72:E74"/>
    <mergeCell ref="F72:F74"/>
    <mergeCell ref="I72:I74"/>
    <mergeCell ref="H72:H74"/>
    <mergeCell ref="H75:H76"/>
    <mergeCell ref="H77:H78"/>
    <mergeCell ref="H79:H80"/>
    <mergeCell ref="C72:C74"/>
    <mergeCell ref="G86:G89"/>
    <mergeCell ref="M96:M97"/>
  </mergeCells>
  <printOptions horizontalCentered="1"/>
  <pageMargins left="0.78740157480314965" right="0.19685039370078741" top="0.59055118110236227" bottom="0.59055118110236227" header="0.31496062992125984" footer="0.31496062992125984"/>
  <pageSetup paperSize="9" scale="80" orientation="portrait" r:id="rId1"/>
  <rowBreaks count="3" manualBreakCount="3">
    <brk id="55" max="13" man="1"/>
    <brk id="125" max="13" man="1"/>
    <brk id="152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91"/>
  <sheetViews>
    <sheetView zoomScaleNormal="100" zoomScaleSheetLayoutView="70" workbookViewId="0">
      <selection activeCell="U15" sqref="U15"/>
    </sheetView>
  </sheetViews>
  <sheetFormatPr defaultRowHeight="12.75" x14ac:dyDescent="0.2"/>
  <cols>
    <col min="1" max="4" width="2.42578125" style="4" customWidth="1"/>
    <col min="5" max="5" width="34.7109375" style="4" customWidth="1"/>
    <col min="6" max="6" width="3.5703125" style="449" customWidth="1"/>
    <col min="7" max="7" width="3.5703125" style="295" hidden="1" customWidth="1"/>
    <col min="8" max="8" width="3.5703125" style="378" customWidth="1"/>
    <col min="9" max="9" width="3" style="21" customWidth="1"/>
    <col min="10" max="10" width="11" style="449" customWidth="1"/>
    <col min="11" max="11" width="8.140625" style="449" customWidth="1"/>
    <col min="12" max="12" width="10.5703125" style="449" customWidth="1"/>
    <col min="13" max="13" width="11" style="198" customWidth="1"/>
    <col min="14" max="14" width="8.28515625" style="198" customWidth="1"/>
    <col min="15" max="15" width="22.85546875" style="4" customWidth="1"/>
    <col min="16" max="16" width="6.140625" style="9" customWidth="1"/>
    <col min="17" max="17" width="9.140625" style="70" customWidth="1"/>
    <col min="18" max="18" width="11.28515625" style="304" customWidth="1"/>
    <col min="19" max="19" width="11.42578125" style="70" customWidth="1"/>
    <col min="20" max="20" width="10" style="70" bestFit="1" customWidth="1"/>
    <col min="21" max="21" width="9.140625" style="304"/>
    <col min="22" max="22" width="9.140625" style="70"/>
    <col min="23" max="16384" width="9.140625" style="1"/>
  </cols>
  <sheetData>
    <row r="1" spans="1:23" s="211" customFormat="1" ht="15" x14ac:dyDescent="0.2">
      <c r="A1" s="248"/>
      <c r="B1" s="248"/>
      <c r="C1" s="248"/>
      <c r="D1" s="248"/>
      <c r="E1" s="248"/>
      <c r="F1" s="248"/>
      <c r="G1" s="283"/>
      <c r="H1" s="373"/>
      <c r="I1" s="283"/>
      <c r="J1" s="284"/>
      <c r="M1" s="456"/>
      <c r="N1" s="1190" t="s">
        <v>223</v>
      </c>
      <c r="O1" s="1190"/>
      <c r="P1" s="1190"/>
      <c r="Q1" s="312"/>
      <c r="R1" s="313"/>
      <c r="S1" s="312"/>
      <c r="T1" s="312"/>
      <c r="U1" s="313"/>
      <c r="V1" s="312"/>
    </row>
    <row r="2" spans="1:23" s="211" customFormat="1" ht="15" x14ac:dyDescent="0.2">
      <c r="A2" s="248"/>
      <c r="B2" s="248"/>
      <c r="C2" s="248"/>
      <c r="D2" s="248"/>
      <c r="E2" s="248"/>
      <c r="F2" s="248"/>
      <c r="G2" s="283"/>
      <c r="H2" s="373"/>
      <c r="I2" s="283"/>
      <c r="J2" s="284"/>
      <c r="K2" s="285"/>
      <c r="L2" s="285"/>
      <c r="M2" s="457"/>
      <c r="N2" s="1190"/>
      <c r="O2" s="1190"/>
      <c r="P2" s="1190"/>
      <c r="Q2" s="312"/>
      <c r="R2" s="313"/>
      <c r="S2" s="312"/>
      <c r="T2" s="312"/>
      <c r="U2" s="313"/>
      <c r="V2" s="312"/>
    </row>
    <row r="3" spans="1:23" x14ac:dyDescent="0.2">
      <c r="A3" s="1107" t="s">
        <v>175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314"/>
      <c r="R3" s="315"/>
      <c r="S3" s="314"/>
      <c r="T3" s="314"/>
    </row>
    <row r="4" spans="1:23" x14ac:dyDescent="0.2">
      <c r="A4" s="1108" t="s">
        <v>31</v>
      </c>
      <c r="B4" s="1108"/>
      <c r="C4" s="1108"/>
      <c r="D4" s="1108"/>
      <c r="E4" s="1108"/>
      <c r="F4" s="1108"/>
      <c r="G4" s="1108"/>
      <c r="H4" s="1108"/>
      <c r="I4" s="1108"/>
      <c r="J4" s="1108"/>
      <c r="K4" s="1108"/>
      <c r="L4" s="1108"/>
      <c r="M4" s="1108"/>
      <c r="N4" s="1108"/>
      <c r="O4" s="1108"/>
      <c r="P4" s="1108"/>
    </row>
    <row r="5" spans="1:23" x14ac:dyDescent="0.2">
      <c r="A5" s="1109" t="s">
        <v>174</v>
      </c>
      <c r="B5" s="1109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</row>
    <row r="6" spans="1:23" ht="13.5" thickBot="1" x14ac:dyDescent="0.25">
      <c r="A6" s="450"/>
      <c r="B6" s="450"/>
      <c r="C6" s="249"/>
      <c r="D6" s="249"/>
      <c r="E6" s="249"/>
      <c r="F6" s="249"/>
      <c r="G6" s="289"/>
      <c r="H6" s="374"/>
      <c r="I6" s="249"/>
      <c r="J6" s="249"/>
      <c r="K6" s="249"/>
      <c r="L6" s="249"/>
      <c r="M6" s="458"/>
      <c r="N6" s="368"/>
      <c r="O6" s="249"/>
      <c r="P6" s="326" t="s">
        <v>149</v>
      </c>
    </row>
    <row r="7" spans="1:23" ht="12.75" customHeight="1" x14ac:dyDescent="0.2">
      <c r="A7" s="867" t="s">
        <v>8</v>
      </c>
      <c r="B7" s="870" t="s">
        <v>9</v>
      </c>
      <c r="C7" s="870" t="s">
        <v>10</v>
      </c>
      <c r="D7" s="873" t="s">
        <v>53</v>
      </c>
      <c r="E7" s="876" t="s">
        <v>24</v>
      </c>
      <c r="F7" s="879" t="s">
        <v>11</v>
      </c>
      <c r="G7" s="892" t="s">
        <v>176</v>
      </c>
      <c r="H7" s="892" t="s">
        <v>176</v>
      </c>
      <c r="I7" s="884" t="s">
        <v>12</v>
      </c>
      <c r="J7" s="861" t="s">
        <v>95</v>
      </c>
      <c r="K7" s="861" t="s">
        <v>13</v>
      </c>
      <c r="L7" s="889" t="s">
        <v>227</v>
      </c>
      <c r="M7" s="889" t="s">
        <v>228</v>
      </c>
      <c r="N7" s="889" t="s">
        <v>229</v>
      </c>
      <c r="O7" s="887" t="s">
        <v>57</v>
      </c>
      <c r="P7" s="888"/>
    </row>
    <row r="8" spans="1:23" x14ac:dyDescent="0.2">
      <c r="A8" s="868"/>
      <c r="B8" s="871"/>
      <c r="C8" s="871"/>
      <c r="D8" s="874"/>
      <c r="E8" s="877"/>
      <c r="F8" s="880"/>
      <c r="G8" s="893"/>
      <c r="H8" s="893"/>
      <c r="I8" s="885"/>
      <c r="J8" s="862"/>
      <c r="K8" s="862"/>
      <c r="L8" s="890"/>
      <c r="M8" s="890"/>
      <c r="N8" s="890"/>
      <c r="O8" s="882" t="s">
        <v>24</v>
      </c>
      <c r="P8" s="231" t="s">
        <v>150</v>
      </c>
    </row>
    <row r="9" spans="1:23" ht="90.75" customHeight="1" thickBot="1" x14ac:dyDescent="0.25">
      <c r="A9" s="869"/>
      <c r="B9" s="872"/>
      <c r="C9" s="872"/>
      <c r="D9" s="875"/>
      <c r="E9" s="878"/>
      <c r="F9" s="881"/>
      <c r="G9" s="894"/>
      <c r="H9" s="894"/>
      <c r="I9" s="886"/>
      <c r="J9" s="863"/>
      <c r="K9" s="863"/>
      <c r="L9" s="891"/>
      <c r="M9" s="891"/>
      <c r="N9" s="891"/>
      <c r="O9" s="883"/>
      <c r="P9" s="78" t="s">
        <v>58</v>
      </c>
    </row>
    <row r="10" spans="1:23" ht="17.25" customHeight="1" thickBot="1" x14ac:dyDescent="0.25">
      <c r="A10" s="864" t="s">
        <v>33</v>
      </c>
      <c r="B10" s="865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6"/>
    </row>
    <row r="11" spans="1:23" ht="13.5" thickBot="1" x14ac:dyDescent="0.25">
      <c r="A11" s="828" t="s">
        <v>32</v>
      </c>
      <c r="B11" s="829"/>
      <c r="C11" s="829"/>
      <c r="D11" s="829"/>
      <c r="E11" s="829"/>
      <c r="F11" s="829"/>
      <c r="G11" s="829"/>
      <c r="H11" s="829"/>
      <c r="I11" s="829"/>
      <c r="J11" s="829"/>
      <c r="K11" s="829"/>
      <c r="L11" s="829"/>
      <c r="M11" s="829"/>
      <c r="N11" s="829"/>
      <c r="O11" s="829"/>
      <c r="P11" s="830"/>
    </row>
    <row r="12" spans="1:23" ht="13.5" thickBot="1" x14ac:dyDescent="0.25">
      <c r="A12" s="35" t="s">
        <v>14</v>
      </c>
      <c r="B12" s="831" t="s">
        <v>42</v>
      </c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3"/>
    </row>
    <row r="13" spans="1:23" ht="13.5" thickBot="1" x14ac:dyDescent="0.25">
      <c r="A13" s="72" t="s">
        <v>14</v>
      </c>
      <c r="B13" s="27" t="s">
        <v>14</v>
      </c>
      <c r="C13" s="834" t="s">
        <v>103</v>
      </c>
      <c r="D13" s="791"/>
      <c r="E13" s="791"/>
      <c r="F13" s="791"/>
      <c r="G13" s="791"/>
      <c r="H13" s="791"/>
      <c r="I13" s="791"/>
      <c r="J13" s="791"/>
      <c r="K13" s="790"/>
      <c r="L13" s="790"/>
      <c r="M13" s="790"/>
      <c r="N13" s="790"/>
      <c r="O13" s="790"/>
      <c r="P13" s="792"/>
      <c r="S13" s="304"/>
      <c r="T13" s="261"/>
      <c r="V13" s="71"/>
      <c r="W13" s="54"/>
    </row>
    <row r="14" spans="1:23" ht="33" customHeight="1" x14ac:dyDescent="0.2">
      <c r="A14" s="12" t="s">
        <v>14</v>
      </c>
      <c r="B14" s="7" t="s">
        <v>14</v>
      </c>
      <c r="C14" s="338" t="s">
        <v>14</v>
      </c>
      <c r="D14" s="362"/>
      <c r="E14" s="352" t="s">
        <v>74</v>
      </c>
      <c r="F14" s="364"/>
      <c r="G14" s="439" t="s">
        <v>177</v>
      </c>
      <c r="H14" s="367"/>
      <c r="I14" s="339"/>
      <c r="J14" s="95"/>
      <c r="K14" s="95"/>
      <c r="L14" s="500"/>
      <c r="M14" s="178"/>
      <c r="N14" s="178"/>
      <c r="O14" s="26"/>
      <c r="P14" s="98"/>
    </row>
    <row r="15" spans="1:23" ht="25.5" x14ac:dyDescent="0.2">
      <c r="A15" s="13"/>
      <c r="B15" s="412"/>
      <c r="C15" s="52"/>
      <c r="D15" s="163" t="s">
        <v>14</v>
      </c>
      <c r="E15" s="911" t="s">
        <v>105</v>
      </c>
      <c r="F15" s="161"/>
      <c r="G15" s="783" t="s">
        <v>185</v>
      </c>
      <c r="H15" s="755">
        <v>1002010100</v>
      </c>
      <c r="I15" s="166" t="s">
        <v>34</v>
      </c>
      <c r="J15" s="155" t="s">
        <v>98</v>
      </c>
      <c r="K15" s="79" t="s">
        <v>15</v>
      </c>
      <c r="L15" s="478">
        <f>32692.6/3.4528*1000</f>
        <v>9468431</v>
      </c>
      <c r="M15" s="262">
        <f>32692.6/3.4528*1000</f>
        <v>9468431</v>
      </c>
      <c r="N15" s="262"/>
      <c r="O15" s="416" t="s">
        <v>224</v>
      </c>
      <c r="P15" s="107" t="s">
        <v>116</v>
      </c>
      <c r="S15" s="71"/>
      <c r="T15" s="71"/>
      <c r="V15" s="71"/>
      <c r="W15" s="54"/>
    </row>
    <row r="16" spans="1:23" x14ac:dyDescent="0.2">
      <c r="A16" s="13"/>
      <c r="B16" s="14"/>
      <c r="C16" s="52"/>
      <c r="D16" s="164"/>
      <c r="E16" s="1103"/>
      <c r="F16" s="161"/>
      <c r="G16" s="784"/>
      <c r="H16" s="962"/>
      <c r="I16" s="166"/>
      <c r="J16" s="155"/>
      <c r="K16" s="33"/>
      <c r="L16" s="479"/>
      <c r="M16" s="179"/>
      <c r="N16" s="179"/>
      <c r="O16" s="250" t="s">
        <v>119</v>
      </c>
      <c r="P16" s="165" t="s">
        <v>117</v>
      </c>
      <c r="S16" s="71"/>
      <c r="T16" s="71"/>
      <c r="V16" s="71"/>
      <c r="W16" s="54"/>
    </row>
    <row r="17" spans="1:23" x14ac:dyDescent="0.2">
      <c r="A17" s="13"/>
      <c r="B17" s="14"/>
      <c r="C17" s="52"/>
      <c r="D17" s="164"/>
      <c r="E17" s="1103"/>
      <c r="F17" s="161"/>
      <c r="G17" s="784"/>
      <c r="H17" s="962"/>
      <c r="I17" s="166"/>
      <c r="J17" s="155"/>
      <c r="K17" s="33" t="s">
        <v>18</v>
      </c>
      <c r="L17" s="479">
        <v>6167239</v>
      </c>
      <c r="M17" s="179">
        <v>6167239</v>
      </c>
      <c r="N17" s="179"/>
      <c r="O17" s="826" t="s">
        <v>152</v>
      </c>
      <c r="P17" s="107" t="s">
        <v>118</v>
      </c>
      <c r="S17" s="71"/>
      <c r="T17" s="71"/>
      <c r="V17" s="71"/>
      <c r="W17" s="54"/>
    </row>
    <row r="18" spans="1:23" x14ac:dyDescent="0.2">
      <c r="A18" s="13"/>
      <c r="B18" s="14"/>
      <c r="C18" s="52"/>
      <c r="D18" s="164"/>
      <c r="E18" s="161"/>
      <c r="F18" s="161"/>
      <c r="G18" s="784"/>
      <c r="H18" s="962"/>
      <c r="I18" s="166"/>
      <c r="J18" s="155"/>
      <c r="K18" s="84" t="s">
        <v>63</v>
      </c>
      <c r="L18" s="480">
        <v>3096152</v>
      </c>
      <c r="M18" s="180">
        <v>3096152</v>
      </c>
      <c r="N18" s="180"/>
      <c r="O18" s="827"/>
      <c r="P18" s="232"/>
      <c r="R18" s="316"/>
      <c r="S18" s="317"/>
      <c r="T18" s="317"/>
      <c r="U18" s="316"/>
      <c r="V18" s="71"/>
      <c r="W18" s="54"/>
    </row>
    <row r="19" spans="1:23" x14ac:dyDescent="0.2">
      <c r="A19" s="13"/>
      <c r="B19" s="14"/>
      <c r="C19" s="386"/>
      <c r="D19" s="164"/>
      <c r="E19" s="161"/>
      <c r="F19" s="161"/>
      <c r="G19" s="784"/>
      <c r="H19" s="962"/>
      <c r="I19" s="110"/>
      <c r="J19" s="155"/>
      <c r="K19" s="11" t="s">
        <v>220</v>
      </c>
      <c r="L19" s="481">
        <v>393168</v>
      </c>
      <c r="M19" s="392">
        <v>393168</v>
      </c>
      <c r="N19" s="392"/>
      <c r="O19" s="417"/>
      <c r="P19" s="232"/>
    </row>
    <row r="20" spans="1:23" ht="13.5" thickBot="1" x14ac:dyDescent="0.25">
      <c r="A20" s="13"/>
      <c r="B20" s="14"/>
      <c r="C20" s="452"/>
      <c r="D20" s="363"/>
      <c r="E20" s="162"/>
      <c r="F20" s="405"/>
      <c r="G20" s="785"/>
      <c r="H20" s="963"/>
      <c r="I20" s="337"/>
      <c r="J20" s="155"/>
      <c r="K20" s="109" t="s">
        <v>16</v>
      </c>
      <c r="L20" s="176">
        <f>SUM(L15:L19)</f>
        <v>19124990</v>
      </c>
      <c r="M20" s="176">
        <f>SUM(M15:M19)</f>
        <v>19124990</v>
      </c>
      <c r="N20" s="176">
        <f>SUM(N15:N19)</f>
        <v>0</v>
      </c>
      <c r="O20" s="251" t="s">
        <v>120</v>
      </c>
      <c r="P20" s="441">
        <v>244</v>
      </c>
    </row>
    <row r="21" spans="1:23" x14ac:dyDescent="0.2">
      <c r="A21" s="825"/>
      <c r="B21" s="14"/>
      <c r="C21" s="1095"/>
      <c r="D21" s="903" t="s">
        <v>17</v>
      </c>
      <c r="E21" s="909" t="s">
        <v>144</v>
      </c>
      <c r="F21" s="944"/>
      <c r="G21" s="783" t="s">
        <v>178</v>
      </c>
      <c r="H21" s="755">
        <v>1002020100</v>
      </c>
      <c r="I21" s="1097" t="s">
        <v>34</v>
      </c>
      <c r="J21" s="155"/>
      <c r="K21" s="33" t="s">
        <v>15</v>
      </c>
      <c r="L21" s="480">
        <f>5135.9/3.4528*1000</f>
        <v>1487459</v>
      </c>
      <c r="M21" s="622">
        <f>5135.9/3.4528*1000+5741</f>
        <v>1493200</v>
      </c>
      <c r="N21" s="622">
        <f>M21-L21</f>
        <v>5741</v>
      </c>
      <c r="O21" s="838" t="s">
        <v>153</v>
      </c>
      <c r="P21" s="840">
        <v>8</v>
      </c>
      <c r="Q21" s="304"/>
    </row>
    <row r="22" spans="1:23" x14ac:dyDescent="0.2">
      <c r="A22" s="825"/>
      <c r="B22" s="14"/>
      <c r="C22" s="902"/>
      <c r="D22" s="903"/>
      <c r="E22" s="909"/>
      <c r="F22" s="944"/>
      <c r="G22" s="784"/>
      <c r="H22" s="756"/>
      <c r="I22" s="1097"/>
      <c r="J22" s="155"/>
      <c r="K22" s="33" t="s">
        <v>18</v>
      </c>
      <c r="L22" s="481">
        <v>1765497</v>
      </c>
      <c r="M22" s="621">
        <f>1765497+11481</f>
        <v>1776978</v>
      </c>
      <c r="N22" s="621">
        <f>M22-L22</f>
        <v>11481</v>
      </c>
      <c r="O22" s="839"/>
      <c r="P22" s="841"/>
    </row>
    <row r="23" spans="1:23" x14ac:dyDescent="0.2">
      <c r="A23" s="825"/>
      <c r="B23" s="14"/>
      <c r="C23" s="902"/>
      <c r="D23" s="905"/>
      <c r="E23" s="911"/>
      <c r="F23" s="946"/>
      <c r="G23" s="784"/>
      <c r="H23" s="756"/>
      <c r="I23" s="1098"/>
      <c r="J23" s="155"/>
      <c r="K23" s="86" t="s">
        <v>63</v>
      </c>
      <c r="L23" s="479">
        <v>567162</v>
      </c>
      <c r="M23" s="187">
        <v>567162</v>
      </c>
      <c r="N23" s="187"/>
      <c r="O23" s="252" t="s">
        <v>154</v>
      </c>
      <c r="P23" s="113">
        <v>2119</v>
      </c>
    </row>
    <row r="24" spans="1:23" x14ac:dyDescent="0.2">
      <c r="A24" s="420"/>
      <c r="B24" s="14"/>
      <c r="C24" s="451"/>
      <c r="D24" s="363"/>
      <c r="E24" s="415"/>
      <c r="F24" s="357"/>
      <c r="G24" s="784"/>
      <c r="H24" s="756"/>
      <c r="I24" s="110"/>
      <c r="J24" s="155"/>
      <c r="K24" s="84" t="s">
        <v>220</v>
      </c>
      <c r="L24" s="480">
        <v>91890</v>
      </c>
      <c r="M24" s="180">
        <v>91890</v>
      </c>
      <c r="N24" s="180"/>
      <c r="O24" s="387"/>
      <c r="P24" s="388"/>
    </row>
    <row r="25" spans="1:23" ht="13.5" thickBot="1" x14ac:dyDescent="0.25">
      <c r="A25" s="420"/>
      <c r="B25" s="14"/>
      <c r="C25" s="451"/>
      <c r="D25" s="419"/>
      <c r="E25" s="415"/>
      <c r="F25" s="357"/>
      <c r="G25" s="785"/>
      <c r="H25" s="757"/>
      <c r="I25" s="110"/>
      <c r="J25" s="155"/>
      <c r="K25" s="109" t="s">
        <v>16</v>
      </c>
      <c r="L25" s="176">
        <f>SUM(L21:L24)</f>
        <v>3912008</v>
      </c>
      <c r="M25" s="176">
        <f>SUM(M21:M24)</f>
        <v>3929230</v>
      </c>
      <c r="N25" s="176">
        <f>SUM(N21:N24)</f>
        <v>17222</v>
      </c>
      <c r="O25" s="253" t="s">
        <v>121</v>
      </c>
      <c r="P25" s="111">
        <v>1060</v>
      </c>
    </row>
    <row r="26" spans="1:23" x14ac:dyDescent="0.2">
      <c r="A26" s="898"/>
      <c r="B26" s="412"/>
      <c r="C26" s="1092"/>
      <c r="D26" s="903" t="s">
        <v>19</v>
      </c>
      <c r="E26" s="909" t="s">
        <v>145</v>
      </c>
      <c r="F26" s="944"/>
      <c r="G26" s="783" t="s">
        <v>186</v>
      </c>
      <c r="H26" s="755">
        <v>1002030100</v>
      </c>
      <c r="I26" s="1093" t="s">
        <v>34</v>
      </c>
      <c r="J26" s="155"/>
      <c r="K26" s="95" t="s">
        <v>15</v>
      </c>
      <c r="L26" s="482">
        <f>15891.2/3.4528*1000</f>
        <v>4602410</v>
      </c>
      <c r="M26" s="623">
        <f>15891.2/3.4528*1000+57890</f>
        <v>4660300</v>
      </c>
      <c r="N26" s="623">
        <f>M26-L26</f>
        <v>57890</v>
      </c>
      <c r="O26" s="254" t="s">
        <v>122</v>
      </c>
      <c r="P26" s="116">
        <v>36</v>
      </c>
    </row>
    <row r="27" spans="1:23" x14ac:dyDescent="0.2">
      <c r="A27" s="898"/>
      <c r="B27" s="412"/>
      <c r="C27" s="1092"/>
      <c r="D27" s="903"/>
      <c r="E27" s="909"/>
      <c r="F27" s="944"/>
      <c r="G27" s="784"/>
      <c r="H27" s="756"/>
      <c r="I27" s="1093"/>
      <c r="J27" s="155"/>
      <c r="K27" s="43" t="s">
        <v>18</v>
      </c>
      <c r="L27" s="481">
        <v>21767820</v>
      </c>
      <c r="M27" s="621">
        <f>21767820+115772</f>
        <v>21883592</v>
      </c>
      <c r="N27" s="621">
        <f>M27-L27</f>
        <v>115772</v>
      </c>
      <c r="O27" s="255" t="s">
        <v>123</v>
      </c>
      <c r="P27" s="408">
        <v>16960</v>
      </c>
      <c r="Q27" s="304"/>
    </row>
    <row r="28" spans="1:23" x14ac:dyDescent="0.2">
      <c r="A28" s="898"/>
      <c r="B28" s="412"/>
      <c r="C28" s="1092"/>
      <c r="D28" s="903"/>
      <c r="E28" s="909"/>
      <c r="F28" s="944"/>
      <c r="G28" s="784"/>
      <c r="H28" s="756"/>
      <c r="I28" s="1093"/>
      <c r="J28" s="155"/>
      <c r="K28" s="43" t="s">
        <v>18</v>
      </c>
      <c r="L28" s="481">
        <v>632375</v>
      </c>
      <c r="M28" s="310">
        <v>632375</v>
      </c>
      <c r="N28" s="310"/>
      <c r="O28" s="256"/>
      <c r="P28" s="114"/>
    </row>
    <row r="29" spans="1:23" x14ac:dyDescent="0.2">
      <c r="A29" s="420"/>
      <c r="B29" s="412"/>
      <c r="C29" s="413"/>
      <c r="D29" s="905"/>
      <c r="E29" s="911"/>
      <c r="F29" s="946"/>
      <c r="G29" s="784"/>
      <c r="H29" s="756"/>
      <c r="I29" s="1094"/>
      <c r="J29" s="155"/>
      <c r="K29" s="84" t="s">
        <v>63</v>
      </c>
      <c r="L29" s="480">
        <v>944508</v>
      </c>
      <c r="M29" s="180">
        <v>944508</v>
      </c>
      <c r="N29" s="180"/>
      <c r="O29" s="1"/>
      <c r="P29" s="233"/>
      <c r="V29" s="71"/>
    </row>
    <row r="30" spans="1:23" x14ac:dyDescent="0.2">
      <c r="A30" s="420"/>
      <c r="B30" s="412"/>
      <c r="C30" s="413"/>
      <c r="D30" s="363"/>
      <c r="E30" s="415"/>
      <c r="F30" s="357"/>
      <c r="G30" s="784"/>
      <c r="H30" s="756"/>
      <c r="I30" s="385"/>
      <c r="J30" s="155"/>
      <c r="K30" s="11" t="s">
        <v>220</v>
      </c>
      <c r="L30" s="481">
        <v>105709</v>
      </c>
      <c r="M30" s="186">
        <v>105709</v>
      </c>
      <c r="N30" s="186"/>
      <c r="O30" s="1"/>
      <c r="P30" s="233"/>
      <c r="R30" s="1"/>
      <c r="S30" s="1"/>
      <c r="T30" s="1"/>
      <c r="U30" s="1"/>
      <c r="V30" s="1"/>
    </row>
    <row r="31" spans="1:23" ht="13.5" thickBot="1" x14ac:dyDescent="0.25">
      <c r="A31" s="420"/>
      <c r="B31" s="412"/>
      <c r="C31" s="413"/>
      <c r="D31" s="419"/>
      <c r="E31" s="421"/>
      <c r="F31" s="405"/>
      <c r="G31" s="785"/>
      <c r="H31" s="757"/>
      <c r="I31" s="453"/>
      <c r="J31" s="155"/>
      <c r="K31" s="109" t="s">
        <v>16</v>
      </c>
      <c r="L31" s="176">
        <f>SUM(L26:L30)</f>
        <v>28052822</v>
      </c>
      <c r="M31" s="176">
        <f>SUM(M26:M30)</f>
        <v>28226484</v>
      </c>
      <c r="N31" s="176">
        <f>SUM(N26:N30)</f>
        <v>173662</v>
      </c>
      <c r="O31" s="257"/>
      <c r="P31" s="409"/>
      <c r="R31" s="1"/>
      <c r="S31" s="1"/>
      <c r="T31" s="1"/>
      <c r="U31" s="1"/>
      <c r="V31" s="1"/>
    </row>
    <row r="32" spans="1:23" x14ac:dyDescent="0.2">
      <c r="A32" s="897"/>
      <c r="B32" s="900"/>
      <c r="C32" s="902"/>
      <c r="D32" s="903" t="s">
        <v>21</v>
      </c>
      <c r="E32" s="909" t="s">
        <v>124</v>
      </c>
      <c r="F32" s="912"/>
      <c r="G32" s="783" t="s">
        <v>179</v>
      </c>
      <c r="H32" s="755">
        <v>1002050100</v>
      </c>
      <c r="I32" s="906">
        <v>2</v>
      </c>
      <c r="J32" s="155"/>
      <c r="K32" s="33" t="s">
        <v>15</v>
      </c>
      <c r="L32" s="480">
        <f>15303.6/3.4528*1000</f>
        <v>4432229</v>
      </c>
      <c r="M32" s="175">
        <f>15303.6/3.4528*1000</f>
        <v>4432229</v>
      </c>
      <c r="N32" s="175"/>
      <c r="O32" s="254" t="s">
        <v>54</v>
      </c>
      <c r="P32" s="116">
        <v>6</v>
      </c>
      <c r="R32" s="1"/>
      <c r="S32" s="1"/>
      <c r="T32" s="1"/>
      <c r="U32" s="1"/>
      <c r="V32" s="1"/>
    </row>
    <row r="33" spans="1:22" x14ac:dyDescent="0.2">
      <c r="A33" s="898"/>
      <c r="B33" s="860"/>
      <c r="C33" s="902"/>
      <c r="D33" s="904"/>
      <c r="E33" s="910"/>
      <c r="F33" s="913"/>
      <c r="G33" s="784"/>
      <c r="H33" s="756"/>
      <c r="I33" s="907"/>
      <c r="J33" s="155"/>
      <c r="K33" s="11" t="s">
        <v>18</v>
      </c>
      <c r="L33" s="481">
        <v>67820</v>
      </c>
      <c r="M33" s="186">
        <v>67820</v>
      </c>
      <c r="N33" s="186"/>
      <c r="O33" s="842" t="s">
        <v>125</v>
      </c>
      <c r="P33" s="845">
        <v>5049</v>
      </c>
      <c r="R33" s="1"/>
      <c r="S33" s="1"/>
      <c r="T33" s="1"/>
      <c r="U33" s="1"/>
      <c r="V33" s="1"/>
    </row>
    <row r="34" spans="1:22" x14ac:dyDescent="0.2">
      <c r="A34" s="899"/>
      <c r="B34" s="901"/>
      <c r="C34" s="902"/>
      <c r="D34" s="905"/>
      <c r="E34" s="911"/>
      <c r="F34" s="914"/>
      <c r="G34" s="784"/>
      <c r="H34" s="756"/>
      <c r="I34" s="908"/>
      <c r="J34" s="155"/>
      <c r="K34" s="84" t="s">
        <v>63</v>
      </c>
      <c r="L34" s="480">
        <f>1033.5/3.4528*1000</f>
        <v>299322</v>
      </c>
      <c r="M34" s="180">
        <f>1033.5/3.4528*1000</f>
        <v>299322</v>
      </c>
      <c r="N34" s="180"/>
      <c r="O34" s="843"/>
      <c r="P34" s="846"/>
      <c r="Q34" s="325"/>
      <c r="R34" s="1"/>
      <c r="S34" s="1"/>
      <c r="T34" s="1"/>
      <c r="U34" s="1"/>
      <c r="V34" s="1"/>
    </row>
    <row r="35" spans="1:22" x14ac:dyDescent="0.2">
      <c r="A35" s="420"/>
      <c r="B35" s="412"/>
      <c r="C35" s="413"/>
      <c r="D35" s="363"/>
      <c r="E35" s="389"/>
      <c r="F35" s="390"/>
      <c r="G35" s="784"/>
      <c r="H35" s="756"/>
      <c r="I35" s="359"/>
      <c r="J35" s="155"/>
      <c r="K35" s="11" t="s">
        <v>220</v>
      </c>
      <c r="L35" s="481">
        <v>70876</v>
      </c>
      <c r="M35" s="186">
        <v>70876</v>
      </c>
      <c r="N35" s="186"/>
      <c r="O35" s="843"/>
      <c r="P35" s="846"/>
      <c r="R35" s="1"/>
      <c r="S35" s="1"/>
      <c r="T35" s="1"/>
      <c r="U35" s="1"/>
      <c r="V35" s="1"/>
    </row>
    <row r="36" spans="1:22" ht="13.5" thickBot="1" x14ac:dyDescent="0.25">
      <c r="A36" s="420"/>
      <c r="B36" s="412"/>
      <c r="C36" s="413"/>
      <c r="D36" s="419"/>
      <c r="E36" s="115"/>
      <c r="F36" s="422"/>
      <c r="G36" s="785"/>
      <c r="H36" s="757"/>
      <c r="I36" s="423"/>
      <c r="J36" s="155"/>
      <c r="K36" s="109" t="s">
        <v>16</v>
      </c>
      <c r="L36" s="176">
        <f>SUM(L32:L35)</f>
        <v>4870247</v>
      </c>
      <c r="M36" s="176">
        <f>SUM(M32:M35)</f>
        <v>4870247</v>
      </c>
      <c r="N36" s="176"/>
      <c r="O36" s="844"/>
      <c r="P36" s="847"/>
      <c r="R36" s="1"/>
      <c r="S36" s="1"/>
      <c r="T36" s="1"/>
      <c r="U36" s="1"/>
      <c r="V36" s="1"/>
    </row>
    <row r="37" spans="1:22" x14ac:dyDescent="0.2">
      <c r="A37" s="898"/>
      <c r="B37" s="860"/>
      <c r="C37" s="902"/>
      <c r="D37" s="903" t="s">
        <v>22</v>
      </c>
      <c r="E37" s="933" t="s">
        <v>92</v>
      </c>
      <c r="F37" s="918"/>
      <c r="G37" s="783" t="s">
        <v>180</v>
      </c>
      <c r="H37" s="755">
        <v>10030201</v>
      </c>
      <c r="I37" s="906">
        <v>2</v>
      </c>
      <c r="J37" s="155"/>
      <c r="K37" s="32" t="s">
        <v>15</v>
      </c>
      <c r="L37" s="483">
        <f>749.4/3.4528*1000</f>
        <v>217041</v>
      </c>
      <c r="M37" s="311">
        <f>749.4/3.4528*1000</f>
        <v>217041</v>
      </c>
      <c r="N37" s="311"/>
      <c r="O37" s="915" t="s">
        <v>60</v>
      </c>
      <c r="P37" s="916">
        <v>4</v>
      </c>
      <c r="R37" s="1"/>
      <c r="S37" s="1"/>
      <c r="T37" s="1"/>
      <c r="U37" s="1"/>
      <c r="V37" s="1"/>
    </row>
    <row r="38" spans="1:22" x14ac:dyDescent="0.2">
      <c r="A38" s="898"/>
      <c r="B38" s="860"/>
      <c r="C38" s="902"/>
      <c r="D38" s="903"/>
      <c r="E38" s="933"/>
      <c r="F38" s="918"/>
      <c r="G38" s="784"/>
      <c r="H38" s="756"/>
      <c r="I38" s="906"/>
      <c r="J38" s="155"/>
      <c r="K38" s="11" t="s">
        <v>18</v>
      </c>
      <c r="L38" s="481">
        <v>205946</v>
      </c>
      <c r="M38" s="186">
        <v>205946</v>
      </c>
      <c r="N38" s="186"/>
      <c r="O38" s="915"/>
      <c r="P38" s="916"/>
      <c r="R38" s="1"/>
      <c r="S38" s="1"/>
      <c r="T38" s="1"/>
      <c r="U38" s="1"/>
      <c r="V38" s="1"/>
    </row>
    <row r="39" spans="1:22" x14ac:dyDescent="0.2">
      <c r="A39" s="898"/>
      <c r="B39" s="860"/>
      <c r="C39" s="902"/>
      <c r="D39" s="905"/>
      <c r="E39" s="934"/>
      <c r="F39" s="768"/>
      <c r="G39" s="784"/>
      <c r="H39" s="756"/>
      <c r="I39" s="908"/>
      <c r="J39" s="155"/>
      <c r="K39" s="85" t="s">
        <v>63</v>
      </c>
      <c r="L39" s="478">
        <f>4/3.4528*1000</f>
        <v>1158</v>
      </c>
      <c r="M39" s="173">
        <f>4/3.4528*1000</f>
        <v>1158</v>
      </c>
      <c r="N39" s="173"/>
      <c r="O39" s="915"/>
      <c r="P39" s="916"/>
      <c r="R39" s="1"/>
      <c r="S39" s="1"/>
      <c r="T39" s="1"/>
      <c r="U39" s="1"/>
      <c r="V39" s="1"/>
    </row>
    <row r="40" spans="1:22" x14ac:dyDescent="0.2">
      <c r="A40" s="420"/>
      <c r="B40" s="412"/>
      <c r="C40" s="451"/>
      <c r="D40" s="363"/>
      <c r="E40" s="391"/>
      <c r="F40" s="426"/>
      <c r="G40" s="784"/>
      <c r="H40" s="756"/>
      <c r="I40" s="359"/>
      <c r="J40" s="155"/>
      <c r="K40" s="85" t="s">
        <v>220</v>
      </c>
      <c r="L40" s="478">
        <v>33</v>
      </c>
      <c r="M40" s="173">
        <v>33</v>
      </c>
      <c r="N40" s="173"/>
      <c r="O40" s="87"/>
      <c r="P40" s="404"/>
      <c r="R40" s="1"/>
      <c r="S40" s="1"/>
      <c r="T40" s="1"/>
      <c r="U40" s="1"/>
      <c r="V40" s="1"/>
    </row>
    <row r="41" spans="1:22" ht="13.5" thickBot="1" x14ac:dyDescent="0.25">
      <c r="A41" s="420"/>
      <c r="B41" s="412"/>
      <c r="C41" s="451"/>
      <c r="D41" s="419"/>
      <c r="E41" s="418"/>
      <c r="F41" s="427"/>
      <c r="G41" s="785"/>
      <c r="H41" s="757"/>
      <c r="I41" s="423"/>
      <c r="J41" s="155"/>
      <c r="K41" s="109" t="s">
        <v>16</v>
      </c>
      <c r="L41" s="176">
        <f>SUM(L37:L40)</f>
        <v>424178</v>
      </c>
      <c r="M41" s="176">
        <f>SUM(M37:M40)</f>
        <v>424178</v>
      </c>
      <c r="N41" s="176"/>
      <c r="O41" s="87"/>
      <c r="P41" s="404"/>
      <c r="R41" s="1"/>
      <c r="S41" s="1"/>
      <c r="T41" s="1"/>
      <c r="U41" s="1"/>
      <c r="V41" s="1"/>
    </row>
    <row r="42" spans="1:22" x14ac:dyDescent="0.2">
      <c r="A42" s="65"/>
      <c r="B42" s="14"/>
      <c r="C42" s="66"/>
      <c r="D42" s="903" t="s">
        <v>23</v>
      </c>
      <c r="E42" s="933" t="s">
        <v>93</v>
      </c>
      <c r="F42" s="944"/>
      <c r="G42" s="783" t="s">
        <v>181</v>
      </c>
      <c r="H42" s="755">
        <v>1002040193</v>
      </c>
      <c r="I42" s="1093" t="s">
        <v>34</v>
      </c>
      <c r="J42" s="155"/>
      <c r="K42" s="32" t="s">
        <v>15</v>
      </c>
      <c r="L42" s="483">
        <f>1166.9/3.4528*1000</f>
        <v>337958</v>
      </c>
      <c r="M42" s="311">
        <f>1166.9/3.4528*1000</f>
        <v>337958</v>
      </c>
      <c r="N42" s="311"/>
      <c r="O42" s="258" t="s">
        <v>76</v>
      </c>
      <c r="P42" s="116">
        <v>92</v>
      </c>
      <c r="R42" s="1"/>
      <c r="S42" s="1"/>
      <c r="T42" s="1"/>
      <c r="U42" s="1"/>
      <c r="V42" s="1"/>
    </row>
    <row r="43" spans="1:22" x14ac:dyDescent="0.2">
      <c r="A43" s="65"/>
      <c r="B43" s="14"/>
      <c r="C43" s="66"/>
      <c r="D43" s="904"/>
      <c r="E43" s="1099"/>
      <c r="F43" s="945"/>
      <c r="G43" s="784"/>
      <c r="H43" s="756"/>
      <c r="I43" s="1106"/>
      <c r="J43" s="155"/>
      <c r="K43" s="43" t="s">
        <v>18</v>
      </c>
      <c r="L43" s="481">
        <v>101328</v>
      </c>
      <c r="M43" s="310">
        <v>101328</v>
      </c>
      <c r="N43" s="310"/>
      <c r="O43" s="90"/>
      <c r="P43" s="365"/>
      <c r="R43" s="1"/>
      <c r="S43" s="1"/>
      <c r="T43" s="1"/>
      <c r="U43" s="1"/>
      <c r="V43" s="1"/>
    </row>
    <row r="44" spans="1:22" x14ac:dyDescent="0.2">
      <c r="A44" s="65"/>
      <c r="B44" s="14"/>
      <c r="C44" s="66"/>
      <c r="D44" s="905"/>
      <c r="E44" s="934"/>
      <c r="F44" s="946"/>
      <c r="G44" s="784"/>
      <c r="H44" s="756"/>
      <c r="I44" s="1094"/>
      <c r="J44" s="155"/>
      <c r="K44" s="84" t="s">
        <v>63</v>
      </c>
      <c r="L44" s="480">
        <f>113.3/3.4528*1000</f>
        <v>32814</v>
      </c>
      <c r="M44" s="180">
        <f>113.3/3.4528*1000</f>
        <v>32814</v>
      </c>
      <c r="N44" s="180"/>
      <c r="O44" s="20"/>
      <c r="P44" s="365"/>
      <c r="R44" s="1"/>
      <c r="S44" s="1"/>
      <c r="T44" s="1"/>
      <c r="U44" s="1"/>
      <c r="V44" s="1"/>
    </row>
    <row r="45" spans="1:22" x14ac:dyDescent="0.2">
      <c r="A45" s="13"/>
      <c r="B45" s="14"/>
      <c r="C45" s="108"/>
      <c r="D45" s="363"/>
      <c r="E45" s="391"/>
      <c r="F45" s="357"/>
      <c r="G45" s="784"/>
      <c r="H45" s="756"/>
      <c r="I45" s="385"/>
      <c r="J45" s="155"/>
      <c r="K45" s="11" t="s">
        <v>220</v>
      </c>
      <c r="L45" s="481">
        <v>4605</v>
      </c>
      <c r="M45" s="186">
        <v>4605</v>
      </c>
      <c r="N45" s="186"/>
      <c r="O45" s="20"/>
      <c r="P45" s="365"/>
      <c r="R45" s="1"/>
      <c r="S45" s="1"/>
      <c r="T45" s="1"/>
      <c r="U45" s="1"/>
      <c r="V45" s="1"/>
    </row>
    <row r="46" spans="1:22" ht="13.5" thickBot="1" x14ac:dyDescent="0.25">
      <c r="A46" s="13"/>
      <c r="B46" s="14"/>
      <c r="C46" s="108"/>
      <c r="D46" s="419"/>
      <c r="E46" s="418"/>
      <c r="F46" s="405"/>
      <c r="G46" s="785"/>
      <c r="H46" s="757"/>
      <c r="I46" s="453"/>
      <c r="J46" s="155"/>
      <c r="K46" s="109" t="s">
        <v>16</v>
      </c>
      <c r="L46" s="176">
        <f>SUM(L42:L45)</f>
        <v>476705</v>
      </c>
      <c r="M46" s="176">
        <f>SUM(M42:M45)</f>
        <v>476705</v>
      </c>
      <c r="N46" s="176"/>
      <c r="O46" s="259"/>
      <c r="P46" s="402"/>
      <c r="Q46" s="1"/>
      <c r="R46" s="1"/>
      <c r="S46" s="1"/>
      <c r="T46" s="1"/>
      <c r="U46" s="1"/>
      <c r="V46" s="1"/>
    </row>
    <row r="47" spans="1:22" x14ac:dyDescent="0.2">
      <c r="A47" s="65"/>
      <c r="B47" s="14"/>
      <c r="C47" s="52"/>
      <c r="D47" s="919" t="s">
        <v>44</v>
      </c>
      <c r="E47" s="1100" t="s">
        <v>104</v>
      </c>
      <c r="F47" s="918"/>
      <c r="G47" s="1096" t="s">
        <v>182</v>
      </c>
      <c r="H47" s="755">
        <v>10030202</v>
      </c>
      <c r="I47" s="906">
        <v>2</v>
      </c>
      <c r="J47" s="155"/>
      <c r="K47" s="33" t="s">
        <v>15</v>
      </c>
      <c r="L47" s="479">
        <v>117789</v>
      </c>
      <c r="M47" s="179">
        <v>117789</v>
      </c>
      <c r="N47" s="179"/>
      <c r="O47" s="917" t="s">
        <v>77</v>
      </c>
      <c r="P47" s="234">
        <v>250</v>
      </c>
      <c r="Q47" s="1"/>
      <c r="R47" s="1"/>
      <c r="S47" s="1"/>
      <c r="T47" s="1"/>
      <c r="U47" s="1"/>
      <c r="V47" s="1"/>
    </row>
    <row r="48" spans="1:22" x14ac:dyDescent="0.2">
      <c r="A48" s="65"/>
      <c r="B48" s="14"/>
      <c r="C48" s="52"/>
      <c r="D48" s="920"/>
      <c r="E48" s="1101"/>
      <c r="F48" s="768"/>
      <c r="G48" s="962"/>
      <c r="H48" s="756"/>
      <c r="I48" s="908"/>
      <c r="J48" s="155"/>
      <c r="K48" s="79" t="s">
        <v>63</v>
      </c>
      <c r="L48" s="478">
        <f>231.9/3.4528*1000</f>
        <v>67163</v>
      </c>
      <c r="M48" s="262">
        <f>231.9/3.4528*1000</f>
        <v>67163</v>
      </c>
      <c r="N48" s="262"/>
      <c r="O48" s="917"/>
      <c r="P48" s="235"/>
      <c r="Q48" s="1"/>
      <c r="R48" s="1"/>
      <c r="S48" s="1"/>
      <c r="T48" s="1"/>
      <c r="U48" s="1"/>
      <c r="V48" s="1"/>
    </row>
    <row r="49" spans="1:22" x14ac:dyDescent="0.2">
      <c r="A49" s="65"/>
      <c r="B49" s="14"/>
      <c r="C49" s="52"/>
      <c r="D49" s="297"/>
      <c r="E49" s="1101"/>
      <c r="F49" s="426"/>
      <c r="G49" s="962"/>
      <c r="H49" s="756"/>
      <c r="I49" s="359"/>
      <c r="J49" s="155"/>
      <c r="K49" s="79" t="s">
        <v>220</v>
      </c>
      <c r="L49" s="478">
        <v>14964</v>
      </c>
      <c r="M49" s="262">
        <v>14964</v>
      </c>
      <c r="N49" s="262"/>
      <c r="O49" s="306"/>
      <c r="P49" s="235"/>
      <c r="Q49" s="1"/>
      <c r="R49" s="1"/>
      <c r="S49" s="1"/>
      <c r="T49" s="1"/>
      <c r="U49" s="1"/>
      <c r="V49" s="1"/>
    </row>
    <row r="50" spans="1:22" x14ac:dyDescent="0.2">
      <c r="A50" s="65"/>
      <c r="B50" s="14"/>
      <c r="C50" s="52"/>
      <c r="D50" s="297"/>
      <c r="E50" s="1101"/>
      <c r="F50" s="426"/>
      <c r="G50" s="962"/>
      <c r="H50" s="756"/>
      <c r="I50" s="359"/>
      <c r="J50" s="155"/>
      <c r="K50" s="79" t="s">
        <v>216</v>
      </c>
      <c r="L50" s="478">
        <v>8431</v>
      </c>
      <c r="M50" s="262">
        <v>8431</v>
      </c>
      <c r="N50" s="262"/>
      <c r="O50" s="306"/>
      <c r="P50" s="235"/>
      <c r="Q50" s="1"/>
      <c r="R50" s="1"/>
      <c r="S50" s="1"/>
      <c r="T50" s="1"/>
      <c r="U50" s="1"/>
      <c r="V50" s="1"/>
    </row>
    <row r="51" spans="1:22" x14ac:dyDescent="0.2">
      <c r="A51" s="65"/>
      <c r="B51" s="14"/>
      <c r="C51" s="52"/>
      <c r="D51" s="297"/>
      <c r="E51" s="1102"/>
      <c r="F51" s="427"/>
      <c r="G51" s="963"/>
      <c r="H51" s="757"/>
      <c r="I51" s="423"/>
      <c r="J51" s="155"/>
      <c r="K51" s="83" t="s">
        <v>16</v>
      </c>
      <c r="L51" s="185">
        <f>SUM(L47:L50)</f>
        <v>208347</v>
      </c>
      <c r="M51" s="185">
        <f>SUM(M47:M50)</f>
        <v>208347</v>
      </c>
      <c r="N51" s="185"/>
      <c r="O51" s="123"/>
      <c r="P51" s="235"/>
      <c r="Q51" s="1"/>
      <c r="R51" s="1"/>
      <c r="S51" s="1"/>
      <c r="T51" s="1"/>
      <c r="U51" s="1"/>
      <c r="V51" s="1"/>
    </row>
    <row r="52" spans="1:22" ht="13.5" thickBot="1" x14ac:dyDescent="0.25">
      <c r="A52" s="92"/>
      <c r="B52" s="15"/>
      <c r="C52" s="128"/>
      <c r="D52" s="298"/>
      <c r="E52" s="1116" t="s">
        <v>239</v>
      </c>
      <c r="F52" s="1116"/>
      <c r="G52" s="1116"/>
      <c r="H52" s="1116"/>
      <c r="I52" s="1116"/>
      <c r="J52" s="1116"/>
      <c r="K52" s="1117"/>
      <c r="L52" s="263">
        <f>L51+L46+L41+L36+L31+L25+L20</f>
        <v>57069297</v>
      </c>
      <c r="M52" s="263">
        <f>M51+M46+M41+M36+M31+M25+M20</f>
        <v>57260181</v>
      </c>
      <c r="N52" s="263">
        <f>N51+N46+N41+N36+N31+N25+N20</f>
        <v>190884</v>
      </c>
      <c r="O52" s="260"/>
      <c r="P52" s="124"/>
      <c r="Q52" s="1"/>
      <c r="R52" s="1"/>
      <c r="S52" s="1"/>
      <c r="T52" s="1"/>
      <c r="U52" s="1"/>
      <c r="V52" s="1"/>
    </row>
    <row r="53" spans="1:22" ht="45.75" customHeight="1" x14ac:dyDescent="0.2">
      <c r="A53" s="348" t="s">
        <v>14</v>
      </c>
      <c r="B53" s="73" t="s">
        <v>14</v>
      </c>
      <c r="C53" s="406" t="s">
        <v>17</v>
      </c>
      <c r="D53" s="850"/>
      <c r="E53" s="852" t="s">
        <v>106</v>
      </c>
      <c r="F53" s="854" t="s">
        <v>84</v>
      </c>
      <c r="G53" s="921" t="s">
        <v>183</v>
      </c>
      <c r="H53" s="778">
        <v>1002030488</v>
      </c>
      <c r="I53" s="803">
        <v>2</v>
      </c>
      <c r="J53" s="746" t="s">
        <v>98</v>
      </c>
      <c r="K53" s="33" t="s">
        <v>18</v>
      </c>
      <c r="L53" s="479">
        <f>50.9/3.4528*1000</f>
        <v>14742</v>
      </c>
      <c r="M53" s="179">
        <f>50.9/3.4528*1000</f>
        <v>14742</v>
      </c>
      <c r="N53" s="179"/>
      <c r="O53" s="848" t="s">
        <v>126</v>
      </c>
      <c r="P53" s="895">
        <v>1</v>
      </c>
      <c r="Q53" s="1"/>
      <c r="R53" s="1"/>
      <c r="S53" s="1"/>
      <c r="T53" s="1"/>
      <c r="U53" s="1"/>
      <c r="V53" s="1"/>
    </row>
    <row r="54" spans="1:22" ht="13.5" thickBot="1" x14ac:dyDescent="0.25">
      <c r="A54" s="340"/>
      <c r="B54" s="15"/>
      <c r="C54" s="407"/>
      <c r="D54" s="851"/>
      <c r="E54" s="853"/>
      <c r="F54" s="855"/>
      <c r="G54" s="922"/>
      <c r="H54" s="779"/>
      <c r="I54" s="804"/>
      <c r="J54" s="747"/>
      <c r="K54" s="81" t="s">
        <v>16</v>
      </c>
      <c r="L54" s="189">
        <f>L53</f>
        <v>14742</v>
      </c>
      <c r="M54" s="189">
        <f>M53</f>
        <v>14742</v>
      </c>
      <c r="N54" s="189"/>
      <c r="O54" s="849"/>
      <c r="P54" s="896"/>
      <c r="Q54" s="1"/>
      <c r="R54" s="1"/>
      <c r="S54" s="1"/>
      <c r="T54" s="1"/>
      <c r="U54" s="1"/>
      <c r="V54" s="1"/>
    </row>
    <row r="55" spans="1:22" ht="54" customHeight="1" x14ac:dyDescent="0.2">
      <c r="A55" s="434" t="s">
        <v>14</v>
      </c>
      <c r="B55" s="432" t="s">
        <v>14</v>
      </c>
      <c r="C55" s="444" t="s">
        <v>19</v>
      </c>
      <c r="D55" s="763"/>
      <c r="E55" s="852" t="s">
        <v>94</v>
      </c>
      <c r="F55" s="793"/>
      <c r="G55" s="1047"/>
      <c r="H55" s="1052">
        <v>10020502100</v>
      </c>
      <c r="I55" s="803">
        <v>2</v>
      </c>
      <c r="J55" s="746" t="s">
        <v>98</v>
      </c>
      <c r="K55" s="32" t="s">
        <v>18</v>
      </c>
      <c r="L55" s="480">
        <v>41190</v>
      </c>
      <c r="M55" s="175">
        <v>41190</v>
      </c>
      <c r="N55" s="175"/>
      <c r="O55" s="801" t="s">
        <v>155</v>
      </c>
      <c r="P55" s="923">
        <v>5</v>
      </c>
      <c r="Q55" s="1"/>
      <c r="R55" s="1"/>
      <c r="S55" s="1"/>
      <c r="T55" s="1"/>
      <c r="U55" s="1"/>
      <c r="V55" s="1"/>
    </row>
    <row r="56" spans="1:22" ht="13.5" thickBot="1" x14ac:dyDescent="0.25">
      <c r="A56" s="435"/>
      <c r="B56" s="15"/>
      <c r="C56" s="445"/>
      <c r="D56" s="795"/>
      <c r="E56" s="853"/>
      <c r="F56" s="794"/>
      <c r="G56" s="1048"/>
      <c r="H56" s="959"/>
      <c r="I56" s="804"/>
      <c r="J56" s="747"/>
      <c r="K56" s="81" t="s">
        <v>16</v>
      </c>
      <c r="L56" s="189">
        <f>L55</f>
        <v>41190</v>
      </c>
      <c r="M56" s="189">
        <f>M55</f>
        <v>41190</v>
      </c>
      <c r="N56" s="189"/>
      <c r="O56" s="802"/>
      <c r="P56" s="924"/>
      <c r="Q56" s="1"/>
      <c r="R56" s="1"/>
      <c r="S56" s="1"/>
      <c r="T56" s="1"/>
      <c r="U56" s="1"/>
      <c r="V56" s="1"/>
    </row>
    <row r="57" spans="1:22" ht="35.25" customHeight="1" x14ac:dyDescent="0.2">
      <c r="A57" s="430" t="s">
        <v>14</v>
      </c>
      <c r="B57" s="432" t="s">
        <v>14</v>
      </c>
      <c r="C57" s="122" t="s">
        <v>21</v>
      </c>
      <c r="D57" s="763"/>
      <c r="E57" s="943" t="s">
        <v>135</v>
      </c>
      <c r="F57" s="793"/>
      <c r="G57" s="921" t="s">
        <v>184</v>
      </c>
      <c r="H57" s="778">
        <v>10020503</v>
      </c>
      <c r="I57" s="803">
        <v>2</v>
      </c>
      <c r="J57" s="746" t="s">
        <v>98</v>
      </c>
      <c r="K57" s="32" t="s">
        <v>18</v>
      </c>
      <c r="L57" s="482">
        <v>84185</v>
      </c>
      <c r="M57" s="178">
        <v>84185</v>
      </c>
      <c r="N57" s="178"/>
      <c r="O57" s="1079" t="s">
        <v>136</v>
      </c>
      <c r="P57" s="440">
        <v>25</v>
      </c>
      <c r="Q57" s="1"/>
      <c r="R57" s="1"/>
      <c r="S57" s="1"/>
      <c r="T57" s="1"/>
      <c r="U57" s="1"/>
      <c r="V57" s="1"/>
    </row>
    <row r="58" spans="1:22" ht="13.5" thickBot="1" x14ac:dyDescent="0.25">
      <c r="A58" s="435"/>
      <c r="B58" s="15"/>
      <c r="C58" s="445"/>
      <c r="D58" s="795"/>
      <c r="E58" s="853"/>
      <c r="F58" s="794"/>
      <c r="G58" s="922"/>
      <c r="H58" s="779"/>
      <c r="I58" s="804"/>
      <c r="J58" s="747"/>
      <c r="K58" s="81" t="s">
        <v>16</v>
      </c>
      <c r="L58" s="189">
        <f>L57</f>
        <v>84185</v>
      </c>
      <c r="M58" s="189">
        <f>M57</f>
        <v>84185</v>
      </c>
      <c r="N58" s="189"/>
      <c r="O58" s="1080"/>
      <c r="P58" s="236"/>
      <c r="Q58" s="1"/>
      <c r="R58" s="1"/>
      <c r="S58" s="1"/>
      <c r="T58" s="1"/>
      <c r="U58" s="1"/>
      <c r="V58" s="1"/>
    </row>
    <row r="59" spans="1:22" ht="41.25" customHeight="1" x14ac:dyDescent="0.2">
      <c r="A59" s="434" t="s">
        <v>14</v>
      </c>
      <c r="B59" s="432" t="s">
        <v>14</v>
      </c>
      <c r="C59" s="444" t="s">
        <v>22</v>
      </c>
      <c r="D59" s="763"/>
      <c r="E59" s="1064" t="s">
        <v>127</v>
      </c>
      <c r="F59" s="793"/>
      <c r="G59" s="921" t="s">
        <v>187</v>
      </c>
      <c r="H59" s="778">
        <v>10020509</v>
      </c>
      <c r="I59" s="803">
        <v>2</v>
      </c>
      <c r="J59" s="746" t="s">
        <v>98</v>
      </c>
      <c r="K59" s="32" t="s">
        <v>15</v>
      </c>
      <c r="L59" s="482">
        <f>10/3.4528*1000</f>
        <v>2896</v>
      </c>
      <c r="M59" s="178">
        <f>10/3.4528*1000</f>
        <v>2896</v>
      </c>
      <c r="N59" s="178"/>
      <c r="O59" s="442" t="s">
        <v>128</v>
      </c>
      <c r="P59" s="118">
        <v>30</v>
      </c>
      <c r="Q59" s="1"/>
      <c r="R59" s="1"/>
      <c r="S59" s="1"/>
      <c r="T59" s="1"/>
      <c r="U59" s="1"/>
      <c r="V59" s="1"/>
    </row>
    <row r="60" spans="1:22" ht="13.5" thickBot="1" x14ac:dyDescent="0.25">
      <c r="A60" s="435"/>
      <c r="B60" s="15"/>
      <c r="C60" s="445"/>
      <c r="D60" s="795"/>
      <c r="E60" s="1065"/>
      <c r="F60" s="794"/>
      <c r="G60" s="922"/>
      <c r="H60" s="779"/>
      <c r="I60" s="804"/>
      <c r="J60" s="747"/>
      <c r="K60" s="81" t="s">
        <v>16</v>
      </c>
      <c r="L60" s="189">
        <f>L59</f>
        <v>2896</v>
      </c>
      <c r="M60" s="189">
        <f>M59</f>
        <v>2896</v>
      </c>
      <c r="N60" s="189"/>
      <c r="O60" s="443"/>
      <c r="P60" s="117"/>
      <c r="Q60" s="1"/>
      <c r="R60" s="1"/>
      <c r="S60" s="1"/>
      <c r="T60" s="1"/>
      <c r="U60" s="1"/>
      <c r="V60" s="1"/>
    </row>
    <row r="61" spans="1:22" ht="35.25" customHeight="1" x14ac:dyDescent="0.2">
      <c r="A61" s="434" t="s">
        <v>14</v>
      </c>
      <c r="B61" s="432" t="s">
        <v>14</v>
      </c>
      <c r="C61" s="444" t="s">
        <v>23</v>
      </c>
      <c r="D61" s="763"/>
      <c r="E61" s="1064" t="s">
        <v>129</v>
      </c>
      <c r="F61" s="793"/>
      <c r="G61" s="921" t="s">
        <v>188</v>
      </c>
      <c r="H61" s="778">
        <v>10020510</v>
      </c>
      <c r="I61" s="803">
        <v>2</v>
      </c>
      <c r="J61" s="746" t="s">
        <v>98</v>
      </c>
      <c r="K61" s="32" t="s">
        <v>15</v>
      </c>
      <c r="L61" s="482">
        <f>50/3.4528*1000</f>
        <v>14481</v>
      </c>
      <c r="M61" s="178">
        <f>50/3.4528*1000</f>
        <v>14481</v>
      </c>
      <c r="N61" s="178"/>
      <c r="O61" s="1075" t="s">
        <v>130</v>
      </c>
      <c r="P61" s="1077">
        <v>1.5</v>
      </c>
      <c r="Q61" s="1"/>
      <c r="R61" s="1"/>
      <c r="S61" s="1"/>
      <c r="T61" s="1"/>
      <c r="U61" s="1"/>
      <c r="V61" s="1"/>
    </row>
    <row r="62" spans="1:22" ht="13.5" thickBot="1" x14ac:dyDescent="0.25">
      <c r="A62" s="435"/>
      <c r="B62" s="15"/>
      <c r="C62" s="445"/>
      <c r="D62" s="795"/>
      <c r="E62" s="1065"/>
      <c r="F62" s="794"/>
      <c r="G62" s="922"/>
      <c r="H62" s="779"/>
      <c r="I62" s="804"/>
      <c r="J62" s="747"/>
      <c r="K62" s="81" t="s">
        <v>16</v>
      </c>
      <c r="L62" s="189">
        <f>L61</f>
        <v>14481</v>
      </c>
      <c r="M62" s="189">
        <f>M61</f>
        <v>14481</v>
      </c>
      <c r="N62" s="189"/>
      <c r="O62" s="1076"/>
      <c r="P62" s="1078"/>
      <c r="Q62" s="1"/>
      <c r="R62" s="1"/>
      <c r="S62" s="1"/>
      <c r="T62" s="1"/>
      <c r="U62" s="1"/>
      <c r="V62" s="1"/>
    </row>
    <row r="63" spans="1:22" ht="13.5" thickBot="1" x14ac:dyDescent="0.25">
      <c r="A63" s="435" t="s">
        <v>14</v>
      </c>
      <c r="B63" s="433" t="s">
        <v>14</v>
      </c>
      <c r="C63" s="1081" t="s">
        <v>20</v>
      </c>
      <c r="D63" s="1081"/>
      <c r="E63" s="1081"/>
      <c r="F63" s="1081"/>
      <c r="G63" s="1081"/>
      <c r="H63" s="1081"/>
      <c r="I63" s="1081"/>
      <c r="J63" s="1082"/>
      <c r="K63" s="966"/>
      <c r="L63" s="177">
        <f>L62+L60+L58+L56+L54+L52</f>
        <v>57226791</v>
      </c>
      <c r="M63" s="177">
        <f>M62+M60+M58+M56+M54+M52</f>
        <v>57417675</v>
      </c>
      <c r="N63" s="177">
        <f>N62+N60+N58+N56+N54+N52</f>
        <v>190884</v>
      </c>
      <c r="O63" s="796"/>
      <c r="P63" s="797"/>
      <c r="Q63" s="1"/>
      <c r="R63" s="1"/>
      <c r="S63" s="1"/>
      <c r="T63" s="1"/>
      <c r="U63" s="1"/>
      <c r="V63" s="1"/>
    </row>
    <row r="64" spans="1:22" ht="13.5" thickBot="1" x14ac:dyDescent="0.25">
      <c r="A64" s="6" t="s">
        <v>14</v>
      </c>
      <c r="B64" s="8" t="s">
        <v>17</v>
      </c>
      <c r="C64" s="947" t="s">
        <v>75</v>
      </c>
      <c r="D64" s="948"/>
      <c r="E64" s="948"/>
      <c r="F64" s="948"/>
      <c r="G64" s="948"/>
      <c r="H64" s="948"/>
      <c r="I64" s="948"/>
      <c r="J64" s="948"/>
      <c r="K64" s="948"/>
      <c r="L64" s="948"/>
      <c r="M64" s="948"/>
      <c r="N64" s="948"/>
      <c r="O64" s="948"/>
      <c r="P64" s="949"/>
      <c r="Q64" s="1"/>
      <c r="R64" s="1"/>
      <c r="S64" s="1"/>
      <c r="T64" s="1"/>
      <c r="U64" s="1"/>
      <c r="V64" s="1"/>
    </row>
    <row r="65" spans="1:22" ht="51" customHeight="1" x14ac:dyDescent="0.2">
      <c r="A65" s="72" t="s">
        <v>14</v>
      </c>
      <c r="B65" s="835" t="s">
        <v>17</v>
      </c>
      <c r="C65" s="937" t="s">
        <v>14</v>
      </c>
      <c r="D65" s="939"/>
      <c r="E65" s="941" t="s">
        <v>78</v>
      </c>
      <c r="F65" s="767"/>
      <c r="G65" s="921" t="s">
        <v>189</v>
      </c>
      <c r="H65" s="778">
        <v>1003030100</v>
      </c>
      <c r="I65" s="1067">
        <v>2</v>
      </c>
      <c r="J65" s="810" t="s">
        <v>98</v>
      </c>
      <c r="K65" s="424" t="s">
        <v>15</v>
      </c>
      <c r="L65" s="484">
        <f>65.4/3.4528*1000</f>
        <v>18941</v>
      </c>
      <c r="M65" s="208">
        <f>65.4/3.4528*1000</f>
        <v>18941</v>
      </c>
      <c r="N65" s="208"/>
      <c r="O65" s="358" t="s">
        <v>79</v>
      </c>
      <c r="P65" s="361">
        <v>36</v>
      </c>
      <c r="Q65" s="1"/>
      <c r="R65" s="1"/>
      <c r="S65" s="1"/>
      <c r="T65" s="1"/>
      <c r="U65" s="1"/>
      <c r="V65" s="1"/>
    </row>
    <row r="66" spans="1:22" ht="13.5" thickBot="1" x14ac:dyDescent="0.25">
      <c r="A66" s="340"/>
      <c r="B66" s="836"/>
      <c r="C66" s="938"/>
      <c r="D66" s="940"/>
      <c r="E66" s="942"/>
      <c r="F66" s="1066"/>
      <c r="G66" s="922"/>
      <c r="H66" s="779"/>
      <c r="I66" s="1068"/>
      <c r="J66" s="986"/>
      <c r="K66" s="139" t="s">
        <v>16</v>
      </c>
      <c r="L66" s="264">
        <f>L65</f>
        <v>18941</v>
      </c>
      <c r="M66" s="264">
        <f>M65</f>
        <v>18941</v>
      </c>
      <c r="N66" s="264"/>
      <c r="O66" s="331" t="s">
        <v>131</v>
      </c>
      <c r="P66" s="68">
        <v>20</v>
      </c>
      <c r="Q66" s="1"/>
      <c r="R66" s="1"/>
      <c r="S66" s="1"/>
      <c r="T66" s="1"/>
      <c r="U66" s="1"/>
      <c r="V66" s="1"/>
    </row>
    <row r="67" spans="1:22" ht="40.5" customHeight="1" x14ac:dyDescent="0.2">
      <c r="A67" s="935" t="s">
        <v>14</v>
      </c>
      <c r="B67" s="835" t="s">
        <v>17</v>
      </c>
      <c r="C67" s="780" t="s">
        <v>17</v>
      </c>
      <c r="D67" s="763"/>
      <c r="E67" s="765" t="s">
        <v>133</v>
      </c>
      <c r="F67" s="767"/>
      <c r="G67" s="921" t="s">
        <v>190</v>
      </c>
      <c r="H67" s="778">
        <v>10020307</v>
      </c>
      <c r="I67" s="769">
        <v>2</v>
      </c>
      <c r="J67" s="746" t="s">
        <v>98</v>
      </c>
      <c r="K67" s="96" t="s">
        <v>18</v>
      </c>
      <c r="L67" s="480">
        <v>30523</v>
      </c>
      <c r="M67" s="175">
        <v>30523</v>
      </c>
      <c r="N67" s="175"/>
      <c r="O67" s="805" t="s">
        <v>156</v>
      </c>
      <c r="P67" s="44">
        <v>17</v>
      </c>
      <c r="Q67" s="1"/>
      <c r="R67" s="1"/>
      <c r="S67" s="1"/>
      <c r="T67" s="1"/>
      <c r="U67" s="1"/>
      <c r="V67" s="1"/>
    </row>
    <row r="68" spans="1:22" ht="13.5" thickBot="1" x14ac:dyDescent="0.25">
      <c r="A68" s="936"/>
      <c r="B68" s="859"/>
      <c r="C68" s="782"/>
      <c r="D68" s="764"/>
      <c r="E68" s="766"/>
      <c r="F68" s="768"/>
      <c r="G68" s="922"/>
      <c r="H68" s="779"/>
      <c r="I68" s="770"/>
      <c r="J68" s="747"/>
      <c r="K68" s="81" t="s">
        <v>16</v>
      </c>
      <c r="L68" s="189">
        <f>L67</f>
        <v>30523</v>
      </c>
      <c r="M68" s="189">
        <f>M67</f>
        <v>30523</v>
      </c>
      <c r="N68" s="189"/>
      <c r="O68" s="806"/>
      <c r="P68" s="237"/>
      <c r="Q68" s="1"/>
      <c r="R68" s="1"/>
      <c r="S68" s="1"/>
      <c r="T68" s="1"/>
      <c r="U68" s="1"/>
      <c r="V68" s="1"/>
    </row>
    <row r="69" spans="1:22" ht="46.5" customHeight="1" x14ac:dyDescent="0.2">
      <c r="A69" s="1024" t="s">
        <v>14</v>
      </c>
      <c r="B69" s="432" t="s">
        <v>17</v>
      </c>
      <c r="C69" s="1083" t="s">
        <v>19</v>
      </c>
      <c r="D69" s="1087"/>
      <c r="E69" s="771" t="s">
        <v>36</v>
      </c>
      <c r="F69" s="767"/>
      <c r="G69" s="921" t="s">
        <v>191</v>
      </c>
      <c r="H69" s="778">
        <v>1003040100</v>
      </c>
      <c r="I69" s="1089">
        <v>2</v>
      </c>
      <c r="J69" s="744" t="s">
        <v>98</v>
      </c>
      <c r="K69" s="121" t="s">
        <v>15</v>
      </c>
      <c r="L69" s="484">
        <f>136.7/3.4528*1000</f>
        <v>39591</v>
      </c>
      <c r="M69" s="208">
        <f>136.7/3.4528*1000</f>
        <v>39591</v>
      </c>
      <c r="N69" s="208"/>
      <c r="O69" s="125" t="s">
        <v>157</v>
      </c>
      <c r="P69" s="235">
        <v>180</v>
      </c>
      <c r="Q69" s="1"/>
      <c r="R69" s="1"/>
      <c r="S69" s="1"/>
      <c r="T69" s="1"/>
      <c r="U69" s="1"/>
      <c r="V69" s="1"/>
    </row>
    <row r="70" spans="1:22" ht="13.5" thickBot="1" x14ac:dyDescent="0.25">
      <c r="A70" s="1025"/>
      <c r="B70" s="433"/>
      <c r="C70" s="1084"/>
      <c r="D70" s="1088"/>
      <c r="E70" s="1069"/>
      <c r="F70" s="1066"/>
      <c r="G70" s="922"/>
      <c r="H70" s="779"/>
      <c r="I70" s="1090"/>
      <c r="J70" s="745"/>
      <c r="K70" s="334" t="s">
        <v>16</v>
      </c>
      <c r="L70" s="189">
        <f>L69</f>
        <v>39591</v>
      </c>
      <c r="M70" s="189">
        <f>M69</f>
        <v>39591</v>
      </c>
      <c r="N70" s="189"/>
      <c r="O70" s="126"/>
      <c r="P70" s="134"/>
      <c r="Q70" s="1"/>
      <c r="R70" s="1"/>
      <c r="S70" s="1"/>
      <c r="T70" s="1"/>
      <c r="U70" s="1"/>
      <c r="V70" s="1"/>
    </row>
    <row r="71" spans="1:22" ht="21" customHeight="1" x14ac:dyDescent="0.2">
      <c r="A71" s="935" t="s">
        <v>14</v>
      </c>
      <c r="B71" s="835" t="s">
        <v>17</v>
      </c>
      <c r="C71" s="780" t="s">
        <v>21</v>
      </c>
      <c r="D71" s="763"/>
      <c r="E71" s="771" t="s">
        <v>166</v>
      </c>
      <c r="F71" s="767" t="s">
        <v>80</v>
      </c>
      <c r="G71" s="921" t="s">
        <v>192</v>
      </c>
      <c r="H71" s="778">
        <v>10020507</v>
      </c>
      <c r="I71" s="775">
        <v>2</v>
      </c>
      <c r="J71" s="748" t="s">
        <v>99</v>
      </c>
      <c r="K71" s="95" t="s">
        <v>18</v>
      </c>
      <c r="L71" s="482">
        <f>133.5/3.4528*1000</f>
        <v>38664</v>
      </c>
      <c r="M71" s="178">
        <f>133.5/3.4528*1000</f>
        <v>38664</v>
      </c>
      <c r="N71" s="178"/>
      <c r="O71" s="69" t="s">
        <v>54</v>
      </c>
      <c r="P71" s="44">
        <v>2</v>
      </c>
      <c r="Q71" s="1"/>
      <c r="R71" s="1"/>
      <c r="S71" s="1"/>
      <c r="T71" s="1"/>
      <c r="U71" s="1"/>
      <c r="V71" s="1"/>
    </row>
    <row r="72" spans="1:22" ht="21" customHeight="1" x14ac:dyDescent="0.2">
      <c r="A72" s="1091"/>
      <c r="B72" s="858"/>
      <c r="C72" s="781"/>
      <c r="D72" s="985"/>
      <c r="E72" s="772"/>
      <c r="F72" s="774"/>
      <c r="G72" s="962"/>
      <c r="H72" s="756"/>
      <c r="I72" s="776"/>
      <c r="J72" s="837"/>
      <c r="K72" s="33"/>
      <c r="L72" s="479"/>
      <c r="M72" s="179"/>
      <c r="N72" s="179"/>
      <c r="O72" s="127"/>
      <c r="P72" s="97"/>
      <c r="Q72" s="1"/>
      <c r="R72" s="1"/>
      <c r="S72" s="1"/>
      <c r="T72" s="1"/>
      <c r="U72" s="1"/>
      <c r="V72" s="1"/>
    </row>
    <row r="73" spans="1:22" ht="13.5" thickBot="1" x14ac:dyDescent="0.25">
      <c r="A73" s="936"/>
      <c r="B73" s="859"/>
      <c r="C73" s="782"/>
      <c r="D73" s="764"/>
      <c r="E73" s="773"/>
      <c r="F73" s="768"/>
      <c r="G73" s="922"/>
      <c r="H73" s="779"/>
      <c r="I73" s="777"/>
      <c r="J73" s="749"/>
      <c r="K73" s="81" t="s">
        <v>16</v>
      </c>
      <c r="L73" s="189">
        <f>SUM(L71:L72)</f>
        <v>38664</v>
      </c>
      <c r="M73" s="189">
        <f>SUM(M71:M72)</f>
        <v>38664</v>
      </c>
      <c r="N73" s="189"/>
      <c r="O73" s="446"/>
      <c r="P73" s="237"/>
      <c r="Q73" s="1"/>
      <c r="R73" s="1"/>
      <c r="S73" s="1"/>
      <c r="T73" s="1"/>
      <c r="U73" s="1"/>
      <c r="V73" s="1"/>
    </row>
    <row r="74" spans="1:22" ht="42.75" customHeight="1" x14ac:dyDescent="0.2">
      <c r="A74" s="935" t="s">
        <v>14</v>
      </c>
      <c r="B74" s="835" t="s">
        <v>17</v>
      </c>
      <c r="C74" s="780" t="s">
        <v>22</v>
      </c>
      <c r="D74" s="763"/>
      <c r="E74" s="771" t="s">
        <v>81</v>
      </c>
      <c r="F74" s="767"/>
      <c r="G74" s="921" t="s">
        <v>193</v>
      </c>
      <c r="H74" s="778">
        <v>10020506</v>
      </c>
      <c r="I74" s="775">
        <v>2</v>
      </c>
      <c r="J74" s="748" t="s">
        <v>99</v>
      </c>
      <c r="K74" s="96" t="s">
        <v>18</v>
      </c>
      <c r="L74" s="480">
        <v>110846</v>
      </c>
      <c r="M74" s="175">
        <v>110846</v>
      </c>
      <c r="N74" s="175"/>
      <c r="O74" s="119" t="s">
        <v>54</v>
      </c>
      <c r="P74" s="120">
        <v>34</v>
      </c>
      <c r="Q74" s="1"/>
      <c r="R74" s="1"/>
      <c r="S74" s="1"/>
      <c r="T74" s="1"/>
      <c r="U74" s="1"/>
      <c r="V74" s="1"/>
    </row>
    <row r="75" spans="1:22" ht="13.5" thickBot="1" x14ac:dyDescent="0.25">
      <c r="A75" s="936"/>
      <c r="B75" s="859"/>
      <c r="C75" s="782"/>
      <c r="D75" s="764"/>
      <c r="E75" s="773"/>
      <c r="F75" s="768"/>
      <c r="G75" s="922"/>
      <c r="H75" s="779"/>
      <c r="I75" s="777"/>
      <c r="J75" s="749"/>
      <c r="K75" s="81" t="s">
        <v>16</v>
      </c>
      <c r="L75" s="189">
        <f>L74</f>
        <v>110846</v>
      </c>
      <c r="M75" s="189">
        <f>M74</f>
        <v>110846</v>
      </c>
      <c r="N75" s="189"/>
      <c r="O75" s="446"/>
      <c r="P75" s="237"/>
      <c r="Q75" s="1"/>
      <c r="R75" s="1"/>
      <c r="S75" s="1"/>
      <c r="T75" s="1"/>
      <c r="U75" s="1"/>
      <c r="V75" s="1"/>
    </row>
    <row r="76" spans="1:22" ht="33" customHeight="1" x14ac:dyDescent="0.2">
      <c r="A76" s="1024" t="s">
        <v>14</v>
      </c>
      <c r="B76" s="432" t="s">
        <v>17</v>
      </c>
      <c r="C76" s="1083" t="s">
        <v>23</v>
      </c>
      <c r="D76" s="1087"/>
      <c r="E76" s="771" t="s">
        <v>132</v>
      </c>
      <c r="F76" s="767"/>
      <c r="G76" s="921" t="s">
        <v>194</v>
      </c>
      <c r="H76" s="778">
        <v>10030408</v>
      </c>
      <c r="I76" s="1089">
        <v>2</v>
      </c>
      <c r="J76" s="744" t="s">
        <v>99</v>
      </c>
      <c r="K76" s="121" t="s">
        <v>15</v>
      </c>
      <c r="L76" s="484">
        <f>30/3.4528*1000</f>
        <v>8689</v>
      </c>
      <c r="M76" s="208">
        <f>30/3.4528*1000</f>
        <v>8689</v>
      </c>
      <c r="N76" s="208"/>
      <c r="O76" s="125" t="s">
        <v>91</v>
      </c>
      <c r="P76" s="238">
        <v>5000</v>
      </c>
      <c r="Q76" s="1"/>
      <c r="R76" s="1"/>
      <c r="S76" s="1"/>
      <c r="T76" s="1"/>
      <c r="U76" s="1"/>
      <c r="V76" s="1"/>
    </row>
    <row r="77" spans="1:22" ht="13.5" thickBot="1" x14ac:dyDescent="0.25">
      <c r="A77" s="1025"/>
      <c r="B77" s="433"/>
      <c r="C77" s="1084"/>
      <c r="D77" s="1088"/>
      <c r="E77" s="1069"/>
      <c r="F77" s="1066"/>
      <c r="G77" s="922"/>
      <c r="H77" s="779"/>
      <c r="I77" s="1090"/>
      <c r="J77" s="745"/>
      <c r="K77" s="334" t="s">
        <v>16</v>
      </c>
      <c r="L77" s="189">
        <f>L76</f>
        <v>8689</v>
      </c>
      <c r="M77" s="189">
        <f>M76</f>
        <v>8689</v>
      </c>
      <c r="N77" s="189"/>
      <c r="O77" s="126"/>
      <c r="P77" s="134"/>
      <c r="Q77" s="1"/>
      <c r="R77" s="1"/>
      <c r="S77" s="1"/>
      <c r="T77" s="1"/>
      <c r="U77" s="1"/>
      <c r="V77" s="1"/>
    </row>
    <row r="78" spans="1:22" ht="42" customHeight="1" x14ac:dyDescent="0.2">
      <c r="A78" s="1024" t="s">
        <v>14</v>
      </c>
      <c r="B78" s="537" t="s">
        <v>17</v>
      </c>
      <c r="C78" s="1083" t="s">
        <v>44</v>
      </c>
      <c r="D78" s="1087"/>
      <c r="E78" s="1182" t="s">
        <v>139</v>
      </c>
      <c r="F78" s="1184" t="s">
        <v>87</v>
      </c>
      <c r="G78" s="1150" t="s">
        <v>195</v>
      </c>
      <c r="H78" s="1153">
        <v>10010104</v>
      </c>
      <c r="I78" s="1089">
        <v>2</v>
      </c>
      <c r="J78" s="744" t="s">
        <v>99</v>
      </c>
      <c r="K78" s="558" t="s">
        <v>15</v>
      </c>
      <c r="L78" s="494">
        <v>27027</v>
      </c>
      <c r="M78" s="718">
        <f>438.6/3.4528*1000</f>
        <v>127027</v>
      </c>
      <c r="N78" s="624">
        <f>M78-L78</f>
        <v>100000</v>
      </c>
      <c r="O78" s="1177" t="s">
        <v>108</v>
      </c>
      <c r="P78" s="559">
        <f>24+29</f>
        <v>53</v>
      </c>
    </row>
    <row r="79" spans="1:22" ht="13.5" thickBot="1" x14ac:dyDescent="0.25">
      <c r="A79" s="1025"/>
      <c r="B79" s="539"/>
      <c r="C79" s="1084"/>
      <c r="D79" s="1088"/>
      <c r="E79" s="1183"/>
      <c r="F79" s="1185"/>
      <c r="G79" s="1152"/>
      <c r="H79" s="1155"/>
      <c r="I79" s="1090"/>
      <c r="J79" s="745"/>
      <c r="K79" s="560" t="s">
        <v>16</v>
      </c>
      <c r="L79" s="191">
        <f>L78</f>
        <v>27027</v>
      </c>
      <c r="M79" s="561">
        <f>M78</f>
        <v>127027</v>
      </c>
      <c r="N79" s="191">
        <f>N78</f>
        <v>100000</v>
      </c>
      <c r="O79" s="1178"/>
      <c r="P79" s="562"/>
    </row>
    <row r="80" spans="1:22" ht="13.5" thickBot="1" x14ac:dyDescent="0.25">
      <c r="A80" s="6" t="s">
        <v>14</v>
      </c>
      <c r="B80" s="5" t="s">
        <v>17</v>
      </c>
      <c r="C80" s="762" t="s">
        <v>20</v>
      </c>
      <c r="D80" s="762"/>
      <c r="E80" s="762"/>
      <c r="F80" s="762"/>
      <c r="G80" s="762"/>
      <c r="H80" s="762"/>
      <c r="I80" s="762"/>
      <c r="J80" s="762"/>
      <c r="K80" s="762"/>
      <c r="L80" s="177">
        <f>L79+L77+L75+L73+L70+L68+L66</f>
        <v>274281</v>
      </c>
      <c r="M80" s="177">
        <f>M79+M77+M75+M73+M70+M68+M66</f>
        <v>374281</v>
      </c>
      <c r="N80" s="177">
        <f>N79+N77+N75+N73+N70+N68+N66</f>
        <v>100000</v>
      </c>
      <c r="O80" s="540"/>
      <c r="P80" s="563"/>
    </row>
    <row r="81" spans="1:22" ht="13.5" thickBot="1" x14ac:dyDescent="0.25">
      <c r="A81" s="6" t="s">
        <v>14</v>
      </c>
      <c r="B81" s="758" t="s">
        <v>6</v>
      </c>
      <c r="C81" s="759"/>
      <c r="D81" s="759"/>
      <c r="E81" s="759"/>
      <c r="F81" s="759"/>
      <c r="G81" s="759"/>
      <c r="H81" s="759"/>
      <c r="I81" s="759"/>
      <c r="J81" s="759"/>
      <c r="K81" s="759"/>
      <c r="L81" s="182">
        <f>L80+L63</f>
        <v>57501072</v>
      </c>
      <c r="M81" s="182">
        <f>M80+M63</f>
        <v>57791956</v>
      </c>
      <c r="N81" s="182">
        <f>N80+N63</f>
        <v>290884</v>
      </c>
      <c r="O81" s="1006"/>
      <c r="P81" s="1007"/>
    </row>
    <row r="82" spans="1:22" ht="13.5" thickBot="1" x14ac:dyDescent="0.25">
      <c r="A82" s="434" t="s">
        <v>17</v>
      </c>
      <c r="B82" s="1179" t="s">
        <v>45</v>
      </c>
      <c r="C82" s="1180"/>
      <c r="D82" s="1180"/>
      <c r="E82" s="1180"/>
      <c r="F82" s="1180"/>
      <c r="G82" s="1180"/>
      <c r="H82" s="1180"/>
      <c r="I82" s="1180"/>
      <c r="J82" s="1180"/>
      <c r="K82" s="1180"/>
      <c r="L82" s="1180"/>
      <c r="M82" s="1180"/>
      <c r="N82" s="1180"/>
      <c r="O82" s="1180"/>
      <c r="P82" s="1181"/>
    </row>
    <row r="83" spans="1:22" s="2" customFormat="1" ht="13.5" thickBot="1" x14ac:dyDescent="0.25">
      <c r="A83" s="10" t="s">
        <v>17</v>
      </c>
      <c r="B83" s="8" t="s">
        <v>14</v>
      </c>
      <c r="C83" s="1186" t="s">
        <v>38</v>
      </c>
      <c r="D83" s="1187"/>
      <c r="E83" s="1187"/>
      <c r="F83" s="1187"/>
      <c r="G83" s="1187"/>
      <c r="H83" s="1187"/>
      <c r="I83" s="1187"/>
      <c r="J83" s="1187"/>
      <c r="K83" s="1187"/>
      <c r="L83" s="1188"/>
      <c r="M83" s="1188"/>
      <c r="N83" s="1188"/>
      <c r="O83" s="1187"/>
      <c r="P83" s="1189"/>
      <c r="Q83" s="70"/>
      <c r="R83" s="304"/>
      <c r="S83" s="70"/>
      <c r="T83" s="70"/>
      <c r="U83" s="304"/>
      <c r="V83" s="70"/>
    </row>
    <row r="84" spans="1:22" s="2" customFormat="1" ht="29.25" customHeight="1" x14ac:dyDescent="0.2">
      <c r="A84" s="430" t="s">
        <v>17</v>
      </c>
      <c r="B84" s="537" t="s">
        <v>14</v>
      </c>
      <c r="C84" s="122" t="s">
        <v>14</v>
      </c>
      <c r="D84" s="564"/>
      <c r="E84" s="565" t="s">
        <v>46</v>
      </c>
      <c r="F84" s="566"/>
      <c r="G84" s="567" t="s">
        <v>196</v>
      </c>
      <c r="H84" s="568"/>
      <c r="I84" s="569"/>
      <c r="J84" s="212"/>
      <c r="K84" s="212"/>
      <c r="L84" s="605"/>
      <c r="M84" s="596"/>
      <c r="N84" s="268"/>
      <c r="O84" s="570"/>
      <c r="P84" s="242"/>
      <c r="Q84" s="70"/>
      <c r="R84" s="304"/>
      <c r="S84" s="70"/>
      <c r="T84" s="70"/>
      <c r="U84" s="304"/>
      <c r="V84" s="70"/>
    </row>
    <row r="85" spans="1:22" s="2" customFormat="1" x14ac:dyDescent="0.2">
      <c r="A85" s="346"/>
      <c r="B85" s="538"/>
      <c r="C85" s="535"/>
      <c r="D85" s="61" t="s">
        <v>14</v>
      </c>
      <c r="E85" s="1164" t="s">
        <v>110</v>
      </c>
      <c r="F85" s="571" t="s">
        <v>2</v>
      </c>
      <c r="G85" s="1167" t="s">
        <v>197</v>
      </c>
      <c r="H85" s="1170">
        <v>10010215</v>
      </c>
      <c r="I85" s="572">
        <v>5</v>
      </c>
      <c r="J85" s="1172" t="s">
        <v>97</v>
      </c>
      <c r="K85" s="573" t="s">
        <v>15</v>
      </c>
      <c r="L85" s="492">
        <v>266856</v>
      </c>
      <c r="M85" s="597">
        <v>266856</v>
      </c>
      <c r="N85" s="574"/>
      <c r="O85" s="1175" t="s">
        <v>73</v>
      </c>
      <c r="P85" s="308"/>
      <c r="Q85" s="70"/>
      <c r="R85" s="304"/>
      <c r="S85" s="70"/>
      <c r="T85" s="70"/>
      <c r="U85" s="304"/>
      <c r="V85" s="70"/>
    </row>
    <row r="86" spans="1:22" s="2" customFormat="1" x14ac:dyDescent="0.2">
      <c r="A86" s="549"/>
      <c r="B86" s="546"/>
      <c r="C86" s="553"/>
      <c r="D86" s="60"/>
      <c r="E86" s="1165"/>
      <c r="F86" s="575"/>
      <c r="G86" s="1168"/>
      <c r="H86" s="1154"/>
      <c r="I86" s="576"/>
      <c r="J86" s="1173"/>
      <c r="K86" s="626" t="s">
        <v>43</v>
      </c>
      <c r="L86" s="578"/>
      <c r="M86" s="719">
        <v>158937</v>
      </c>
      <c r="N86" s="625">
        <f>M86-L86</f>
        <v>158937</v>
      </c>
      <c r="O86" s="1176"/>
      <c r="P86" s="309"/>
      <c r="Q86" s="70"/>
      <c r="R86" s="304"/>
      <c r="S86" s="70"/>
      <c r="T86" s="70"/>
      <c r="U86" s="304"/>
      <c r="V86" s="70"/>
    </row>
    <row r="87" spans="1:22" s="2" customFormat="1" x14ac:dyDescent="0.2">
      <c r="A87" s="346"/>
      <c r="B87" s="538"/>
      <c r="C87" s="535"/>
      <c r="D87" s="60"/>
      <c r="E87" s="1165"/>
      <c r="F87" s="575"/>
      <c r="G87" s="1168"/>
      <c r="H87" s="1154"/>
      <c r="I87" s="576"/>
      <c r="J87" s="1173"/>
      <c r="K87" s="577" t="s">
        <v>3</v>
      </c>
      <c r="L87" s="578">
        <f>1102.9/3.4528*1000</f>
        <v>319422</v>
      </c>
      <c r="M87" s="598">
        <f>1102.9/3.4528*1000</f>
        <v>319422</v>
      </c>
      <c r="N87" s="579"/>
      <c r="O87" s="1176"/>
      <c r="P87" s="309">
        <v>100</v>
      </c>
      <c r="Q87" s="70"/>
      <c r="R87" s="304"/>
      <c r="S87" s="70"/>
      <c r="T87" s="70"/>
      <c r="U87" s="304"/>
      <c r="V87" s="70"/>
    </row>
    <row r="88" spans="1:22" x14ac:dyDescent="0.2">
      <c r="A88" s="346"/>
      <c r="B88" s="538"/>
      <c r="C88" s="535"/>
      <c r="D88" s="62"/>
      <c r="E88" s="1166"/>
      <c r="F88" s="580"/>
      <c r="G88" s="1169"/>
      <c r="H88" s="1171"/>
      <c r="I88" s="581"/>
      <c r="J88" s="1174"/>
      <c r="K88" s="582" t="s">
        <v>16</v>
      </c>
      <c r="L88" s="583">
        <f>SUM(L85:L87)</f>
        <v>586278</v>
      </c>
      <c r="M88" s="599">
        <f>SUM(M85:M87)</f>
        <v>745215</v>
      </c>
      <c r="N88" s="583">
        <f>SUM(N85:N87)</f>
        <v>158937</v>
      </c>
      <c r="O88" s="584"/>
      <c r="P88" s="585"/>
    </row>
    <row r="89" spans="1:22" ht="21" customHeight="1" x14ac:dyDescent="0.2">
      <c r="A89" s="346"/>
      <c r="B89" s="538"/>
      <c r="C89" s="535"/>
      <c r="D89" s="61" t="s">
        <v>17</v>
      </c>
      <c r="E89" s="1118" t="s">
        <v>107</v>
      </c>
      <c r="F89" s="586" t="s">
        <v>2</v>
      </c>
      <c r="G89" s="1120" t="s">
        <v>181</v>
      </c>
      <c r="H89" s="1123">
        <v>10010206</v>
      </c>
      <c r="I89" s="572">
        <v>5</v>
      </c>
      <c r="J89" s="1126" t="s">
        <v>97</v>
      </c>
      <c r="K89" s="587" t="s">
        <v>43</v>
      </c>
      <c r="L89" s="578">
        <v>7183</v>
      </c>
      <c r="M89" s="600">
        <v>7183</v>
      </c>
      <c r="N89" s="588">
        <f>M89-L89</f>
        <v>0</v>
      </c>
      <c r="O89" s="1162" t="s">
        <v>217</v>
      </c>
      <c r="P89" s="372">
        <v>100</v>
      </c>
    </row>
    <row r="90" spans="1:22" ht="21" customHeight="1" x14ac:dyDescent="0.2">
      <c r="A90" s="346"/>
      <c r="B90" s="538"/>
      <c r="C90" s="535"/>
      <c r="D90" s="60"/>
      <c r="E90" s="1119"/>
      <c r="F90" s="571" t="s">
        <v>47</v>
      </c>
      <c r="G90" s="1121"/>
      <c r="H90" s="1124"/>
      <c r="I90" s="576"/>
      <c r="J90" s="1127"/>
      <c r="K90" s="589" t="s">
        <v>15</v>
      </c>
      <c r="L90" s="492">
        <f>1500+759</f>
        <v>2259</v>
      </c>
      <c r="M90" s="601">
        <f>1500+759</f>
        <v>2259</v>
      </c>
      <c r="N90" s="590">
        <f>M90-L90</f>
        <v>0</v>
      </c>
      <c r="O90" s="1163"/>
      <c r="P90" s="205"/>
    </row>
    <row r="91" spans="1:22" x14ac:dyDescent="0.2">
      <c r="A91" s="346"/>
      <c r="B91" s="538"/>
      <c r="C91" s="49"/>
      <c r="D91" s="60"/>
      <c r="E91" s="1119"/>
      <c r="F91" s="575"/>
      <c r="G91" s="1122"/>
      <c r="H91" s="1125"/>
      <c r="I91" s="581"/>
      <c r="J91" s="1128"/>
      <c r="K91" s="591" t="s">
        <v>16</v>
      </c>
      <c r="L91" s="273">
        <f>SUM(L89:L90)</f>
        <v>9442</v>
      </c>
      <c r="M91" s="602">
        <f>SUM(M89:M90)</f>
        <v>9442</v>
      </c>
      <c r="N91" s="273">
        <f>SUM(N89:N90)</f>
        <v>0</v>
      </c>
      <c r="O91" s="592"/>
      <c r="P91" s="593"/>
    </row>
    <row r="92" spans="1:22" ht="22.5" customHeight="1" x14ac:dyDescent="0.2">
      <c r="A92" s="346"/>
      <c r="B92" s="538"/>
      <c r="C92" s="535"/>
      <c r="D92" s="61" t="s">
        <v>19</v>
      </c>
      <c r="E92" s="1118" t="s">
        <v>225</v>
      </c>
      <c r="F92" s="586" t="s">
        <v>2</v>
      </c>
      <c r="G92" s="1120" t="s">
        <v>181</v>
      </c>
      <c r="H92" s="1123">
        <v>1002010105</v>
      </c>
      <c r="I92" s="572">
        <v>5</v>
      </c>
      <c r="J92" s="1126" t="s">
        <v>97</v>
      </c>
      <c r="K92" s="587" t="s">
        <v>15</v>
      </c>
      <c r="L92" s="578">
        <v>3633</v>
      </c>
      <c r="M92" s="603">
        <v>3633</v>
      </c>
      <c r="N92" s="588">
        <f>M92-L92</f>
        <v>0</v>
      </c>
      <c r="O92" s="1162" t="s">
        <v>217</v>
      </c>
      <c r="P92" s="372">
        <v>100</v>
      </c>
    </row>
    <row r="93" spans="1:22" ht="22.5" customHeight="1" x14ac:dyDescent="0.2">
      <c r="A93" s="346"/>
      <c r="B93" s="538"/>
      <c r="C93" s="535"/>
      <c r="D93" s="60"/>
      <c r="E93" s="1119"/>
      <c r="F93" s="571" t="s">
        <v>47</v>
      </c>
      <c r="G93" s="1121"/>
      <c r="H93" s="1124"/>
      <c r="I93" s="576"/>
      <c r="J93" s="1127"/>
      <c r="K93" s="594"/>
      <c r="L93" s="493"/>
      <c r="M93" s="604"/>
      <c r="N93" s="595"/>
      <c r="O93" s="1163"/>
      <c r="P93" s="205"/>
    </row>
    <row r="94" spans="1:22" x14ac:dyDescent="0.2">
      <c r="A94" s="346"/>
      <c r="B94" s="538"/>
      <c r="C94" s="49"/>
      <c r="D94" s="60"/>
      <c r="E94" s="1119"/>
      <c r="F94" s="575"/>
      <c r="G94" s="1122"/>
      <c r="H94" s="1125"/>
      <c r="I94" s="581"/>
      <c r="J94" s="1128"/>
      <c r="K94" s="591" t="s">
        <v>16</v>
      </c>
      <c r="L94" s="273">
        <f>L92</f>
        <v>3633</v>
      </c>
      <c r="M94" s="602">
        <f>M92</f>
        <v>3633</v>
      </c>
      <c r="N94" s="273">
        <f>N92</f>
        <v>0</v>
      </c>
      <c r="O94" s="592"/>
      <c r="P94" s="593"/>
    </row>
    <row r="95" spans="1:22" ht="22.5" customHeight="1" x14ac:dyDescent="0.2">
      <c r="A95" s="549"/>
      <c r="B95" s="546"/>
      <c r="C95" s="553"/>
      <c r="D95" s="61" t="s">
        <v>21</v>
      </c>
      <c r="E95" s="1132" t="s">
        <v>236</v>
      </c>
      <c r="F95" s="586" t="s">
        <v>2</v>
      </c>
      <c r="G95" s="1120" t="s">
        <v>181</v>
      </c>
      <c r="H95" s="1123">
        <v>1002010103</v>
      </c>
      <c r="I95" s="572">
        <v>5</v>
      </c>
      <c r="J95" s="1126" t="s">
        <v>97</v>
      </c>
      <c r="K95" s="587" t="s">
        <v>15</v>
      </c>
      <c r="L95" s="578">
        <v>0</v>
      </c>
      <c r="M95" s="720">
        <v>8592</v>
      </c>
      <c r="N95" s="627">
        <f>M95-L95</f>
        <v>8592</v>
      </c>
      <c r="O95" s="1162"/>
      <c r="P95" s="372"/>
    </row>
    <row r="96" spans="1:22" ht="22.5" customHeight="1" x14ac:dyDescent="0.2">
      <c r="A96" s="549"/>
      <c r="B96" s="546"/>
      <c r="C96" s="553"/>
      <c r="D96" s="60"/>
      <c r="E96" s="1133"/>
      <c r="F96" s="571" t="s">
        <v>47</v>
      </c>
      <c r="G96" s="1121"/>
      <c r="H96" s="1124"/>
      <c r="I96" s="576"/>
      <c r="J96" s="1127"/>
      <c r="K96" s="594"/>
      <c r="L96" s="493"/>
      <c r="M96" s="604"/>
      <c r="N96" s="595"/>
      <c r="O96" s="1163"/>
      <c r="P96" s="205"/>
    </row>
    <row r="97" spans="1:22" x14ac:dyDescent="0.2">
      <c r="A97" s="549"/>
      <c r="B97" s="546"/>
      <c r="C97" s="49"/>
      <c r="D97" s="60"/>
      <c r="E97" s="1133"/>
      <c r="F97" s="575"/>
      <c r="G97" s="1122"/>
      <c r="H97" s="1125"/>
      <c r="I97" s="581"/>
      <c r="J97" s="1128"/>
      <c r="K97" s="591" t="s">
        <v>16</v>
      </c>
      <c r="L97" s="273">
        <f>L95</f>
        <v>0</v>
      </c>
      <c r="M97" s="602">
        <f>M95</f>
        <v>8592</v>
      </c>
      <c r="N97" s="273">
        <f>N95</f>
        <v>8592</v>
      </c>
      <c r="O97" s="592"/>
      <c r="P97" s="593"/>
    </row>
    <row r="98" spans="1:22" ht="13.5" customHeight="1" thickBot="1" x14ac:dyDescent="0.25">
      <c r="A98" s="431"/>
      <c r="B98" s="433"/>
      <c r="C98" s="445"/>
      <c r="D98" s="63"/>
      <c r="E98" s="58"/>
      <c r="F98" s="1116" t="s">
        <v>239</v>
      </c>
      <c r="G98" s="1116"/>
      <c r="H98" s="1116"/>
      <c r="I98" s="1116"/>
      <c r="J98" s="1116"/>
      <c r="K98" s="1117"/>
      <c r="L98" s="219">
        <f>L91+L88+L94</f>
        <v>599353</v>
      </c>
      <c r="M98" s="263">
        <f>M91+M88+M94+M97</f>
        <v>766882</v>
      </c>
      <c r="N98" s="263">
        <f>N91+N88+N94+N97</f>
        <v>167529</v>
      </c>
      <c r="O98" s="330"/>
      <c r="P98" s="437"/>
    </row>
    <row r="99" spans="1:22" ht="25.5" x14ac:dyDescent="0.2">
      <c r="A99" s="430" t="s">
        <v>17</v>
      </c>
      <c r="B99" s="432" t="s">
        <v>14</v>
      </c>
      <c r="C99" s="338" t="s">
        <v>17</v>
      </c>
      <c r="D99" s="496"/>
      <c r="E99" s="159" t="s">
        <v>113</v>
      </c>
      <c r="F99" s="67" t="s">
        <v>47</v>
      </c>
      <c r="G99" s="1063" t="s">
        <v>198</v>
      </c>
      <c r="H99" s="533"/>
      <c r="I99" s="36">
        <v>5</v>
      </c>
      <c r="J99" s="534" t="s">
        <v>97</v>
      </c>
      <c r="K99" s="16"/>
      <c r="L99" s="606"/>
      <c r="M99" s="459"/>
      <c r="N99" s="208"/>
      <c r="O99" s="23"/>
      <c r="P99" s="239"/>
    </row>
    <row r="100" spans="1:22" ht="45" customHeight="1" x14ac:dyDescent="0.2">
      <c r="A100" s="346"/>
      <c r="B100" s="410"/>
      <c r="C100" s="451"/>
      <c r="D100" s="498"/>
      <c r="E100" s="544" t="s">
        <v>170</v>
      </c>
      <c r="F100" s="354"/>
      <c r="G100" s="784"/>
      <c r="H100" s="547" t="s">
        <v>219</v>
      </c>
      <c r="I100" s="608"/>
      <c r="J100" s="548"/>
      <c r="K100" s="103" t="s">
        <v>15</v>
      </c>
      <c r="L100" s="479">
        <f>8690-1500</f>
        <v>7190</v>
      </c>
      <c r="M100" s="469">
        <f>8690-1500</f>
        <v>7190</v>
      </c>
      <c r="N100" s="184">
        <f>M100-L100</f>
        <v>0</v>
      </c>
      <c r="O100" s="556" t="s">
        <v>169</v>
      </c>
      <c r="P100" s="557">
        <v>5</v>
      </c>
    </row>
    <row r="101" spans="1:22" ht="29.25" customHeight="1" x14ac:dyDescent="0.2">
      <c r="A101" s="549"/>
      <c r="B101" s="546"/>
      <c r="C101" s="555"/>
      <c r="D101" s="498"/>
      <c r="E101" s="1110" t="s">
        <v>237</v>
      </c>
      <c r="F101" s="632"/>
      <c r="G101" s="633"/>
      <c r="H101" s="1112">
        <v>10010309</v>
      </c>
      <c r="I101" s="634"/>
      <c r="J101" s="1114"/>
      <c r="K101" s="635" t="s">
        <v>15</v>
      </c>
      <c r="L101" s="636">
        <v>0</v>
      </c>
      <c r="M101" s="721">
        <v>23474</v>
      </c>
      <c r="N101" s="631">
        <f>M101-L101</f>
        <v>23474</v>
      </c>
      <c r="O101" s="637" t="s">
        <v>100</v>
      </c>
      <c r="P101" s="638">
        <v>1</v>
      </c>
    </row>
    <row r="102" spans="1:22" ht="16.5" customHeight="1" thickBot="1" x14ac:dyDescent="0.25">
      <c r="A102" s="550"/>
      <c r="B102" s="551"/>
      <c r="C102" s="77"/>
      <c r="D102" s="497"/>
      <c r="E102" s="1111"/>
      <c r="F102" s="639"/>
      <c r="G102" s="633"/>
      <c r="H102" s="1113"/>
      <c r="I102" s="640"/>
      <c r="J102" s="1115"/>
      <c r="K102" s="641" t="s">
        <v>16</v>
      </c>
      <c r="L102" s="642">
        <f>SUM(L100:L101)</f>
        <v>7190</v>
      </c>
      <c r="M102" s="642">
        <f t="shared" ref="M102:N102" si="0">SUM(M100:M101)</f>
        <v>30664</v>
      </c>
      <c r="N102" s="642">
        <f t="shared" si="0"/>
        <v>23474</v>
      </c>
      <c r="O102" s="643" t="s">
        <v>238</v>
      </c>
      <c r="P102" s="644">
        <v>50</v>
      </c>
    </row>
    <row r="103" spans="1:22" s="2" customFormat="1" ht="26.25" customHeight="1" x14ac:dyDescent="0.2">
      <c r="A103" s="430" t="s">
        <v>17</v>
      </c>
      <c r="B103" s="432" t="s">
        <v>14</v>
      </c>
      <c r="C103" s="406" t="s">
        <v>19</v>
      </c>
      <c r="D103" s="59"/>
      <c r="E103" s="38" t="s">
        <v>37</v>
      </c>
      <c r="F103" s="287"/>
      <c r="G103" s="290"/>
      <c r="H103" s="379"/>
      <c r="I103" s="350"/>
      <c r="J103" s="534"/>
      <c r="K103" s="16"/>
      <c r="L103" s="606"/>
      <c r="M103" s="459"/>
      <c r="N103" s="208"/>
      <c r="O103" s="517"/>
      <c r="P103" s="239"/>
      <c r="Q103" s="70"/>
      <c r="R103" s="304"/>
      <c r="S103" s="70"/>
      <c r="T103" s="70"/>
      <c r="U103" s="304"/>
      <c r="V103" s="70"/>
    </row>
    <row r="104" spans="1:22" s="2" customFormat="1" x14ac:dyDescent="0.2">
      <c r="A104" s="346"/>
      <c r="B104" s="410"/>
      <c r="C104" s="451"/>
      <c r="D104" s="88" t="s">
        <v>14</v>
      </c>
      <c r="E104" s="823" t="s">
        <v>55</v>
      </c>
      <c r="F104" s="299" t="s">
        <v>2</v>
      </c>
      <c r="G104" s="950"/>
      <c r="H104" s="956">
        <v>10010402</v>
      </c>
      <c r="I104" s="51">
        <v>5</v>
      </c>
      <c r="J104" s="751" t="s">
        <v>97</v>
      </c>
      <c r="K104" s="64" t="s">
        <v>15</v>
      </c>
      <c r="L104" s="485">
        <f>164475</f>
        <v>164475</v>
      </c>
      <c r="M104" s="737">
        <f>164475+176</f>
        <v>164651</v>
      </c>
      <c r="N104" s="737">
        <f>M104-L104</f>
        <v>176</v>
      </c>
      <c r="O104" s="817" t="s">
        <v>96</v>
      </c>
      <c r="P104" s="308"/>
      <c r="Q104" s="70"/>
      <c r="R104" s="304"/>
      <c r="S104" s="70"/>
      <c r="T104" s="70"/>
      <c r="U104" s="304"/>
      <c r="V104" s="70"/>
    </row>
    <row r="105" spans="1:22" s="2" customFormat="1" x14ac:dyDescent="0.2">
      <c r="A105" s="346"/>
      <c r="B105" s="410"/>
      <c r="C105" s="414"/>
      <c r="D105" s="60"/>
      <c r="E105" s="823"/>
      <c r="F105" s="357"/>
      <c r="G105" s="950"/>
      <c r="H105" s="956"/>
      <c r="I105" s="75"/>
      <c r="J105" s="751"/>
      <c r="K105" s="369" t="s">
        <v>43</v>
      </c>
      <c r="L105" s="485">
        <v>1680</v>
      </c>
      <c r="M105" s="370">
        <v>1680</v>
      </c>
      <c r="N105" s="370"/>
      <c r="O105" s="818"/>
      <c r="P105" s="309"/>
      <c r="Q105" s="70"/>
      <c r="R105" s="304"/>
      <c r="S105" s="70"/>
      <c r="T105" s="70"/>
      <c r="U105" s="304"/>
      <c r="V105" s="70"/>
    </row>
    <row r="106" spans="1:22" x14ac:dyDescent="0.2">
      <c r="A106" s="346"/>
      <c r="B106" s="410"/>
      <c r="C106" s="414"/>
      <c r="D106" s="60"/>
      <c r="E106" s="823"/>
      <c r="F106" s="357"/>
      <c r="G106" s="950"/>
      <c r="H106" s="956"/>
      <c r="I106" s="75"/>
      <c r="J106" s="751"/>
      <c r="K106" s="220" t="s">
        <v>3</v>
      </c>
      <c r="L106" s="486">
        <v>7443</v>
      </c>
      <c r="M106" s="188">
        <v>7443</v>
      </c>
      <c r="N106" s="188"/>
      <c r="O106" s="818"/>
      <c r="P106" s="309"/>
    </row>
    <row r="107" spans="1:22" x14ac:dyDescent="0.2">
      <c r="A107" s="346"/>
      <c r="B107" s="410"/>
      <c r="C107" s="414"/>
      <c r="D107" s="62"/>
      <c r="E107" s="39"/>
      <c r="F107" s="543"/>
      <c r="G107" s="951"/>
      <c r="H107" s="957"/>
      <c r="I107" s="53"/>
      <c r="J107" s="752"/>
      <c r="K107" s="99" t="s">
        <v>16</v>
      </c>
      <c r="L107" s="209">
        <f>SUM(L104:L106)</f>
        <v>173598</v>
      </c>
      <c r="M107" s="209">
        <f>SUM(M104:M106)</f>
        <v>173774</v>
      </c>
      <c r="N107" s="209">
        <f>SUM(N104:N106)</f>
        <v>176</v>
      </c>
      <c r="O107" s="818"/>
      <c r="P107" s="309">
        <v>100</v>
      </c>
    </row>
    <row r="108" spans="1:22" ht="36" customHeight="1" x14ac:dyDescent="0.2">
      <c r="A108" s="346"/>
      <c r="B108" s="410"/>
      <c r="C108" s="451"/>
      <c r="D108" s="106" t="s">
        <v>17</v>
      </c>
      <c r="E108" s="822" t="s">
        <v>111</v>
      </c>
      <c r="F108" s="112" t="s">
        <v>2</v>
      </c>
      <c r="G108" s="952"/>
      <c r="H108" s="928">
        <v>10010403</v>
      </c>
      <c r="I108" s="75">
        <v>5</v>
      </c>
      <c r="J108" s="819" t="s">
        <v>112</v>
      </c>
      <c r="K108" s="169" t="s">
        <v>15</v>
      </c>
      <c r="L108" s="609">
        <f>323464</f>
        <v>323464</v>
      </c>
      <c r="M108" s="476">
        <f>323464-176</f>
        <v>323288</v>
      </c>
      <c r="N108" s="475">
        <f>M108-L108</f>
        <v>-176</v>
      </c>
      <c r="O108" s="518" t="s">
        <v>100</v>
      </c>
      <c r="P108" s="396" t="s">
        <v>114</v>
      </c>
    </row>
    <row r="109" spans="1:22" ht="14.25" customHeight="1" x14ac:dyDescent="0.2">
      <c r="A109" s="346"/>
      <c r="B109" s="410"/>
      <c r="C109" s="451"/>
      <c r="D109" s="88"/>
      <c r="E109" s="823"/>
      <c r="F109" s="354"/>
      <c r="G109" s="953"/>
      <c r="H109" s="930"/>
      <c r="I109" s="75"/>
      <c r="J109" s="820"/>
      <c r="K109" s="99" t="s">
        <v>16</v>
      </c>
      <c r="L109" s="460">
        <f>L108</f>
        <v>323464</v>
      </c>
      <c r="M109" s="460">
        <f>M108</f>
        <v>323288</v>
      </c>
      <c r="N109" s="209">
        <f>N108</f>
        <v>-176</v>
      </c>
      <c r="O109" s="1160" t="s">
        <v>115</v>
      </c>
      <c r="P109" s="97">
        <v>100</v>
      </c>
    </row>
    <row r="110" spans="1:22" ht="13.5" thickBot="1" x14ac:dyDescent="0.25">
      <c r="A110" s="435"/>
      <c r="B110" s="433"/>
      <c r="C110" s="407"/>
      <c r="D110" s="207"/>
      <c r="E110" s="58"/>
      <c r="F110" s="288"/>
      <c r="G110" s="291"/>
      <c r="H110" s="376"/>
      <c r="I110" s="438"/>
      <c r="J110" s="1116" t="s">
        <v>239</v>
      </c>
      <c r="K110" s="1117"/>
      <c r="L110" s="219">
        <f>L109+L107</f>
        <v>497062</v>
      </c>
      <c r="M110" s="461">
        <f>M109+M107</f>
        <v>497062</v>
      </c>
      <c r="N110" s="263">
        <f>N109+N107</f>
        <v>0</v>
      </c>
      <c r="O110" s="1161"/>
      <c r="P110" s="401"/>
    </row>
    <row r="111" spans="1:22" ht="17.25" customHeight="1" x14ac:dyDescent="0.2">
      <c r="A111" s="430" t="s">
        <v>17</v>
      </c>
      <c r="B111" s="432" t="s">
        <v>14</v>
      </c>
      <c r="C111" s="89" t="s">
        <v>21</v>
      </c>
      <c r="D111" s="135"/>
      <c r="E111" s="815" t="s">
        <v>138</v>
      </c>
      <c r="F111" s="971" t="s">
        <v>82</v>
      </c>
      <c r="G111" s="921" t="s">
        <v>200</v>
      </c>
      <c r="H111" s="778">
        <v>10010506</v>
      </c>
      <c r="I111" s="807">
        <v>2</v>
      </c>
      <c r="J111" s="810" t="s">
        <v>98</v>
      </c>
      <c r="K111" s="16" t="s">
        <v>15</v>
      </c>
      <c r="L111" s="484">
        <f>50/3.4528*1000</f>
        <v>14481</v>
      </c>
      <c r="M111" s="208">
        <f>50/3.4528*1000</f>
        <v>14481</v>
      </c>
      <c r="N111" s="208"/>
      <c r="O111" s="798" t="s">
        <v>54</v>
      </c>
      <c r="P111" s="242">
        <v>3</v>
      </c>
    </row>
    <row r="112" spans="1:22" ht="17.25" customHeight="1" x14ac:dyDescent="0.2">
      <c r="A112" s="346"/>
      <c r="B112" s="410"/>
      <c r="C112" s="52"/>
      <c r="D112" s="136"/>
      <c r="E112" s="821"/>
      <c r="F112" s="972"/>
      <c r="G112" s="962"/>
      <c r="H112" s="756"/>
      <c r="I112" s="808"/>
      <c r="J112" s="751"/>
      <c r="K112" s="34"/>
      <c r="L112" s="607"/>
      <c r="M112" s="465"/>
      <c r="N112" s="265"/>
      <c r="O112" s="799"/>
      <c r="P112" s="309"/>
    </row>
    <row r="113" spans="1:16" ht="13.5" thickBot="1" x14ac:dyDescent="0.25">
      <c r="A113" s="431"/>
      <c r="B113" s="433"/>
      <c r="C113" s="128"/>
      <c r="D113" s="521"/>
      <c r="E113" s="816"/>
      <c r="F113" s="301" t="s">
        <v>168</v>
      </c>
      <c r="G113" s="922"/>
      <c r="H113" s="779"/>
      <c r="I113" s="973"/>
      <c r="J113" s="986"/>
      <c r="K113" s="82" t="s">
        <v>16</v>
      </c>
      <c r="L113" s="189">
        <f>SUM(L111:L112)</f>
        <v>14481</v>
      </c>
      <c r="M113" s="189">
        <f>SUM(M111:M112)</f>
        <v>14481</v>
      </c>
      <c r="N113" s="189"/>
      <c r="O113" s="800"/>
      <c r="P113" s="437"/>
    </row>
    <row r="114" spans="1:16" ht="29.25" customHeight="1" x14ac:dyDescent="0.2">
      <c r="A114" s="346" t="s">
        <v>17</v>
      </c>
      <c r="B114" s="410" t="s">
        <v>14</v>
      </c>
      <c r="C114" s="52" t="s">
        <v>22</v>
      </c>
      <c r="D114" s="136"/>
      <c r="E114" s="161" t="s">
        <v>245</v>
      </c>
      <c r="F114" s="774"/>
      <c r="G114" s="962" t="s">
        <v>199</v>
      </c>
      <c r="H114" s="101"/>
      <c r="I114" s="808">
        <v>2</v>
      </c>
      <c r="J114" s="751" t="s">
        <v>98</v>
      </c>
      <c r="K114" s="34"/>
      <c r="L114" s="607"/>
      <c r="M114" s="465"/>
      <c r="N114" s="265"/>
      <c r="O114" s="611" t="s">
        <v>137</v>
      </c>
      <c r="P114" s="240"/>
    </row>
    <row r="115" spans="1:16" ht="50.25" customHeight="1" x14ac:dyDescent="0.2">
      <c r="A115" s="346"/>
      <c r="B115" s="410"/>
      <c r="C115" s="52"/>
      <c r="D115" s="136"/>
      <c r="E115" s="161" t="s">
        <v>230</v>
      </c>
      <c r="F115" s="774"/>
      <c r="G115" s="962"/>
      <c r="H115" s="471">
        <v>10010507</v>
      </c>
      <c r="I115" s="808"/>
      <c r="J115" s="751"/>
      <c r="K115" s="34" t="s">
        <v>15</v>
      </c>
      <c r="L115" s="487">
        <f>100/3.4528*1000</f>
        <v>28962</v>
      </c>
      <c r="M115" s="265">
        <f>100/3.4528*1000</f>
        <v>28962</v>
      </c>
      <c r="N115" s="265"/>
      <c r="O115" s="611"/>
      <c r="P115" s="240"/>
    </row>
    <row r="116" spans="1:16" ht="54" customHeight="1" x14ac:dyDescent="0.2">
      <c r="A116" s="346"/>
      <c r="B116" s="410"/>
      <c r="C116" s="52"/>
      <c r="D116" s="136"/>
      <c r="E116" s="619" t="s">
        <v>226</v>
      </c>
      <c r="F116" s="774"/>
      <c r="G116" s="962"/>
      <c r="H116" s="532">
        <v>10010605</v>
      </c>
      <c r="I116" s="808"/>
      <c r="J116" s="751"/>
      <c r="K116" s="169" t="s">
        <v>15</v>
      </c>
      <c r="L116" s="609">
        <v>30000</v>
      </c>
      <c r="M116" s="610">
        <v>30000</v>
      </c>
      <c r="N116" s="196">
        <f>M116-L116</f>
        <v>0</v>
      </c>
      <c r="O116" s="646" t="s">
        <v>231</v>
      </c>
      <c r="P116" s="91">
        <v>100</v>
      </c>
    </row>
    <row r="117" spans="1:16" ht="33" customHeight="1" x14ac:dyDescent="0.2">
      <c r="A117" s="536"/>
      <c r="B117" s="538"/>
      <c r="C117" s="52"/>
      <c r="D117" s="136"/>
      <c r="E117" s="1158" t="s">
        <v>234</v>
      </c>
      <c r="F117" s="774"/>
      <c r="G117" s="962"/>
      <c r="H117" s="958">
        <v>10010606</v>
      </c>
      <c r="I117" s="808"/>
      <c r="J117" s="751"/>
      <c r="K117" s="169" t="s">
        <v>15</v>
      </c>
      <c r="L117" s="609"/>
      <c r="M117" s="476">
        <v>6030</v>
      </c>
      <c r="N117" s="475">
        <f>M117-L117</f>
        <v>6030</v>
      </c>
      <c r="O117" s="612"/>
      <c r="P117" s="613"/>
    </row>
    <row r="118" spans="1:16" x14ac:dyDescent="0.2">
      <c r="A118" s="130"/>
      <c r="B118" s="131"/>
      <c r="C118" s="129"/>
      <c r="D118" s="137"/>
      <c r="E118" s="1159"/>
      <c r="F118" s="976"/>
      <c r="G118" s="963"/>
      <c r="H118" s="957"/>
      <c r="I118" s="809"/>
      <c r="J118" s="752"/>
      <c r="K118" s="102" t="s">
        <v>16</v>
      </c>
      <c r="L118" s="466">
        <f>SUM(L115:L116)</f>
        <v>58962</v>
      </c>
      <c r="M118" s="466">
        <f>SUM(M115:M117)</f>
        <v>64992</v>
      </c>
      <c r="N118" s="266">
        <f>SUM(N115:N117)</f>
        <v>6030</v>
      </c>
      <c r="O118" s="614"/>
      <c r="P118" s="615"/>
    </row>
    <row r="119" spans="1:16" ht="40.5" customHeight="1" x14ac:dyDescent="0.2">
      <c r="A119" s="93" t="s">
        <v>17</v>
      </c>
      <c r="B119" s="411" t="s">
        <v>14</v>
      </c>
      <c r="C119" s="94" t="s">
        <v>23</v>
      </c>
      <c r="D119" s="332"/>
      <c r="E119" s="1129" t="s">
        <v>241</v>
      </c>
      <c r="F119" s="714" t="s">
        <v>83</v>
      </c>
      <c r="G119" s="300" t="s">
        <v>201</v>
      </c>
      <c r="H119" s="958">
        <v>10010302</v>
      </c>
      <c r="I119" s="677">
        <v>6</v>
      </c>
      <c r="J119" s="678" t="s">
        <v>171</v>
      </c>
      <c r="K119" s="100" t="s">
        <v>4</v>
      </c>
      <c r="L119" s="488">
        <v>257936</v>
      </c>
      <c r="M119" s="647">
        <v>135842</v>
      </c>
      <c r="N119" s="647">
        <f>M119-L119</f>
        <v>-122094</v>
      </c>
      <c r="O119" s="227" t="s">
        <v>100</v>
      </c>
      <c r="P119" s="168">
        <v>100</v>
      </c>
    </row>
    <row r="120" spans="1:16" ht="26.25" customHeight="1" x14ac:dyDescent="0.2">
      <c r="A120" s="346"/>
      <c r="B120" s="410"/>
      <c r="C120" s="451"/>
      <c r="D120" s="333"/>
      <c r="E120" s="1130"/>
      <c r="F120" s="357" t="s">
        <v>2</v>
      </c>
      <c r="G120" s="977"/>
      <c r="H120" s="956"/>
      <c r="I120" s="709">
        <v>5</v>
      </c>
      <c r="J120" s="1156" t="s">
        <v>251</v>
      </c>
      <c r="K120" s="169" t="s">
        <v>146</v>
      </c>
      <c r="L120" s="486">
        <v>223048</v>
      </c>
      <c r="M120" s="196">
        <v>223048</v>
      </c>
      <c r="N120" s="196">
        <f>M120-L120</f>
        <v>0</v>
      </c>
      <c r="O120" s="967" t="s">
        <v>102</v>
      </c>
      <c r="P120" s="541">
        <v>10</v>
      </c>
    </row>
    <row r="121" spans="1:16" ht="13.5" thickBot="1" x14ac:dyDescent="0.25">
      <c r="A121" s="447"/>
      <c r="B121" s="410"/>
      <c r="C121" s="451"/>
      <c r="D121" s="333"/>
      <c r="E121" s="1131"/>
      <c r="F121" s="357"/>
      <c r="G121" s="950"/>
      <c r="H121" s="959"/>
      <c r="I121" s="359"/>
      <c r="J121" s="1157"/>
      <c r="K121" s="99" t="s">
        <v>16</v>
      </c>
      <c r="L121" s="209">
        <f>SUM(L119:L120)</f>
        <v>480984</v>
      </c>
      <c r="M121" s="209">
        <f>SUM(M119:M120)</f>
        <v>358890</v>
      </c>
      <c r="N121" s="209">
        <f>SUM(N119:N120)</f>
        <v>-122094</v>
      </c>
      <c r="O121" s="968"/>
      <c r="P121" s="240"/>
    </row>
    <row r="122" spans="1:16" ht="31.5" customHeight="1" x14ac:dyDescent="0.2">
      <c r="A122" s="430" t="s">
        <v>17</v>
      </c>
      <c r="B122" s="432" t="s">
        <v>14</v>
      </c>
      <c r="C122" s="406" t="s">
        <v>44</v>
      </c>
      <c r="D122" s="37"/>
      <c r="E122" s="815" t="s">
        <v>141</v>
      </c>
      <c r="F122" s="811"/>
      <c r="G122" s="1047" t="s">
        <v>201</v>
      </c>
      <c r="H122" s="1052">
        <v>10010406</v>
      </c>
      <c r="I122" s="133">
        <v>6</v>
      </c>
      <c r="J122" s="813" t="s">
        <v>171</v>
      </c>
      <c r="K122" s="628" t="s">
        <v>15</v>
      </c>
      <c r="L122" s="629">
        <f>350/3.4528*1000</f>
        <v>101367</v>
      </c>
      <c r="M122" s="630">
        <f>350/3.4528*1000</f>
        <v>101367</v>
      </c>
      <c r="N122" s="630"/>
      <c r="O122" s="393" t="s">
        <v>140</v>
      </c>
      <c r="P122" s="239">
        <v>100</v>
      </c>
    </row>
    <row r="123" spans="1:16" ht="13.5" thickBot="1" x14ac:dyDescent="0.25">
      <c r="A123" s="431"/>
      <c r="B123" s="433"/>
      <c r="C123" s="445"/>
      <c r="D123" s="132"/>
      <c r="E123" s="816"/>
      <c r="F123" s="812"/>
      <c r="G123" s="1048"/>
      <c r="H123" s="959"/>
      <c r="I123" s="134"/>
      <c r="J123" s="814"/>
      <c r="K123" s="221" t="s">
        <v>16</v>
      </c>
      <c r="L123" s="267">
        <f>L122</f>
        <v>101367</v>
      </c>
      <c r="M123" s="267">
        <f>M122</f>
        <v>101367</v>
      </c>
      <c r="N123" s="267"/>
      <c r="O123" s="394"/>
      <c r="P123" s="437"/>
    </row>
    <row r="124" spans="1:16" ht="13.5" thickBot="1" x14ac:dyDescent="0.25">
      <c r="A124" s="435" t="s">
        <v>17</v>
      </c>
      <c r="B124" s="5" t="s">
        <v>14</v>
      </c>
      <c r="C124" s="966" t="s">
        <v>20</v>
      </c>
      <c r="D124" s="762"/>
      <c r="E124" s="762"/>
      <c r="F124" s="762"/>
      <c r="G124" s="762"/>
      <c r="H124" s="762"/>
      <c r="I124" s="762"/>
      <c r="J124" s="762"/>
      <c r="K124" s="762"/>
      <c r="L124" s="177">
        <f>L123+L121+L118+L113+L110+L102+L98</f>
        <v>1759399</v>
      </c>
      <c r="M124" s="177">
        <f t="shared" ref="M124:N124" si="1">M123+M121+M118+M113+M110+M102+M98</f>
        <v>1834338</v>
      </c>
      <c r="N124" s="177">
        <f t="shared" si="1"/>
        <v>74939</v>
      </c>
      <c r="O124" s="796"/>
      <c r="P124" s="797"/>
    </row>
    <row r="125" spans="1:16" ht="13.5" thickBot="1" x14ac:dyDescent="0.25">
      <c r="A125" s="447" t="s">
        <v>17</v>
      </c>
      <c r="B125" s="5" t="s">
        <v>17</v>
      </c>
      <c r="C125" s="1037" t="s">
        <v>40</v>
      </c>
      <c r="D125" s="1038"/>
      <c r="E125" s="1038"/>
      <c r="F125" s="1038"/>
      <c r="G125" s="292"/>
      <c r="H125" s="377"/>
      <c r="I125" s="351"/>
      <c r="J125" s="225"/>
      <c r="K125" s="28"/>
      <c r="L125" s="467"/>
      <c r="M125" s="467"/>
      <c r="N125" s="181"/>
      <c r="O125" s="22"/>
      <c r="P125" s="199"/>
    </row>
    <row r="126" spans="1:16" x14ac:dyDescent="0.2">
      <c r="A126" s="434" t="s">
        <v>17</v>
      </c>
      <c r="B126" s="432" t="s">
        <v>17</v>
      </c>
      <c r="C126" s="444" t="s">
        <v>17</v>
      </c>
      <c r="D126" s="763"/>
      <c r="E126" s="1144" t="s">
        <v>246</v>
      </c>
      <c r="F126" s="1147"/>
      <c r="G126" s="1150" t="s">
        <v>202</v>
      </c>
      <c r="H126" s="1153">
        <v>10010502</v>
      </c>
      <c r="I126" s="982">
        <v>2</v>
      </c>
      <c r="J126" s="748" t="s">
        <v>98</v>
      </c>
      <c r="K126" s="170" t="s">
        <v>15</v>
      </c>
      <c r="L126" s="648">
        <v>376997</v>
      </c>
      <c r="M126" s="722">
        <v>513107</v>
      </c>
      <c r="N126" s="649">
        <f>M126-L126</f>
        <v>136110</v>
      </c>
      <c r="O126" s="514" t="s">
        <v>142</v>
      </c>
      <c r="P126" s="616">
        <v>410</v>
      </c>
    </row>
    <row r="127" spans="1:16" ht="25.5" x14ac:dyDescent="0.2">
      <c r="A127" s="447"/>
      <c r="B127" s="410"/>
      <c r="C127" s="414"/>
      <c r="D127" s="985"/>
      <c r="E127" s="1145"/>
      <c r="F127" s="1148"/>
      <c r="G127" s="1151"/>
      <c r="H127" s="1154"/>
      <c r="I127" s="983"/>
      <c r="J127" s="837"/>
      <c r="K127" s="172"/>
      <c r="L127" s="489"/>
      <c r="M127" s="174"/>
      <c r="N127" s="174"/>
      <c r="O127" s="542" t="s">
        <v>143</v>
      </c>
      <c r="P127" s="617">
        <v>22</v>
      </c>
    </row>
    <row r="128" spans="1:16" ht="13.5" thickBot="1" x14ac:dyDescent="0.25">
      <c r="A128" s="435"/>
      <c r="B128" s="140"/>
      <c r="C128" s="445"/>
      <c r="D128" s="795"/>
      <c r="E128" s="1146"/>
      <c r="F128" s="1149"/>
      <c r="G128" s="1152"/>
      <c r="H128" s="1155"/>
      <c r="I128" s="984"/>
      <c r="J128" s="749"/>
      <c r="K128" s="171" t="s">
        <v>16</v>
      </c>
      <c r="L128" s="191">
        <f>SUM(L126:L127)</f>
        <v>376997</v>
      </c>
      <c r="M128" s="191">
        <f>SUM(M126:M127)</f>
        <v>513107</v>
      </c>
      <c r="N128" s="191">
        <f>SUM(N126:N127)</f>
        <v>136110</v>
      </c>
      <c r="O128" s="515" t="s">
        <v>85</v>
      </c>
      <c r="P128" s="618">
        <v>380</v>
      </c>
    </row>
    <row r="129" spans="1:22" ht="13.5" thickBot="1" x14ac:dyDescent="0.25">
      <c r="A129" s="6" t="s">
        <v>17</v>
      </c>
      <c r="B129" s="5" t="s">
        <v>17</v>
      </c>
      <c r="C129" s="966" t="s">
        <v>20</v>
      </c>
      <c r="D129" s="762"/>
      <c r="E129" s="762"/>
      <c r="F129" s="762"/>
      <c r="G129" s="762"/>
      <c r="H129" s="762"/>
      <c r="I129" s="762"/>
      <c r="J129" s="762"/>
      <c r="K129" s="762"/>
      <c r="L129" s="177">
        <f>L128</f>
        <v>376997</v>
      </c>
      <c r="M129" s="177">
        <f>M128</f>
        <v>513107</v>
      </c>
      <c r="N129" s="177">
        <f>N128</f>
        <v>136110</v>
      </c>
      <c r="O129" s="969"/>
      <c r="P129" s="970"/>
    </row>
    <row r="130" spans="1:22" ht="13.5" thickBot="1" x14ac:dyDescent="0.25">
      <c r="A130" s="434" t="s">
        <v>17</v>
      </c>
      <c r="B130" s="42" t="s">
        <v>19</v>
      </c>
      <c r="C130" s="948" t="s">
        <v>39</v>
      </c>
      <c r="D130" s="948"/>
      <c r="E130" s="948"/>
      <c r="F130" s="948"/>
      <c r="G130" s="948"/>
      <c r="H130" s="948"/>
      <c r="I130" s="948"/>
      <c r="J130" s="948"/>
      <c r="K130" s="948"/>
      <c r="L130" s="948"/>
      <c r="M130" s="948"/>
      <c r="N130" s="948"/>
      <c r="O130" s="948"/>
      <c r="P130" s="949"/>
    </row>
    <row r="131" spans="1:22" ht="30" customHeight="1" x14ac:dyDescent="0.2">
      <c r="A131" s="430" t="s">
        <v>17</v>
      </c>
      <c r="B131" s="432" t="s">
        <v>19</v>
      </c>
      <c r="C131" s="444" t="s">
        <v>14</v>
      </c>
      <c r="D131" s="141"/>
      <c r="E131" s="142" t="s">
        <v>41</v>
      </c>
      <c r="F131" s="403"/>
      <c r="G131" s="293" t="s">
        <v>203</v>
      </c>
      <c r="H131" s="293"/>
      <c r="I131" s="143">
        <v>6</v>
      </c>
      <c r="J131" s="960" t="s">
        <v>101</v>
      </c>
      <c r="K131" s="212"/>
      <c r="L131" s="499"/>
      <c r="M131" s="468"/>
      <c r="N131" s="268"/>
      <c r="O131" s="144"/>
      <c r="P131" s="244"/>
    </row>
    <row r="132" spans="1:22" s="2" customFormat="1" ht="52.5" customHeight="1" x14ac:dyDescent="0.2">
      <c r="A132" s="346"/>
      <c r="B132" s="410"/>
      <c r="C132" s="49"/>
      <c r="D132" s="145" t="s">
        <v>14</v>
      </c>
      <c r="E132" s="723" t="s">
        <v>62</v>
      </c>
      <c r="F132" s="426"/>
      <c r="G132" s="303" t="s">
        <v>205</v>
      </c>
      <c r="H132" s="382">
        <v>10010801</v>
      </c>
      <c r="I132" s="429"/>
      <c r="J132" s="961"/>
      <c r="K132" s="213" t="s">
        <v>15</v>
      </c>
      <c r="L132" s="490">
        <f>800/3.4528*1000</f>
        <v>231696</v>
      </c>
      <c r="M132" s="269">
        <f>800/3.4528*1000+5145+2900</f>
        <v>239741</v>
      </c>
      <c r="N132" s="724">
        <f>M132-L132</f>
        <v>8045</v>
      </c>
      <c r="O132" s="347" t="s">
        <v>158</v>
      </c>
      <c r="P132" s="725" t="s">
        <v>243</v>
      </c>
      <c r="Q132" s="70"/>
      <c r="R132" s="304"/>
      <c r="S132" s="70"/>
      <c r="T132" s="70"/>
      <c r="U132" s="304"/>
      <c r="V132" s="70"/>
    </row>
    <row r="133" spans="1:22" ht="53.25" customHeight="1" x14ac:dyDescent="0.2">
      <c r="A133" s="346"/>
      <c r="B133" s="410"/>
      <c r="C133" s="49"/>
      <c r="D133" s="62" t="s">
        <v>17</v>
      </c>
      <c r="E133" s="327" t="s">
        <v>49</v>
      </c>
      <c r="F133" s="426"/>
      <c r="G133" s="328" t="s">
        <v>206</v>
      </c>
      <c r="H133" s="381">
        <v>10010802</v>
      </c>
      <c r="I133" s="448"/>
      <c r="J133" s="206"/>
      <c r="K133" s="222" t="s">
        <v>15</v>
      </c>
      <c r="L133" s="491">
        <f>227/3.4528*1000</f>
        <v>65744</v>
      </c>
      <c r="M133" s="270">
        <f>227/3.4528*1000</f>
        <v>65744</v>
      </c>
      <c r="N133" s="270"/>
      <c r="O133" s="436" t="s">
        <v>159</v>
      </c>
      <c r="P133" s="245">
        <v>95</v>
      </c>
    </row>
    <row r="134" spans="1:22" s="2" customFormat="1" ht="54" customHeight="1" x14ac:dyDescent="0.2">
      <c r="A134" s="346"/>
      <c r="B134" s="410"/>
      <c r="C134" s="49"/>
      <c r="D134" s="62" t="s">
        <v>19</v>
      </c>
      <c r="E134" s="327" t="s">
        <v>51</v>
      </c>
      <c r="F134" s="426"/>
      <c r="G134" s="303" t="s">
        <v>207</v>
      </c>
      <c r="H134" s="382">
        <v>10010804</v>
      </c>
      <c r="I134" s="448"/>
      <c r="J134" s="206"/>
      <c r="K134" s="222" t="s">
        <v>15</v>
      </c>
      <c r="L134" s="491">
        <v>90187</v>
      </c>
      <c r="M134" s="270">
        <v>90187</v>
      </c>
      <c r="N134" s="270"/>
      <c r="O134" s="436" t="s">
        <v>165</v>
      </c>
      <c r="P134" s="245">
        <v>30</v>
      </c>
      <c r="Q134" s="70"/>
      <c r="R134" s="304"/>
      <c r="S134" s="70"/>
      <c r="T134" s="70"/>
      <c r="U134" s="304"/>
      <c r="V134" s="70"/>
    </row>
    <row r="135" spans="1:22" ht="50.25" customHeight="1" x14ac:dyDescent="0.2">
      <c r="A135" s="130"/>
      <c r="B135" s="131"/>
      <c r="C135" s="397"/>
      <c r="D135" s="62" t="s">
        <v>21</v>
      </c>
      <c r="E135" s="327" t="s">
        <v>56</v>
      </c>
      <c r="F135" s="427"/>
      <c r="G135" s="328" t="s">
        <v>208</v>
      </c>
      <c r="H135" s="380">
        <v>10010808</v>
      </c>
      <c r="I135" s="398"/>
      <c r="J135" s="148"/>
      <c r="K135" s="222" t="s">
        <v>15</v>
      </c>
      <c r="L135" s="491">
        <f>80/3.4528*1000</f>
        <v>23170</v>
      </c>
      <c r="M135" s="270">
        <f>80/3.4528*1000</f>
        <v>23170</v>
      </c>
      <c r="N135" s="270"/>
      <c r="O135" s="436" t="s">
        <v>160</v>
      </c>
      <c r="P135" s="245">
        <v>6</v>
      </c>
    </row>
    <row r="136" spans="1:22" ht="47.25" customHeight="1" x14ac:dyDescent="0.2">
      <c r="A136" s="346"/>
      <c r="B136" s="410"/>
      <c r="C136" s="49"/>
      <c r="D136" s="62" t="s">
        <v>22</v>
      </c>
      <c r="E136" s="739" t="s">
        <v>50</v>
      </c>
      <c r="F136" s="428"/>
      <c r="G136" s="328" t="s">
        <v>209</v>
      </c>
      <c r="H136" s="383">
        <v>10010803</v>
      </c>
      <c r="I136" s="429"/>
      <c r="J136" s="206"/>
      <c r="K136" s="222" t="s">
        <v>15</v>
      </c>
      <c r="L136" s="491">
        <f>55.9/3.4528*1000</f>
        <v>16190</v>
      </c>
      <c r="M136" s="270">
        <f>16190-2900</f>
        <v>13290</v>
      </c>
      <c r="N136" s="738">
        <f>M136-L136</f>
        <v>-2900</v>
      </c>
      <c r="O136" s="436" t="s">
        <v>59</v>
      </c>
      <c r="P136" s="384">
        <v>40.1</v>
      </c>
    </row>
    <row r="137" spans="1:22" s="101" customFormat="1" ht="24" customHeight="1" x14ac:dyDescent="0.2">
      <c r="A137" s="346"/>
      <c r="B137" s="410"/>
      <c r="C137" s="414"/>
      <c r="D137" s="60" t="s">
        <v>23</v>
      </c>
      <c r="E137" s="149" t="s">
        <v>52</v>
      </c>
      <c r="F137" s="428"/>
      <c r="G137" s="962" t="s">
        <v>210</v>
      </c>
      <c r="H137" s="756">
        <v>10010806</v>
      </c>
      <c r="I137" s="429"/>
      <c r="J137" s="206"/>
      <c r="K137" s="222" t="s">
        <v>15</v>
      </c>
      <c r="L137" s="491">
        <f>2023.9/3.4528*1000</f>
        <v>586162</v>
      </c>
      <c r="M137" s="270">
        <f>2023.9/3.4528*1000</f>
        <v>586162</v>
      </c>
      <c r="N137" s="270"/>
      <c r="O137" s="204" t="s">
        <v>161</v>
      </c>
      <c r="P137" s="205">
        <v>100</v>
      </c>
      <c r="Q137" s="318"/>
      <c r="R137" s="319"/>
      <c r="S137" s="320"/>
      <c r="T137" s="318"/>
      <c r="U137" s="319"/>
      <c r="V137" s="318"/>
    </row>
    <row r="138" spans="1:22" s="101" customFormat="1" ht="24" customHeight="1" x14ac:dyDescent="0.2">
      <c r="A138" s="346"/>
      <c r="B138" s="410"/>
      <c r="C138" s="414"/>
      <c r="D138" s="60"/>
      <c r="E138" s="149"/>
      <c r="F138" s="305"/>
      <c r="G138" s="963"/>
      <c r="H138" s="756"/>
      <c r="I138" s="429"/>
      <c r="J138" s="206"/>
      <c r="K138" s="222" t="s">
        <v>18</v>
      </c>
      <c r="L138" s="491">
        <v>6864</v>
      </c>
      <c r="M138" s="270">
        <v>6864</v>
      </c>
      <c r="N138" s="270"/>
      <c r="O138" s="204"/>
      <c r="P138" s="205"/>
      <c r="Q138" s="318"/>
      <c r="R138" s="319"/>
      <c r="S138" s="320"/>
      <c r="T138" s="318"/>
      <c r="U138" s="319"/>
      <c r="V138" s="318"/>
    </row>
    <row r="139" spans="1:22" ht="46.5" customHeight="1" x14ac:dyDescent="0.2">
      <c r="A139" s="346"/>
      <c r="B139" s="410"/>
      <c r="C139" s="414"/>
      <c r="D139" s="152" t="s">
        <v>44</v>
      </c>
      <c r="E139" s="158" t="s">
        <v>90</v>
      </c>
      <c r="F139" s="302"/>
      <c r="G139" s="303" t="s">
        <v>211</v>
      </c>
      <c r="H139" s="382">
        <v>10010703</v>
      </c>
      <c r="I139" s="360"/>
      <c r="J139" s="151"/>
      <c r="K139" s="214" t="s">
        <v>15</v>
      </c>
      <c r="L139" s="492">
        <f>1355.7/3.4528*1000</f>
        <v>392638</v>
      </c>
      <c r="M139" s="371">
        <f>1355.7/3.4528*1000</f>
        <v>392638</v>
      </c>
      <c r="N139" s="371"/>
      <c r="O139" s="156" t="s">
        <v>162</v>
      </c>
      <c r="P139" s="372">
        <v>16</v>
      </c>
    </row>
    <row r="140" spans="1:22" ht="47.25" customHeight="1" x14ac:dyDescent="0.2">
      <c r="A140" s="346"/>
      <c r="B140" s="410"/>
      <c r="C140" s="414"/>
      <c r="D140" s="150" t="s">
        <v>109</v>
      </c>
      <c r="E140" s="160" t="s">
        <v>167</v>
      </c>
      <c r="F140" s="302"/>
      <c r="G140" s="294" t="s">
        <v>212</v>
      </c>
      <c r="H140" s="381">
        <v>10010800</v>
      </c>
      <c r="I140" s="360"/>
      <c r="J140" s="151"/>
      <c r="K140" s="215" t="s">
        <v>15</v>
      </c>
      <c r="L140" s="493">
        <f>200/3.4528*1000</f>
        <v>57924</v>
      </c>
      <c r="M140" s="192">
        <f>200/3.4528*1000</f>
        <v>57924</v>
      </c>
      <c r="N140" s="192"/>
      <c r="O140" s="355" t="s">
        <v>163</v>
      </c>
      <c r="P140" s="55">
        <v>1</v>
      </c>
    </row>
    <row r="141" spans="1:22" ht="15" customHeight="1" thickBot="1" x14ac:dyDescent="0.25">
      <c r="A141" s="346"/>
      <c r="B141" s="410"/>
      <c r="C141" s="414"/>
      <c r="D141" s="63"/>
      <c r="E141" s="58"/>
      <c r="F141" s="288"/>
      <c r="G141" s="291"/>
      <c r="H141" s="376"/>
      <c r="I141" s="438"/>
      <c r="J141" s="153"/>
      <c r="K141" s="223" t="s">
        <v>16</v>
      </c>
      <c r="L141" s="271">
        <f>SUM(L132:L140)</f>
        <v>1470575</v>
      </c>
      <c r="M141" s="271">
        <f>SUM(M132:M140)</f>
        <v>1475720</v>
      </c>
      <c r="N141" s="271">
        <f>SUM(N132:N140)</f>
        <v>5145</v>
      </c>
      <c r="O141" s="157"/>
      <c r="P141" s="437"/>
    </row>
    <row r="142" spans="1:22" ht="35.25" customHeight="1" x14ac:dyDescent="0.2">
      <c r="A142" s="430" t="s">
        <v>17</v>
      </c>
      <c r="B142" s="432" t="s">
        <v>19</v>
      </c>
      <c r="C142" s="444" t="s">
        <v>17</v>
      </c>
      <c r="D142" s="992"/>
      <c r="E142" s="1142" t="s">
        <v>134</v>
      </c>
      <c r="F142" s="990" t="s">
        <v>88</v>
      </c>
      <c r="G142" s="921" t="s">
        <v>204</v>
      </c>
      <c r="H142" s="778">
        <v>10010704</v>
      </c>
      <c r="I142" s="996">
        <v>6</v>
      </c>
      <c r="J142" s="960" t="s">
        <v>171</v>
      </c>
      <c r="K142" s="226" t="s">
        <v>15</v>
      </c>
      <c r="L142" s="494">
        <f>73/3.4528*1000</f>
        <v>21142</v>
      </c>
      <c r="M142" s="624">
        <f>73/3.4528*1000-5145</f>
        <v>15997</v>
      </c>
      <c r="N142" s="624">
        <f>M142-L142</f>
        <v>-5145</v>
      </c>
      <c r="O142" s="964" t="s">
        <v>89</v>
      </c>
      <c r="P142" s="242">
        <v>1</v>
      </c>
    </row>
    <row r="143" spans="1:22" ht="15.75" customHeight="1" thickBot="1" x14ac:dyDescent="0.25">
      <c r="A143" s="431"/>
      <c r="B143" s="433"/>
      <c r="C143" s="445"/>
      <c r="D143" s="993"/>
      <c r="E143" s="1143"/>
      <c r="F143" s="991"/>
      <c r="G143" s="922"/>
      <c r="H143" s="779"/>
      <c r="I143" s="997"/>
      <c r="J143" s="998"/>
      <c r="K143" s="171" t="s">
        <v>16</v>
      </c>
      <c r="L143" s="191">
        <f>L142</f>
        <v>21142</v>
      </c>
      <c r="M143" s="191">
        <f>M142</f>
        <v>15997</v>
      </c>
      <c r="N143" s="191">
        <f>N142</f>
        <v>-5145</v>
      </c>
      <c r="O143" s="965"/>
      <c r="P143" s="437"/>
    </row>
    <row r="144" spans="1:22" ht="46.5" customHeight="1" x14ac:dyDescent="0.2">
      <c r="A144" s="1024" t="s">
        <v>17</v>
      </c>
      <c r="B144" s="835" t="s">
        <v>19</v>
      </c>
      <c r="C144" s="41" t="s">
        <v>19</v>
      </c>
      <c r="D144" s="1015"/>
      <c r="E144" s="1026" t="s">
        <v>48</v>
      </c>
      <c r="F144" s="990"/>
      <c r="G144" s="921" t="s">
        <v>213</v>
      </c>
      <c r="H144" s="778">
        <v>1001080700</v>
      </c>
      <c r="I144" s="1027">
        <v>2</v>
      </c>
      <c r="J144" s="748" t="s">
        <v>99</v>
      </c>
      <c r="K144" s="224" t="s">
        <v>15</v>
      </c>
      <c r="L144" s="495">
        <f>108/3.4528*1000</f>
        <v>31279</v>
      </c>
      <c r="M144" s="272">
        <f>108/3.4528*1000</f>
        <v>31279</v>
      </c>
      <c r="N144" s="272"/>
      <c r="O144" s="1008" t="s">
        <v>164</v>
      </c>
      <c r="P144" s="246">
        <v>320</v>
      </c>
    </row>
    <row r="145" spans="1:37" ht="15.75" customHeight="1" x14ac:dyDescent="0.2">
      <c r="A145" s="1136"/>
      <c r="B145" s="1137"/>
      <c r="C145" s="734"/>
      <c r="D145" s="1138"/>
      <c r="E145" s="1139"/>
      <c r="F145" s="1140"/>
      <c r="G145" s="963"/>
      <c r="H145" s="757"/>
      <c r="I145" s="1141"/>
      <c r="J145" s="1134"/>
      <c r="K145" s="735" t="s">
        <v>16</v>
      </c>
      <c r="L145" s="736">
        <f>L144</f>
        <v>31279</v>
      </c>
      <c r="M145" s="736">
        <f>M144</f>
        <v>31279</v>
      </c>
      <c r="N145" s="736"/>
      <c r="O145" s="1135"/>
      <c r="P145" s="243"/>
    </row>
    <row r="146" spans="1:37" ht="15.75" customHeight="1" x14ac:dyDescent="0.2">
      <c r="A146" s="1011" t="s">
        <v>17</v>
      </c>
      <c r="B146" s="858" t="s">
        <v>19</v>
      </c>
      <c r="C146" s="501" t="s">
        <v>22</v>
      </c>
      <c r="D146" s="1016"/>
      <c r="E146" s="1019" t="s">
        <v>148</v>
      </c>
      <c r="F146" s="774" t="s">
        <v>86</v>
      </c>
      <c r="G146" s="962" t="s">
        <v>214</v>
      </c>
      <c r="H146" s="756">
        <v>10010702</v>
      </c>
      <c r="I146" s="1041">
        <v>2</v>
      </c>
      <c r="J146" s="837" t="s">
        <v>99</v>
      </c>
      <c r="K146" s="455" t="s">
        <v>15</v>
      </c>
      <c r="L146" s="489">
        <f>64/3.4528*1000</f>
        <v>18536</v>
      </c>
      <c r="M146" s="174">
        <f>64/3.4528*1000</f>
        <v>18536</v>
      </c>
      <c r="N146" s="174"/>
      <c r="O146" s="1029" t="s">
        <v>61</v>
      </c>
      <c r="P146" s="502">
        <v>9</v>
      </c>
    </row>
    <row r="147" spans="1:37" ht="75" customHeight="1" x14ac:dyDescent="0.2">
      <c r="A147" s="1011"/>
      <c r="B147" s="858"/>
      <c r="C147" s="501"/>
      <c r="D147" s="1016"/>
      <c r="E147" s="1019"/>
      <c r="F147" s="774"/>
      <c r="G147" s="962"/>
      <c r="H147" s="756"/>
      <c r="I147" s="1041"/>
      <c r="J147" s="837"/>
      <c r="K147" s="455"/>
      <c r="L147" s="489"/>
      <c r="M147" s="174"/>
      <c r="N147" s="174"/>
      <c r="O147" s="1029"/>
      <c r="P147" s="502"/>
    </row>
    <row r="148" spans="1:37" ht="18" customHeight="1" thickBot="1" x14ac:dyDescent="0.25">
      <c r="A148" s="1012"/>
      <c r="B148" s="1014"/>
      <c r="C148" s="40"/>
      <c r="D148" s="1017"/>
      <c r="E148" s="1020"/>
      <c r="F148" s="812"/>
      <c r="G148" s="922"/>
      <c r="H148" s="779"/>
      <c r="I148" s="1042"/>
      <c r="J148" s="749"/>
      <c r="K148" s="171" t="s">
        <v>16</v>
      </c>
      <c r="L148" s="191">
        <f>SUM(L146:L146)</f>
        <v>18536</v>
      </c>
      <c r="M148" s="191">
        <f>SUM(M146:M146)</f>
        <v>18536</v>
      </c>
      <c r="N148" s="191"/>
      <c r="O148" s="154"/>
      <c r="P148" s="552"/>
    </row>
    <row r="149" spans="1:37" ht="14.25" customHeight="1" thickBot="1" x14ac:dyDescent="0.25">
      <c r="A149" s="17" t="s">
        <v>17</v>
      </c>
      <c r="B149" s="18" t="s">
        <v>19</v>
      </c>
      <c r="C149" s="966" t="s">
        <v>20</v>
      </c>
      <c r="D149" s="762"/>
      <c r="E149" s="762"/>
      <c r="F149" s="762"/>
      <c r="G149" s="762"/>
      <c r="H149" s="762"/>
      <c r="I149" s="762"/>
      <c r="J149" s="762"/>
      <c r="K149" s="762"/>
      <c r="L149" s="177">
        <f>L148+L145+L143+L141</f>
        <v>1541532</v>
      </c>
      <c r="M149" s="177">
        <f>M148+M145+M143+M141</f>
        <v>1541532</v>
      </c>
      <c r="N149" s="177">
        <f>N148+N145+N143+N141</f>
        <v>0</v>
      </c>
      <c r="O149" s="1023"/>
      <c r="P149" s="970"/>
    </row>
    <row r="150" spans="1:37" s="31" customFormat="1" ht="14.25" customHeight="1" thickBot="1" x14ac:dyDescent="0.25">
      <c r="A150" s="17" t="s">
        <v>17</v>
      </c>
      <c r="B150" s="759" t="s">
        <v>6</v>
      </c>
      <c r="C150" s="759"/>
      <c r="D150" s="759"/>
      <c r="E150" s="759"/>
      <c r="F150" s="759"/>
      <c r="G150" s="759"/>
      <c r="H150" s="759"/>
      <c r="I150" s="759"/>
      <c r="J150" s="759"/>
      <c r="K150" s="759"/>
      <c r="L150" s="274">
        <f>L149+L129+L124</f>
        <v>3677928</v>
      </c>
      <c r="M150" s="274">
        <f>M149+M129+M124</f>
        <v>3888977</v>
      </c>
      <c r="N150" s="274">
        <f>N149+N129+N124</f>
        <v>211049</v>
      </c>
      <c r="O150" s="1006"/>
      <c r="P150" s="1007"/>
      <c r="Q150" s="312"/>
      <c r="R150" s="313"/>
      <c r="S150" s="312"/>
      <c r="T150" s="312"/>
      <c r="U150" s="313"/>
      <c r="V150" s="312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 spans="1:37" s="3" customFormat="1" ht="15.75" customHeight="1" thickBot="1" x14ac:dyDescent="0.25">
      <c r="A151" s="19" t="s">
        <v>5</v>
      </c>
      <c r="B151" s="1039" t="s">
        <v>7</v>
      </c>
      <c r="C151" s="1039"/>
      <c r="D151" s="1039"/>
      <c r="E151" s="1039"/>
      <c r="F151" s="1039"/>
      <c r="G151" s="1039"/>
      <c r="H151" s="1039"/>
      <c r="I151" s="1039"/>
      <c r="J151" s="1039"/>
      <c r="K151" s="1039"/>
      <c r="L151" s="193">
        <f>L150+L81</f>
        <v>61179000</v>
      </c>
      <c r="M151" s="193">
        <f>M150+M81</f>
        <v>61680933</v>
      </c>
      <c r="N151" s="193">
        <f>N150+N81</f>
        <v>501933</v>
      </c>
      <c r="O151" s="1021"/>
      <c r="P151" s="1022"/>
      <c r="Q151" s="321"/>
      <c r="R151" s="322"/>
      <c r="S151" s="321"/>
      <c r="T151" s="321"/>
      <c r="U151" s="322"/>
      <c r="V151" s="321"/>
    </row>
    <row r="152" spans="1:37" s="4" customFormat="1" ht="16.5" customHeight="1" x14ac:dyDescent="0.2">
      <c r="A152" s="1056" t="s">
        <v>244</v>
      </c>
      <c r="B152" s="1056"/>
      <c r="C152" s="1056"/>
      <c r="D152" s="1056"/>
      <c r="E152" s="1056"/>
      <c r="F152" s="1056"/>
      <c r="G152" s="1056"/>
      <c r="H152" s="1056"/>
      <c r="I152" s="1056"/>
      <c r="J152" s="1056"/>
      <c r="K152" s="1056"/>
      <c r="L152" s="1056"/>
      <c r="M152" s="1056"/>
      <c r="N152" s="1056"/>
      <c r="O152" s="323"/>
      <c r="P152" s="324"/>
      <c r="Q152" s="70"/>
      <c r="R152" s="323"/>
      <c r="S152" s="324"/>
      <c r="T152" s="323"/>
    </row>
    <row r="153" spans="1:37" s="4" customFormat="1" ht="13.5" thickBot="1" x14ac:dyDescent="0.25">
      <c r="A153" s="1043" t="s">
        <v>0</v>
      </c>
      <c r="B153" s="1043"/>
      <c r="C153" s="1043"/>
      <c r="D153" s="1043"/>
      <c r="E153" s="1043"/>
      <c r="F153" s="1043"/>
      <c r="G153" s="1043"/>
      <c r="H153" s="1043"/>
      <c r="I153" s="1043"/>
      <c r="J153" s="1043"/>
      <c r="K153" s="1043"/>
      <c r="L153" s="1043"/>
      <c r="M153" s="1043"/>
      <c r="N153" s="1043"/>
      <c r="O153" s="80"/>
      <c r="P153" s="80"/>
      <c r="Q153" s="323"/>
      <c r="R153" s="324"/>
      <c r="S153" s="323"/>
      <c r="T153" s="323"/>
      <c r="U153" s="324"/>
      <c r="V153" s="323"/>
    </row>
    <row r="154" spans="1:37" s="4" customFormat="1" ht="58.5" customHeight="1" thickBot="1" x14ac:dyDescent="0.25">
      <c r="A154" s="1057" t="s">
        <v>1</v>
      </c>
      <c r="B154" s="1058"/>
      <c r="C154" s="1058"/>
      <c r="D154" s="1058"/>
      <c r="E154" s="1058"/>
      <c r="F154" s="1058"/>
      <c r="G154" s="1058"/>
      <c r="H154" s="1058"/>
      <c r="I154" s="1058"/>
      <c r="J154" s="1058"/>
      <c r="K154" s="1059"/>
      <c r="L154" s="511" t="s">
        <v>227</v>
      </c>
      <c r="M154" s="512" t="s">
        <v>242</v>
      </c>
      <c r="N154" s="513" t="s">
        <v>229</v>
      </c>
      <c r="O154" s="24"/>
      <c r="P154" s="341"/>
      <c r="Q154" s="323"/>
      <c r="R154" s="324"/>
      <c r="S154" s="323"/>
      <c r="T154" s="323"/>
      <c r="U154" s="324"/>
      <c r="V154" s="323"/>
    </row>
    <row r="155" spans="1:37" s="4" customFormat="1" x14ac:dyDescent="0.2">
      <c r="A155" s="1003" t="s">
        <v>25</v>
      </c>
      <c r="B155" s="1004"/>
      <c r="C155" s="1004"/>
      <c r="D155" s="1004"/>
      <c r="E155" s="1004"/>
      <c r="F155" s="1004"/>
      <c r="G155" s="1004"/>
      <c r="H155" s="1004"/>
      <c r="I155" s="1004"/>
      <c r="J155" s="1004"/>
      <c r="K155" s="1005"/>
      <c r="L155" s="503">
        <f>SUM(L156:L162)</f>
        <v>60629087</v>
      </c>
      <c r="M155" s="503">
        <f>SUM(M156:M162)</f>
        <v>61131020</v>
      </c>
      <c r="N155" s="276">
        <f>SUM(N156:N162)</f>
        <v>501933</v>
      </c>
      <c r="O155" s="25"/>
      <c r="P155" s="230"/>
      <c r="Q155" s="323"/>
      <c r="R155" s="324"/>
      <c r="S155" s="70"/>
      <c r="T155" s="323"/>
      <c r="U155" s="324"/>
      <c r="V155" s="323"/>
    </row>
    <row r="156" spans="1:37" s="4" customFormat="1" x14ac:dyDescent="0.2">
      <c r="A156" s="999" t="s">
        <v>28</v>
      </c>
      <c r="B156" s="1000"/>
      <c r="C156" s="1000"/>
      <c r="D156" s="1000"/>
      <c r="E156" s="1000"/>
      <c r="F156" s="1000"/>
      <c r="G156" s="1000"/>
      <c r="H156" s="1000"/>
      <c r="I156" s="1000"/>
      <c r="J156" s="1001"/>
      <c r="K156" s="1002"/>
      <c r="L156" s="504">
        <f>SUMIF(K15:K146,"sb",L15:L146)</f>
        <v>23629294</v>
      </c>
      <c r="M156" s="504">
        <f>SUMIF(K15:K146,"sb",M15:M146)</f>
        <v>23967131</v>
      </c>
      <c r="N156" s="277">
        <f>SUMIF(K15:K146,"sb",N15:N146)</f>
        <v>337837</v>
      </c>
      <c r="O156" s="200"/>
      <c r="P156" s="342"/>
      <c r="Q156" s="323"/>
      <c r="R156" s="324"/>
      <c r="S156" s="323"/>
      <c r="T156" s="323"/>
      <c r="U156" s="324"/>
      <c r="V156" s="323"/>
    </row>
    <row r="157" spans="1:37" s="4" customFormat="1" x14ac:dyDescent="0.2">
      <c r="A157" s="999" t="s">
        <v>35</v>
      </c>
      <c r="B157" s="1000"/>
      <c r="C157" s="1000"/>
      <c r="D157" s="1000"/>
      <c r="E157" s="1000"/>
      <c r="F157" s="1000"/>
      <c r="G157" s="1000"/>
      <c r="H157" s="1000"/>
      <c r="I157" s="1000"/>
      <c r="J157" s="1001"/>
      <c r="K157" s="1002"/>
      <c r="L157" s="504">
        <f>SUMIF(K15:K146,"sb(sp)",L15:L146)</f>
        <v>5008279</v>
      </c>
      <c r="M157" s="504">
        <f>SUMIF(K15:K146,"sb(sp)",M15:M146)</f>
        <v>5008279</v>
      </c>
      <c r="N157" s="277">
        <f>SUMIF(K15:K146,"sb(sp)",N15:N146)</f>
        <v>0</v>
      </c>
      <c r="O157" s="200"/>
      <c r="P157" s="342"/>
      <c r="Q157" s="323"/>
      <c r="R157" s="324"/>
      <c r="S157" s="323"/>
      <c r="T157" s="323"/>
      <c r="U157" s="324"/>
      <c r="V157" s="323"/>
    </row>
    <row r="158" spans="1:37" s="4" customFormat="1" x14ac:dyDescent="0.2">
      <c r="A158" s="987" t="s">
        <v>221</v>
      </c>
      <c r="B158" s="988"/>
      <c r="C158" s="988"/>
      <c r="D158" s="988"/>
      <c r="E158" s="988"/>
      <c r="F158" s="988"/>
      <c r="G158" s="988"/>
      <c r="H158" s="988"/>
      <c r="I158" s="988"/>
      <c r="J158" s="988"/>
      <c r="K158" s="989"/>
      <c r="L158" s="504">
        <f>SUMIF(K15:K146,"sb(spl)",L15:L146)</f>
        <v>681245</v>
      </c>
      <c r="M158" s="504">
        <f>SUMIF(K15:K146,"sb(spl)",M15:M146)</f>
        <v>681245</v>
      </c>
      <c r="N158" s="277">
        <f>SUMIF(K15:K146,"sb(spl)",N15:N146)</f>
        <v>0</v>
      </c>
      <c r="O158" s="200"/>
      <c r="P158" s="342"/>
      <c r="Q158" s="323"/>
      <c r="R158" s="324"/>
      <c r="S158" s="323"/>
      <c r="T158" s="323"/>
      <c r="U158" s="324"/>
      <c r="V158" s="323"/>
    </row>
    <row r="159" spans="1:37" s="4" customFormat="1" x14ac:dyDescent="0.2">
      <c r="A159" s="987" t="s">
        <v>215</v>
      </c>
      <c r="B159" s="988"/>
      <c r="C159" s="988"/>
      <c r="D159" s="988"/>
      <c r="E159" s="988"/>
      <c r="F159" s="988"/>
      <c r="G159" s="988"/>
      <c r="H159" s="988"/>
      <c r="I159" s="988"/>
      <c r="J159" s="988"/>
      <c r="K159" s="989"/>
      <c r="L159" s="504">
        <f>SUMIF(K15:K146,"sb(p)",L15:L146)</f>
        <v>8863</v>
      </c>
      <c r="M159" s="504">
        <f>SUMIF(K15:K146,"sb(p)",M15:M146)</f>
        <v>167800</v>
      </c>
      <c r="N159" s="277">
        <f>SUMIF(K15:K146,"sb(p)",N15:N146)</f>
        <v>158937</v>
      </c>
      <c r="O159" s="200"/>
      <c r="P159" s="342"/>
      <c r="Q159" s="323"/>
      <c r="R159" s="324"/>
      <c r="S159" s="323"/>
      <c r="T159" s="323"/>
      <c r="U159" s="324"/>
      <c r="V159" s="323"/>
    </row>
    <row r="160" spans="1:37" s="4" customFormat="1" x14ac:dyDescent="0.2">
      <c r="A160" s="999" t="s">
        <v>235</v>
      </c>
      <c r="B160" s="1000"/>
      <c r="C160" s="1000"/>
      <c r="D160" s="1000"/>
      <c r="E160" s="1000"/>
      <c r="F160" s="1000"/>
      <c r="G160" s="1000"/>
      <c r="H160" s="1000"/>
      <c r="I160" s="1000"/>
      <c r="J160" s="1001"/>
      <c r="K160" s="1002"/>
      <c r="L160" s="504">
        <f>SUMIF(K15:K146,"sb(vb)",L15:L146)</f>
        <v>31035039</v>
      </c>
      <c r="M160" s="504">
        <f>SUMIF(K15:K146,"sb(vb)",M15:M146)</f>
        <v>31162292</v>
      </c>
      <c r="N160" s="277">
        <f>SUMIF(K15:K146,"sb(vb)",N15:N146)</f>
        <v>127253</v>
      </c>
      <c r="O160" s="200"/>
      <c r="P160" s="342"/>
      <c r="Q160" s="323"/>
      <c r="R160" s="324"/>
      <c r="S160" s="323"/>
      <c r="T160" s="323"/>
      <c r="U160" s="324"/>
      <c r="V160" s="323"/>
    </row>
    <row r="161" spans="1:22" s="4" customFormat="1" ht="27.75" customHeight="1" x14ac:dyDescent="0.2">
      <c r="A161" s="1049" t="s">
        <v>222</v>
      </c>
      <c r="B161" s="1050"/>
      <c r="C161" s="1050"/>
      <c r="D161" s="1050"/>
      <c r="E161" s="1050"/>
      <c r="F161" s="1050"/>
      <c r="G161" s="1050"/>
      <c r="H161" s="1050"/>
      <c r="I161" s="1050"/>
      <c r="J161" s="1050"/>
      <c r="K161" s="1051"/>
      <c r="L161" s="505">
        <f>SUMIF(K15:K146,"sb(l)",L15:L146)</f>
        <v>8431</v>
      </c>
      <c r="M161" s="505">
        <f>SUMIF(K15:K146,"sb(l)",M15:M146)</f>
        <v>8431</v>
      </c>
      <c r="N161" s="307">
        <f>SUMIF(K15:K146,"sb(l)",N15:N146)</f>
        <v>0</v>
      </c>
      <c r="O161" s="200"/>
      <c r="P161" s="342"/>
      <c r="Q161" s="323"/>
      <c r="R161" s="324"/>
      <c r="S161" s="323"/>
      <c r="T161" s="323"/>
      <c r="U161" s="324"/>
      <c r="V161" s="323"/>
    </row>
    <row r="162" spans="1:22" s="4" customFormat="1" ht="13.5" thickBot="1" x14ac:dyDescent="0.25">
      <c r="A162" s="786" t="s">
        <v>218</v>
      </c>
      <c r="B162" s="787"/>
      <c r="C162" s="787"/>
      <c r="D162" s="787"/>
      <c r="E162" s="787"/>
      <c r="F162" s="787"/>
      <c r="G162" s="787"/>
      <c r="H162" s="787"/>
      <c r="I162" s="787"/>
      <c r="J162" s="787"/>
      <c r="K162" s="788"/>
      <c r="L162" s="506">
        <f>SUMIF(K15:K146,"pf",L15:L146)</f>
        <v>257936</v>
      </c>
      <c r="M162" s="506">
        <f>SUMIF(K15:K146,"pf",M15:M146)</f>
        <v>135842</v>
      </c>
      <c r="N162" s="366">
        <f>SUMIF(K15:K146,"PF",N15:N146)</f>
        <v>-122094</v>
      </c>
      <c r="O162" s="200"/>
      <c r="P162" s="342"/>
      <c r="Q162" s="323"/>
      <c r="R162" s="324"/>
      <c r="S162" s="323"/>
      <c r="T162" s="323"/>
      <c r="U162" s="324"/>
      <c r="V162" s="323"/>
    </row>
    <row r="163" spans="1:22" s="4" customFormat="1" ht="13.5" thickBot="1" x14ac:dyDescent="0.25">
      <c r="A163" s="1053" t="s">
        <v>26</v>
      </c>
      <c r="B163" s="1054"/>
      <c r="C163" s="1054"/>
      <c r="D163" s="1054"/>
      <c r="E163" s="1054"/>
      <c r="F163" s="1054"/>
      <c r="G163" s="1054"/>
      <c r="H163" s="1054"/>
      <c r="I163" s="1054"/>
      <c r="J163" s="1054"/>
      <c r="K163" s="1055"/>
      <c r="L163" s="507">
        <f>SUM(L164:L165)</f>
        <v>549913</v>
      </c>
      <c r="M163" s="507">
        <f>SUM(M164:M165)</f>
        <v>549913</v>
      </c>
      <c r="N163" s="278">
        <f>SUM(N164:N165)</f>
        <v>0</v>
      </c>
      <c r="O163" s="202"/>
      <c r="P163" s="345"/>
      <c r="Q163" s="323"/>
      <c r="R163" s="324"/>
      <c r="S163" s="323"/>
      <c r="T163" s="323"/>
      <c r="U163" s="324"/>
      <c r="V163" s="323"/>
    </row>
    <row r="164" spans="1:22" x14ac:dyDescent="0.2">
      <c r="A164" s="1033" t="s">
        <v>30</v>
      </c>
      <c r="B164" s="1034"/>
      <c r="C164" s="1034"/>
      <c r="D164" s="1034"/>
      <c r="E164" s="1034"/>
      <c r="F164" s="1034"/>
      <c r="G164" s="1034"/>
      <c r="H164" s="1034"/>
      <c r="I164" s="1034"/>
      <c r="J164" s="1035"/>
      <c r="K164" s="1036"/>
      <c r="L164" s="508">
        <f>SUMIF(K15:K146,"es",L15:L146)</f>
        <v>326865</v>
      </c>
      <c r="M164" s="508">
        <f>SUMIF(K15:K146,"es",M15:M146)</f>
        <v>326865</v>
      </c>
      <c r="N164" s="279">
        <f>SUMIF(K15:K146,"es",N15:N146)</f>
        <v>0</v>
      </c>
      <c r="O164" s="201"/>
      <c r="P164" s="343"/>
    </row>
    <row r="165" spans="1:22" ht="13.5" thickBot="1" x14ac:dyDescent="0.25">
      <c r="A165" s="1044" t="s">
        <v>147</v>
      </c>
      <c r="B165" s="1045"/>
      <c r="C165" s="1045"/>
      <c r="D165" s="1045"/>
      <c r="E165" s="1045"/>
      <c r="F165" s="1045"/>
      <c r="G165" s="1045"/>
      <c r="H165" s="1045"/>
      <c r="I165" s="1045"/>
      <c r="J165" s="1045"/>
      <c r="K165" s="1046"/>
      <c r="L165" s="509">
        <f>SUMIF(K15:K146,K120,L15:L146)</f>
        <v>223048</v>
      </c>
      <c r="M165" s="509">
        <f>SUMIF(K15:K146,K120,M15:M146)</f>
        <v>223048</v>
      </c>
      <c r="N165" s="280">
        <f>SUMIF(K15:K146,K120,N15:N146)</f>
        <v>0</v>
      </c>
      <c r="O165" s="201"/>
      <c r="P165" s="343"/>
    </row>
    <row r="166" spans="1:22" ht="13.5" thickBot="1" x14ac:dyDescent="0.25">
      <c r="A166" s="1030" t="s">
        <v>27</v>
      </c>
      <c r="B166" s="1031"/>
      <c r="C166" s="1031"/>
      <c r="D166" s="1031"/>
      <c r="E166" s="1031"/>
      <c r="F166" s="1031"/>
      <c r="G166" s="1031"/>
      <c r="H166" s="1031"/>
      <c r="I166" s="1031"/>
      <c r="J166" s="1031"/>
      <c r="K166" s="1032"/>
      <c r="L166" s="510">
        <f>L163+L155</f>
        <v>61179000</v>
      </c>
      <c r="M166" s="510">
        <f>M163+M155</f>
        <v>61680933</v>
      </c>
      <c r="N166" s="281">
        <f>N163+N155</f>
        <v>501933</v>
      </c>
      <c r="O166" s="203"/>
      <c r="P166" s="344"/>
    </row>
    <row r="167" spans="1:22" x14ac:dyDescent="0.2">
      <c r="L167" s="198"/>
    </row>
    <row r="168" spans="1:22" x14ac:dyDescent="0.2">
      <c r="E168" s="1"/>
      <c r="F168" s="29"/>
      <c r="G168" s="296"/>
      <c r="H168" s="375"/>
      <c r="I168" s="335"/>
      <c r="J168" s="29"/>
      <c r="K168" s="29"/>
      <c r="L168" s="29"/>
      <c r="M168" s="197"/>
      <c r="N168" s="197"/>
      <c r="Q168" s="1"/>
      <c r="R168" s="1"/>
      <c r="S168" s="1"/>
      <c r="T168" s="1"/>
      <c r="U168" s="1"/>
      <c r="V168" s="1"/>
    </row>
    <row r="169" spans="1:22" x14ac:dyDescent="0.2">
      <c r="E169" s="1"/>
      <c r="F169" s="29"/>
      <c r="G169" s="296"/>
      <c r="H169" s="375"/>
      <c r="I169" s="335"/>
      <c r="J169" s="29"/>
      <c r="K169" s="29"/>
      <c r="L169" s="29"/>
      <c r="M169" s="197"/>
      <c r="N169" s="197"/>
      <c r="P169" s="105"/>
      <c r="Q169" s="1"/>
      <c r="R169" s="1"/>
      <c r="S169" s="1"/>
      <c r="T169" s="1"/>
      <c r="U169" s="1"/>
      <c r="V169" s="1"/>
    </row>
    <row r="170" spans="1:22" x14ac:dyDescent="0.2">
      <c r="E170" s="1"/>
      <c r="F170" s="29"/>
      <c r="G170" s="296"/>
      <c r="H170" s="375"/>
      <c r="I170" s="335"/>
      <c r="J170" s="29"/>
      <c r="K170" s="29"/>
      <c r="L170" s="29"/>
      <c r="M170" s="197"/>
      <c r="N170" s="197"/>
      <c r="Q170" s="1"/>
      <c r="R170" s="1"/>
      <c r="S170" s="1"/>
      <c r="T170" s="1"/>
      <c r="U170" s="1"/>
      <c r="V170" s="1"/>
    </row>
    <row r="171" spans="1:22" x14ac:dyDescent="0.2">
      <c r="E171" s="1"/>
      <c r="F171" s="29"/>
      <c r="G171" s="296"/>
      <c r="H171" s="375"/>
      <c r="I171" s="335"/>
      <c r="J171" s="29"/>
      <c r="K171" s="29"/>
      <c r="L171" s="29"/>
      <c r="M171" s="197"/>
      <c r="N171" s="197"/>
      <c r="Q171" s="1"/>
      <c r="R171" s="1"/>
      <c r="S171" s="1"/>
      <c r="T171" s="1"/>
      <c r="U171" s="1"/>
      <c r="V171" s="1"/>
    </row>
    <row r="172" spans="1:22" x14ac:dyDescent="0.2">
      <c r="E172" s="1"/>
      <c r="F172" s="29"/>
      <c r="G172" s="296"/>
      <c r="H172" s="375"/>
      <c r="I172" s="335"/>
      <c r="J172" s="29"/>
      <c r="K172" s="29"/>
      <c r="L172" s="29"/>
      <c r="M172" s="197"/>
      <c r="N172" s="197"/>
      <c r="Q172" s="1"/>
      <c r="R172" s="1"/>
      <c r="S172" s="1"/>
      <c r="T172" s="1"/>
      <c r="U172" s="1"/>
      <c r="V172" s="1"/>
    </row>
    <row r="173" spans="1:22" x14ac:dyDescent="0.2">
      <c r="E173" s="1"/>
      <c r="F173" s="29"/>
      <c r="G173" s="296"/>
      <c r="H173" s="375"/>
      <c r="I173" s="335"/>
      <c r="J173" s="29"/>
      <c r="K173" s="29"/>
      <c r="L173" s="29"/>
      <c r="M173" s="197"/>
      <c r="N173" s="197"/>
      <c r="Q173" s="1"/>
      <c r="R173" s="1"/>
      <c r="S173" s="1"/>
      <c r="T173" s="1"/>
      <c r="U173" s="1"/>
      <c r="V173" s="1"/>
    </row>
    <row r="174" spans="1:22" x14ac:dyDescent="0.2">
      <c r="E174" s="1"/>
      <c r="F174" s="29"/>
      <c r="G174" s="296"/>
      <c r="H174" s="375"/>
      <c r="I174" s="335"/>
      <c r="J174" s="29"/>
      <c r="K174" s="29"/>
      <c r="L174" s="29"/>
      <c r="M174" s="197"/>
      <c r="N174" s="197"/>
      <c r="Q174" s="1"/>
      <c r="R174" s="1"/>
      <c r="S174" s="1"/>
      <c r="T174" s="1"/>
      <c r="U174" s="1"/>
      <c r="V174" s="1"/>
    </row>
    <row r="175" spans="1:22" x14ac:dyDescent="0.2">
      <c r="E175" s="1"/>
      <c r="F175" s="29"/>
      <c r="G175" s="296"/>
      <c r="H175" s="375"/>
      <c r="I175" s="335"/>
      <c r="J175" s="29"/>
      <c r="K175" s="29"/>
      <c r="L175" s="29"/>
      <c r="M175" s="197"/>
      <c r="N175" s="197"/>
      <c r="Q175" s="1"/>
      <c r="R175" s="1"/>
      <c r="S175" s="1"/>
      <c r="T175" s="1"/>
      <c r="U175" s="1"/>
      <c r="V175" s="1"/>
    </row>
    <row r="176" spans="1:22" x14ac:dyDescent="0.2">
      <c r="E176" s="1"/>
      <c r="F176" s="29"/>
      <c r="G176" s="296"/>
      <c r="H176" s="375"/>
      <c r="I176" s="335"/>
      <c r="J176" s="29"/>
      <c r="K176" s="29"/>
      <c r="L176" s="29"/>
      <c r="M176" s="197"/>
      <c r="N176" s="197"/>
      <c r="Q176" s="1"/>
      <c r="R176" s="1"/>
      <c r="S176" s="1"/>
      <c r="T176" s="1"/>
      <c r="U176" s="1"/>
      <c r="V176" s="1"/>
    </row>
    <row r="177" spans="1:22" x14ac:dyDescent="0.2">
      <c r="E177" s="1"/>
      <c r="F177" s="29"/>
      <c r="G177" s="296"/>
      <c r="H177" s="375"/>
      <c r="I177" s="335"/>
      <c r="J177" s="29"/>
      <c r="K177" s="29"/>
      <c r="L177" s="29"/>
      <c r="M177" s="197"/>
      <c r="N177" s="197"/>
      <c r="Q177" s="1"/>
      <c r="R177" s="1"/>
      <c r="S177" s="1"/>
      <c r="T177" s="1"/>
      <c r="U177" s="1"/>
      <c r="V177" s="1"/>
    </row>
    <row r="178" spans="1:22" x14ac:dyDescent="0.2">
      <c r="E178" s="1"/>
      <c r="F178" s="29"/>
      <c r="G178" s="296"/>
      <c r="H178" s="375"/>
      <c r="I178" s="335"/>
      <c r="J178" s="29"/>
      <c r="K178" s="29"/>
      <c r="L178" s="29"/>
      <c r="M178" s="197"/>
      <c r="N178" s="197"/>
      <c r="Q178" s="1"/>
      <c r="R178" s="1"/>
      <c r="S178" s="1"/>
      <c r="T178" s="1"/>
      <c r="U178" s="1"/>
      <c r="V178" s="1"/>
    </row>
    <row r="179" spans="1:22" x14ac:dyDescent="0.2">
      <c r="A179" s="1"/>
      <c r="B179" s="1"/>
      <c r="C179" s="1"/>
      <c r="D179" s="1"/>
      <c r="E179" s="1"/>
      <c r="F179" s="29"/>
      <c r="G179" s="296"/>
      <c r="H179" s="375"/>
      <c r="I179" s="335"/>
      <c r="J179" s="29"/>
      <c r="K179" s="29"/>
      <c r="L179" s="29"/>
      <c r="M179" s="197"/>
      <c r="N179" s="197"/>
      <c r="O179" s="1"/>
      <c r="P179" s="1"/>
      <c r="Q179" s="1"/>
      <c r="R179" s="1"/>
      <c r="S179" s="1"/>
      <c r="T179" s="1"/>
      <c r="U179" s="1"/>
      <c r="V179" s="1"/>
    </row>
    <row r="180" spans="1:22" x14ac:dyDescent="0.2">
      <c r="A180" s="1"/>
      <c r="B180" s="1"/>
      <c r="C180" s="1"/>
      <c r="D180" s="1"/>
      <c r="E180" s="1"/>
      <c r="F180" s="29"/>
      <c r="G180" s="296"/>
      <c r="H180" s="375"/>
      <c r="I180" s="335"/>
      <c r="J180" s="29"/>
      <c r="K180" s="29"/>
      <c r="L180" s="29"/>
      <c r="M180" s="197"/>
      <c r="N180" s="197"/>
      <c r="O180" s="1"/>
      <c r="P180" s="1"/>
      <c r="Q180" s="1"/>
      <c r="R180" s="1"/>
      <c r="S180" s="1"/>
      <c r="T180" s="1"/>
      <c r="U180" s="1"/>
      <c r="V180" s="1"/>
    </row>
    <row r="181" spans="1:22" x14ac:dyDescent="0.2">
      <c r="A181" s="1"/>
      <c r="B181" s="1"/>
      <c r="C181" s="1"/>
      <c r="D181" s="1"/>
      <c r="E181" s="1"/>
      <c r="F181" s="29"/>
      <c r="G181" s="296"/>
      <c r="H181" s="375"/>
      <c r="I181" s="335"/>
      <c r="J181" s="29"/>
      <c r="K181" s="29"/>
      <c r="L181" s="29"/>
      <c r="M181" s="197"/>
      <c r="N181" s="197"/>
      <c r="O181" s="1"/>
      <c r="P181" s="1"/>
      <c r="Q181" s="1"/>
      <c r="R181" s="1"/>
      <c r="S181" s="1"/>
      <c r="T181" s="1"/>
      <c r="U181" s="1"/>
      <c r="V181" s="1"/>
    </row>
    <row r="182" spans="1:22" x14ac:dyDescent="0.2">
      <c r="A182" s="1"/>
      <c r="B182" s="1"/>
      <c r="C182" s="1"/>
      <c r="D182" s="1"/>
      <c r="E182" s="1"/>
      <c r="F182" s="29"/>
      <c r="G182" s="296"/>
      <c r="H182" s="375"/>
      <c r="I182" s="335"/>
      <c r="J182" s="29"/>
      <c r="K182" s="29"/>
      <c r="L182" s="29"/>
      <c r="M182" s="197"/>
      <c r="N182" s="197"/>
      <c r="O182" s="1"/>
      <c r="P182" s="1"/>
      <c r="Q182" s="1"/>
      <c r="R182" s="1"/>
      <c r="S182" s="1"/>
      <c r="T182" s="1"/>
      <c r="U182" s="1"/>
      <c r="V182" s="1"/>
    </row>
    <row r="183" spans="1:22" x14ac:dyDescent="0.2">
      <c r="A183" s="1"/>
      <c r="B183" s="1"/>
      <c r="C183" s="1"/>
      <c r="D183" s="1"/>
      <c r="E183" s="1"/>
      <c r="F183" s="29"/>
      <c r="G183" s="296"/>
      <c r="H183" s="375"/>
      <c r="I183" s="335"/>
      <c r="J183" s="29"/>
      <c r="K183" s="29"/>
      <c r="L183" s="29"/>
      <c r="M183" s="197"/>
      <c r="N183" s="197"/>
      <c r="O183" s="1"/>
      <c r="P183" s="1"/>
      <c r="Q183" s="1"/>
      <c r="R183" s="1"/>
      <c r="S183" s="1"/>
      <c r="T183" s="1"/>
      <c r="U183" s="1"/>
      <c r="V183" s="1"/>
    </row>
    <row r="184" spans="1:22" x14ac:dyDescent="0.2">
      <c r="A184" s="1"/>
      <c r="B184" s="1"/>
      <c r="C184" s="1"/>
      <c r="D184" s="1"/>
      <c r="E184" s="1"/>
      <c r="F184" s="29"/>
      <c r="G184" s="296"/>
      <c r="H184" s="375"/>
      <c r="I184" s="335"/>
      <c r="J184" s="29"/>
      <c r="K184" s="29"/>
      <c r="L184" s="29"/>
      <c r="M184" s="197"/>
      <c r="N184" s="197"/>
      <c r="O184" s="1"/>
      <c r="P184" s="1"/>
      <c r="Q184" s="1"/>
      <c r="R184" s="1"/>
      <c r="S184" s="1"/>
      <c r="T184" s="1"/>
      <c r="U184" s="1"/>
      <c r="V184" s="1"/>
    </row>
    <row r="185" spans="1:22" x14ac:dyDescent="0.2">
      <c r="A185" s="1"/>
      <c r="B185" s="1"/>
      <c r="C185" s="1"/>
      <c r="D185" s="1"/>
      <c r="E185" s="1"/>
      <c r="F185" s="29"/>
      <c r="G185" s="296"/>
      <c r="H185" s="375"/>
      <c r="I185" s="335"/>
      <c r="J185" s="29"/>
      <c r="K185" s="29"/>
      <c r="L185" s="29"/>
      <c r="M185" s="197"/>
      <c r="N185" s="197"/>
      <c r="O185" s="1"/>
      <c r="P185" s="1"/>
      <c r="Q185" s="1"/>
      <c r="R185" s="1"/>
      <c r="S185" s="1"/>
      <c r="T185" s="1"/>
      <c r="U185" s="1"/>
      <c r="V185" s="1"/>
    </row>
    <row r="186" spans="1:22" x14ac:dyDescent="0.2">
      <c r="A186" s="1"/>
      <c r="B186" s="1"/>
      <c r="C186" s="1"/>
      <c r="D186" s="1"/>
      <c r="E186" s="1"/>
      <c r="F186" s="29"/>
      <c r="G186" s="296"/>
      <c r="H186" s="375"/>
      <c r="I186" s="335"/>
      <c r="J186" s="29"/>
      <c r="K186" s="29"/>
      <c r="L186" s="29"/>
      <c r="M186" s="197"/>
      <c r="N186" s="197"/>
      <c r="O186" s="1"/>
      <c r="P186" s="1"/>
      <c r="Q186" s="1"/>
      <c r="R186" s="1"/>
      <c r="S186" s="1"/>
      <c r="T186" s="1"/>
      <c r="U186" s="1"/>
      <c r="V186" s="1"/>
    </row>
    <row r="187" spans="1:22" x14ac:dyDescent="0.2">
      <c r="A187" s="1"/>
      <c r="B187" s="1"/>
      <c r="C187" s="1"/>
      <c r="D187" s="1"/>
      <c r="E187" s="1"/>
      <c r="F187" s="29"/>
      <c r="G187" s="296"/>
      <c r="H187" s="375"/>
      <c r="I187" s="335"/>
      <c r="J187" s="29"/>
      <c r="K187" s="29"/>
      <c r="L187" s="29"/>
      <c r="M187" s="197"/>
      <c r="N187" s="197"/>
      <c r="O187" s="1"/>
      <c r="P187" s="1"/>
      <c r="Q187" s="1"/>
      <c r="R187" s="1"/>
      <c r="S187" s="1"/>
      <c r="T187" s="1"/>
      <c r="U187" s="1"/>
      <c r="V187" s="1"/>
    </row>
    <row r="188" spans="1:22" x14ac:dyDescent="0.2">
      <c r="A188" s="1"/>
      <c r="B188" s="1"/>
      <c r="C188" s="1"/>
      <c r="D188" s="1"/>
      <c r="E188" s="1"/>
      <c r="F188" s="29"/>
      <c r="G188" s="296"/>
      <c r="H188" s="375"/>
      <c r="I188" s="335"/>
      <c r="J188" s="29"/>
      <c r="K188" s="29"/>
      <c r="L188" s="29"/>
      <c r="M188" s="197"/>
      <c r="N188" s="197"/>
      <c r="O188" s="1"/>
      <c r="P188" s="1"/>
      <c r="Q188" s="1"/>
      <c r="R188" s="1"/>
      <c r="S188" s="1"/>
      <c r="T188" s="1"/>
      <c r="U188" s="1"/>
      <c r="V188" s="1"/>
    </row>
    <row r="189" spans="1:22" x14ac:dyDescent="0.2">
      <c r="A189" s="1"/>
      <c r="B189" s="1"/>
      <c r="C189" s="1"/>
      <c r="D189" s="1"/>
      <c r="E189" s="1"/>
      <c r="F189" s="29"/>
      <c r="G189" s="296"/>
      <c r="H189" s="375"/>
      <c r="I189" s="335"/>
      <c r="J189" s="29"/>
      <c r="K189" s="29"/>
      <c r="L189" s="29"/>
      <c r="M189" s="197"/>
      <c r="N189" s="197"/>
      <c r="O189" s="1"/>
      <c r="P189" s="1"/>
      <c r="Q189" s="1"/>
      <c r="R189" s="1"/>
      <c r="S189" s="1"/>
      <c r="T189" s="1"/>
      <c r="U189" s="1"/>
      <c r="V189" s="1"/>
    </row>
    <row r="190" spans="1:22" x14ac:dyDescent="0.2">
      <c r="A190" s="1"/>
      <c r="B190" s="1"/>
      <c r="C190" s="1"/>
      <c r="D190" s="1"/>
      <c r="E190" s="1"/>
      <c r="F190" s="29"/>
      <c r="G190" s="296"/>
      <c r="H190" s="375"/>
      <c r="I190" s="335"/>
      <c r="J190" s="29"/>
      <c r="K190" s="29"/>
      <c r="L190" s="29"/>
      <c r="M190" s="197"/>
      <c r="N190" s="197"/>
      <c r="O190" s="1"/>
      <c r="P190" s="1"/>
      <c r="Q190" s="1"/>
      <c r="R190" s="1"/>
      <c r="S190" s="1"/>
      <c r="T190" s="1"/>
      <c r="U190" s="1"/>
      <c r="V190" s="1"/>
    </row>
    <row r="191" spans="1:22" x14ac:dyDescent="0.2">
      <c r="A191" s="1"/>
      <c r="B191" s="1"/>
      <c r="C191" s="1"/>
      <c r="D191" s="1"/>
      <c r="E191" s="1"/>
      <c r="F191" s="29"/>
      <c r="G191" s="296"/>
      <c r="H191" s="375"/>
      <c r="I191" s="335"/>
      <c r="J191" s="29"/>
      <c r="K191" s="29"/>
      <c r="L191" s="29"/>
      <c r="M191" s="197"/>
      <c r="N191" s="197"/>
      <c r="O191" s="1"/>
      <c r="P191" s="1"/>
      <c r="Q191" s="1"/>
      <c r="R191" s="1"/>
      <c r="S191" s="1"/>
      <c r="T191" s="1"/>
      <c r="U191" s="1"/>
      <c r="V191" s="1"/>
    </row>
  </sheetData>
  <mergeCells count="324">
    <mergeCell ref="N1:P2"/>
    <mergeCell ref="A3:P3"/>
    <mergeCell ref="A4:P4"/>
    <mergeCell ref="A5:P5"/>
    <mergeCell ref="A7:A9"/>
    <mergeCell ref="B7:B9"/>
    <mergeCell ref="C7:C9"/>
    <mergeCell ref="D7:D9"/>
    <mergeCell ref="E7:E9"/>
    <mergeCell ref="F7:F9"/>
    <mergeCell ref="O7:P7"/>
    <mergeCell ref="O8:O9"/>
    <mergeCell ref="A10:P10"/>
    <mergeCell ref="A11:P11"/>
    <mergeCell ref="B12:P12"/>
    <mergeCell ref="C13:P13"/>
    <mergeCell ref="G7:G9"/>
    <mergeCell ref="H7:H9"/>
    <mergeCell ref="I7:I9"/>
    <mergeCell ref="J7:J9"/>
    <mergeCell ref="K7:K9"/>
    <mergeCell ref="N7:N9"/>
    <mergeCell ref="L7:L9"/>
    <mergeCell ref="M7:M9"/>
    <mergeCell ref="E15:E17"/>
    <mergeCell ref="G15:G20"/>
    <mergeCell ref="H15:H20"/>
    <mergeCell ref="O17:O18"/>
    <mergeCell ref="A21:A23"/>
    <mergeCell ref="C21:C23"/>
    <mergeCell ref="D21:D23"/>
    <mergeCell ref="E21:E23"/>
    <mergeCell ref="F21:F23"/>
    <mergeCell ref="G21:G25"/>
    <mergeCell ref="H21:H25"/>
    <mergeCell ref="I21:I23"/>
    <mergeCell ref="O21:O22"/>
    <mergeCell ref="P21:P22"/>
    <mergeCell ref="A26:A28"/>
    <mergeCell ref="C26:C28"/>
    <mergeCell ref="D26:D29"/>
    <mergeCell ref="E26:E29"/>
    <mergeCell ref="F26:F29"/>
    <mergeCell ref="G26:G31"/>
    <mergeCell ref="H26:H31"/>
    <mergeCell ref="I26:I29"/>
    <mergeCell ref="O33:O36"/>
    <mergeCell ref="P33:P36"/>
    <mergeCell ref="A37:A39"/>
    <mergeCell ref="B37:B39"/>
    <mergeCell ref="C37:C39"/>
    <mergeCell ref="D37:D39"/>
    <mergeCell ref="E37:E39"/>
    <mergeCell ref="F37:F39"/>
    <mergeCell ref="G37:G41"/>
    <mergeCell ref="H37:H41"/>
    <mergeCell ref="I37:I39"/>
    <mergeCell ref="O37:O39"/>
    <mergeCell ref="P37:P39"/>
    <mergeCell ref="A32:A34"/>
    <mergeCell ref="B32:B34"/>
    <mergeCell ref="C32:C34"/>
    <mergeCell ref="D32:D34"/>
    <mergeCell ref="E32:E34"/>
    <mergeCell ref="F32:F34"/>
    <mergeCell ref="G32:G36"/>
    <mergeCell ref="H32:H36"/>
    <mergeCell ref="I32:I34"/>
    <mergeCell ref="D42:D44"/>
    <mergeCell ref="E42:E44"/>
    <mergeCell ref="F42:F44"/>
    <mergeCell ref="G42:G46"/>
    <mergeCell ref="H42:H46"/>
    <mergeCell ref="I42:I44"/>
    <mergeCell ref="O47:O48"/>
    <mergeCell ref="D53:D54"/>
    <mergeCell ref="E53:E54"/>
    <mergeCell ref="F53:F54"/>
    <mergeCell ref="G53:G54"/>
    <mergeCell ref="H53:H54"/>
    <mergeCell ref="I53:I54"/>
    <mergeCell ref="J53:J54"/>
    <mergeCell ref="O53:O54"/>
    <mergeCell ref="D47:D48"/>
    <mergeCell ref="E47:E51"/>
    <mergeCell ref="F47:F48"/>
    <mergeCell ref="G47:G51"/>
    <mergeCell ref="H47:H51"/>
    <mergeCell ref="I47:I48"/>
    <mergeCell ref="E52:K52"/>
    <mergeCell ref="P53:P54"/>
    <mergeCell ref="D55:D56"/>
    <mergeCell ref="E55:E56"/>
    <mergeCell ref="F55:F56"/>
    <mergeCell ref="G55:G56"/>
    <mergeCell ref="H55:H56"/>
    <mergeCell ref="I55:I56"/>
    <mergeCell ref="J55:J56"/>
    <mergeCell ref="O55:O56"/>
    <mergeCell ref="P55:P56"/>
    <mergeCell ref="J57:J58"/>
    <mergeCell ref="O57:O58"/>
    <mergeCell ref="D59:D60"/>
    <mergeCell ref="E59:E60"/>
    <mergeCell ref="F59:F60"/>
    <mergeCell ref="G59:G60"/>
    <mergeCell ref="H59:H60"/>
    <mergeCell ref="I59:I60"/>
    <mergeCell ref="J59:J60"/>
    <mergeCell ref="D57:D58"/>
    <mergeCell ref="E57:E58"/>
    <mergeCell ref="F57:F58"/>
    <mergeCell ref="G57:G58"/>
    <mergeCell ref="H57:H58"/>
    <mergeCell ref="I57:I58"/>
    <mergeCell ref="J61:J62"/>
    <mergeCell ref="O61:O62"/>
    <mergeCell ref="P61:P62"/>
    <mergeCell ref="C63:K63"/>
    <mergeCell ref="O63:P63"/>
    <mergeCell ref="C64:P64"/>
    <mergeCell ref="D61:D62"/>
    <mergeCell ref="E61:E62"/>
    <mergeCell ref="F61:F62"/>
    <mergeCell ref="G61:G62"/>
    <mergeCell ref="H61:H62"/>
    <mergeCell ref="I61:I62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G65:G66"/>
    <mergeCell ref="H67:H68"/>
    <mergeCell ref="I67:I68"/>
    <mergeCell ref="J67:J68"/>
    <mergeCell ref="O67:O68"/>
    <mergeCell ref="A69:A70"/>
    <mergeCell ref="C69:C70"/>
    <mergeCell ref="D69:D70"/>
    <mergeCell ref="E69:E70"/>
    <mergeCell ref="F69:F70"/>
    <mergeCell ref="G69:G70"/>
    <mergeCell ref="H69:H70"/>
    <mergeCell ref="I69:I70"/>
    <mergeCell ref="J69:J70"/>
    <mergeCell ref="J71:J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71:A73"/>
    <mergeCell ref="B71:B73"/>
    <mergeCell ref="C71:C73"/>
    <mergeCell ref="D71:D73"/>
    <mergeCell ref="E71:E73"/>
    <mergeCell ref="F71:F73"/>
    <mergeCell ref="G71:G73"/>
    <mergeCell ref="H71:H73"/>
    <mergeCell ref="I71:I73"/>
    <mergeCell ref="A76:A77"/>
    <mergeCell ref="C76:C77"/>
    <mergeCell ref="D76:D77"/>
    <mergeCell ref="E76:E77"/>
    <mergeCell ref="F76:F77"/>
    <mergeCell ref="G76:G77"/>
    <mergeCell ref="H76:H77"/>
    <mergeCell ref="I76:I77"/>
    <mergeCell ref="J76:J77"/>
    <mergeCell ref="A78:A79"/>
    <mergeCell ref="C78:C79"/>
    <mergeCell ref="D78:D79"/>
    <mergeCell ref="E78:E79"/>
    <mergeCell ref="F78:F79"/>
    <mergeCell ref="G78:G79"/>
    <mergeCell ref="H78:H79"/>
    <mergeCell ref="I78:I79"/>
    <mergeCell ref="C83:P83"/>
    <mergeCell ref="E85:E88"/>
    <mergeCell ref="G85:G88"/>
    <mergeCell ref="H85:H88"/>
    <mergeCell ref="J85:J88"/>
    <mergeCell ref="O85:O87"/>
    <mergeCell ref="J78:J79"/>
    <mergeCell ref="O78:O79"/>
    <mergeCell ref="C80:K80"/>
    <mergeCell ref="B81:K81"/>
    <mergeCell ref="O81:P81"/>
    <mergeCell ref="B82:P82"/>
    <mergeCell ref="G99:G100"/>
    <mergeCell ref="E89:E91"/>
    <mergeCell ref="G89:G91"/>
    <mergeCell ref="H89:H91"/>
    <mergeCell ref="J89:J91"/>
    <mergeCell ref="O89:O90"/>
    <mergeCell ref="O92:O93"/>
    <mergeCell ref="G95:G97"/>
    <mergeCell ref="H95:H97"/>
    <mergeCell ref="J95:J97"/>
    <mergeCell ref="O95:O96"/>
    <mergeCell ref="F98:K98"/>
    <mergeCell ref="E104:E106"/>
    <mergeCell ref="G104:G107"/>
    <mergeCell ref="H104:H107"/>
    <mergeCell ref="J104:J107"/>
    <mergeCell ref="O104:O107"/>
    <mergeCell ref="E108:E109"/>
    <mergeCell ref="G108:G109"/>
    <mergeCell ref="H108:H109"/>
    <mergeCell ref="J108:J109"/>
    <mergeCell ref="O109:O110"/>
    <mergeCell ref="O120:O121"/>
    <mergeCell ref="O111:O113"/>
    <mergeCell ref="F114:F118"/>
    <mergeCell ref="G114:G118"/>
    <mergeCell ref="I114:I118"/>
    <mergeCell ref="J114:J118"/>
    <mergeCell ref="E111:E113"/>
    <mergeCell ref="F111:F112"/>
    <mergeCell ref="G111:G113"/>
    <mergeCell ref="H111:H113"/>
    <mergeCell ref="I111:I113"/>
    <mergeCell ref="J111:J113"/>
    <mergeCell ref="E117:E118"/>
    <mergeCell ref="H117:H118"/>
    <mergeCell ref="E122:E123"/>
    <mergeCell ref="F122:F123"/>
    <mergeCell ref="G122:G123"/>
    <mergeCell ref="H122:H123"/>
    <mergeCell ref="J122:J123"/>
    <mergeCell ref="C124:K124"/>
    <mergeCell ref="H119:H121"/>
    <mergeCell ref="G120:G121"/>
    <mergeCell ref="J120:J121"/>
    <mergeCell ref="C129:K129"/>
    <mergeCell ref="O129:P129"/>
    <mergeCell ref="C130:P130"/>
    <mergeCell ref="J131:J132"/>
    <mergeCell ref="G137:G138"/>
    <mergeCell ref="H137:H138"/>
    <mergeCell ref="O124:P124"/>
    <mergeCell ref="C125:F125"/>
    <mergeCell ref="D126:D128"/>
    <mergeCell ref="E126:E128"/>
    <mergeCell ref="F126:F128"/>
    <mergeCell ref="G126:G128"/>
    <mergeCell ref="H126:H128"/>
    <mergeCell ref="I126:I128"/>
    <mergeCell ref="J126:J128"/>
    <mergeCell ref="E144:E145"/>
    <mergeCell ref="F144:F145"/>
    <mergeCell ref="G144:G145"/>
    <mergeCell ref="H144:H145"/>
    <mergeCell ref="I144:I145"/>
    <mergeCell ref="D142:D143"/>
    <mergeCell ref="E142:E143"/>
    <mergeCell ref="F142:F143"/>
    <mergeCell ref="G142:G143"/>
    <mergeCell ref="H142:H143"/>
    <mergeCell ref="I142:I143"/>
    <mergeCell ref="A152:N152"/>
    <mergeCell ref="C149:K149"/>
    <mergeCell ref="J142:J143"/>
    <mergeCell ref="E95:E97"/>
    <mergeCell ref="O149:P149"/>
    <mergeCell ref="B150:K150"/>
    <mergeCell ref="O150:P150"/>
    <mergeCell ref="B151:K151"/>
    <mergeCell ref="O151:P151"/>
    <mergeCell ref="O146:O147"/>
    <mergeCell ref="J144:J145"/>
    <mergeCell ref="O144:O145"/>
    <mergeCell ref="A146:A148"/>
    <mergeCell ref="B146:B148"/>
    <mergeCell ref="D146:D148"/>
    <mergeCell ref="E146:E148"/>
    <mergeCell ref="F146:F148"/>
    <mergeCell ref="G146:G148"/>
    <mergeCell ref="H146:H148"/>
    <mergeCell ref="I146:I148"/>
    <mergeCell ref="O142:O143"/>
    <mergeCell ref="A144:A145"/>
    <mergeCell ref="B144:B145"/>
    <mergeCell ref="D144:D145"/>
    <mergeCell ref="E101:E102"/>
    <mergeCell ref="H101:H102"/>
    <mergeCell ref="J101:J102"/>
    <mergeCell ref="J110:K110"/>
    <mergeCell ref="A164:K164"/>
    <mergeCell ref="A165:K165"/>
    <mergeCell ref="A166:K166"/>
    <mergeCell ref="E92:E94"/>
    <mergeCell ref="G92:G94"/>
    <mergeCell ref="H92:H94"/>
    <mergeCell ref="J92:J94"/>
    <mergeCell ref="E119:E121"/>
    <mergeCell ref="A158:K158"/>
    <mergeCell ref="A159:K159"/>
    <mergeCell ref="A160:K160"/>
    <mergeCell ref="A161:K161"/>
    <mergeCell ref="A162:K162"/>
    <mergeCell ref="A163:K163"/>
    <mergeCell ref="A153:N153"/>
    <mergeCell ref="A154:K154"/>
    <mergeCell ref="A155:K155"/>
    <mergeCell ref="A156:K156"/>
    <mergeCell ref="A157:K157"/>
    <mergeCell ref="J146:J148"/>
  </mergeCells>
  <pageMargins left="0.70866141732283472" right="0" top="0.74803149606299213" bottom="0.15748031496062992" header="0.31496062992125984" footer="0.31496062992125984"/>
  <pageSetup paperSize="9" scale="70" orientation="portrait" r:id="rId1"/>
  <rowBreaks count="3" manualBreakCount="3">
    <brk id="63" max="15" man="1"/>
    <brk id="110" max="15" man="1"/>
    <brk id="14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Asignavimu valdytojų kodai</vt:lpstr>
      <vt:lpstr>2015 MVP</vt:lpstr>
      <vt:lpstr>Lyginamasis variantas</vt:lpstr>
      <vt:lpstr>'2015 MVP'!dokumentoNr</vt:lpstr>
      <vt:lpstr>'2015 MVP'!Print_Area</vt:lpstr>
      <vt:lpstr>'Lyginamasis variantas'!Print_Area</vt:lpstr>
      <vt:lpstr>'2015 MVP'!Print_Titles</vt:lpstr>
      <vt:lpstr>'Lyginamasis variantas'!Print_Titles</vt:lpstr>
      <vt:lpstr>'2015 MVP'!registravimoDataIlga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Audra Cepiene</cp:lastModifiedBy>
  <cp:lastPrinted>2015-07-14T06:19:18Z</cp:lastPrinted>
  <dcterms:created xsi:type="dcterms:W3CDTF">2006-05-12T05:50:12Z</dcterms:created>
  <dcterms:modified xsi:type="dcterms:W3CDTF">2015-07-17T06:33:34Z</dcterms:modified>
</cp:coreProperties>
</file>