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905" windowWidth="19200" windowHeight="8280" tabRatio="595" firstSheet="1" activeTab="1"/>
  </bookViews>
  <sheets>
    <sheet name="Asignavimų valdytojų kodai" sheetId="29" state="hidden" r:id="rId1"/>
    <sheet name="3 programa" sheetId="41" r:id="rId2"/>
    <sheet name="Lyginamasis variantas " sheetId="43" state="hidden" r:id="rId3"/>
  </sheets>
  <definedNames>
    <definedName name="_xlnm.Print_Area" localSheetId="1">'3 programa'!$A$1:$N$143</definedName>
    <definedName name="_xlnm.Print_Area" localSheetId="2">'Lyginamasis variantas '!$A$1:$K$141</definedName>
    <definedName name="_xlnm.Print_Titles" localSheetId="1">'3 programa'!$5:$7</definedName>
    <definedName name="_xlnm.Print_Titles" localSheetId="2">'Lyginamasis variantas '!$6:$8</definedName>
  </definedNames>
  <calcPr calcId="145621" fullPrecision="0"/>
</workbook>
</file>

<file path=xl/calcChain.xml><?xml version="1.0" encoding="utf-8"?>
<calcChain xmlns="http://schemas.openxmlformats.org/spreadsheetml/2006/main">
  <c r="J131" i="43" l="1"/>
  <c r="J129" i="43"/>
  <c r="J127" i="43"/>
  <c r="J126" i="43" l="1"/>
  <c r="J125" i="43" s="1"/>
  <c r="J141" i="43" s="1"/>
  <c r="H15" i="41" l="1"/>
  <c r="H13" i="41"/>
  <c r="H12" i="41"/>
  <c r="H44" i="41"/>
  <c r="I44" i="43"/>
  <c r="H44" i="43"/>
  <c r="H67" i="41" l="1"/>
  <c r="J65" i="43"/>
  <c r="I65" i="43"/>
  <c r="H39" i="41" l="1"/>
  <c r="I39" i="43"/>
  <c r="J14" i="43"/>
  <c r="I14" i="43"/>
  <c r="I16" i="43"/>
  <c r="H88" i="41" l="1"/>
  <c r="J88" i="43"/>
  <c r="J86" i="43"/>
  <c r="I86" i="43"/>
  <c r="H82" i="41" l="1"/>
  <c r="I80" i="43"/>
  <c r="I98" i="41" l="1"/>
  <c r="H98" i="41"/>
  <c r="K96" i="43"/>
  <c r="J74" i="43"/>
  <c r="H105" i="41" l="1"/>
  <c r="H76" i="41"/>
  <c r="I74" i="43"/>
  <c r="I13" i="43"/>
  <c r="I96" i="43" l="1"/>
  <c r="J98" i="41" l="1"/>
  <c r="I105" i="41"/>
  <c r="J94" i="43"/>
  <c r="J96" i="43" s="1"/>
  <c r="H96" i="43"/>
  <c r="H102" i="43"/>
  <c r="H17" i="43"/>
  <c r="H16" i="43"/>
  <c r="H15" i="43"/>
  <c r="H14" i="43"/>
  <c r="H13" i="43"/>
  <c r="H30" i="43"/>
  <c r="H31" i="43" s="1"/>
  <c r="H28" i="43"/>
  <c r="H29" i="43" s="1"/>
  <c r="H74" i="43"/>
  <c r="H81" i="43"/>
  <c r="H80" i="43"/>
  <c r="H104" i="41" l="1"/>
  <c r="H30" i="41"/>
  <c r="H31" i="41" s="1"/>
  <c r="H28" i="41"/>
  <c r="H29" i="41" s="1"/>
  <c r="H25" i="41"/>
  <c r="H73" i="41" s="1"/>
  <c r="H14" i="41"/>
  <c r="I15" i="43"/>
  <c r="J15" i="43" s="1"/>
  <c r="I30" i="43"/>
  <c r="J30" i="43" s="1"/>
  <c r="J31" i="43" s="1"/>
  <c r="I28" i="43"/>
  <c r="I29" i="43" s="1"/>
  <c r="J28" i="43" l="1"/>
  <c r="J29" i="43" s="1"/>
  <c r="I31" i="43"/>
  <c r="H83" i="41"/>
  <c r="I81" i="43"/>
  <c r="J81" i="43" l="1"/>
  <c r="J80" i="43"/>
  <c r="J100" i="43" l="1"/>
  <c r="I102" i="43"/>
  <c r="J101" i="43"/>
  <c r="J138" i="43" s="1"/>
  <c r="J99" i="43"/>
  <c r="J102" i="43" l="1"/>
  <c r="H39" i="43"/>
  <c r="H107" i="41" l="1"/>
  <c r="I132" i="43" l="1"/>
  <c r="H135" i="43" l="1"/>
  <c r="I135" i="43"/>
  <c r="H41" i="43"/>
  <c r="H105" i="43"/>
  <c r="H68" i="43"/>
  <c r="H134" i="43"/>
  <c r="H35" i="43"/>
  <c r="H131" i="41" l="1"/>
  <c r="I81" i="41" l="1"/>
  <c r="H81" i="41"/>
  <c r="J135" i="41" l="1"/>
  <c r="I135" i="41"/>
  <c r="H135" i="41"/>
  <c r="H16" i="41" l="1"/>
  <c r="H137" i="41" l="1"/>
  <c r="H136" i="41"/>
  <c r="J18" i="43" l="1"/>
  <c r="J135" i="43" s="1"/>
  <c r="I17" i="43"/>
  <c r="I134" i="43" s="1"/>
  <c r="J17" i="43" l="1"/>
  <c r="J134" i="43" s="1"/>
  <c r="H41" i="41"/>
  <c r="I41" i="43"/>
  <c r="J40" i="43"/>
  <c r="J132" i="43" s="1"/>
  <c r="J44" i="41" l="1"/>
  <c r="I44" i="41"/>
  <c r="I105" i="43" l="1"/>
  <c r="H70" i="41" l="1"/>
  <c r="H72" i="41" s="1"/>
  <c r="I68" i="43"/>
  <c r="I70" i="43" l="1"/>
  <c r="I129" i="43"/>
  <c r="J68" i="43"/>
  <c r="J70" i="41"/>
  <c r="I70" i="41"/>
  <c r="H35" i="41" l="1"/>
  <c r="I35" i="43"/>
  <c r="I140" i="43" l="1"/>
  <c r="I114" i="43"/>
  <c r="I97" i="43"/>
  <c r="I98" i="43" s="1"/>
  <c r="I92" i="43"/>
  <c r="I91" i="43"/>
  <c r="I87" i="43"/>
  <c r="I84" i="43"/>
  <c r="I83" i="43"/>
  <c r="I139" i="43" s="1"/>
  <c r="I130" i="43"/>
  <c r="I73" i="43"/>
  <c r="I79" i="43" s="1"/>
  <c r="I66" i="43"/>
  <c r="I46" i="43"/>
  <c r="I45" i="43"/>
  <c r="I133" i="43" s="1"/>
  <c r="I42" i="43"/>
  <c r="I43" i="43" s="1"/>
  <c r="I36" i="43"/>
  <c r="I38" i="43" s="1"/>
  <c r="I32" i="43"/>
  <c r="I33" i="43" s="1"/>
  <c r="I26" i="43"/>
  <c r="I27" i="43" s="1"/>
  <c r="I128" i="43"/>
  <c r="I131" i="43"/>
  <c r="I127" i="43" l="1"/>
  <c r="I126" i="43" s="1"/>
  <c r="I82" i="43"/>
  <c r="I88" i="43"/>
  <c r="I64" i="43"/>
  <c r="I25" i="43"/>
  <c r="I136" i="43"/>
  <c r="I93" i="43"/>
  <c r="I103" i="43" s="1"/>
  <c r="I85" i="43"/>
  <c r="I117" i="43"/>
  <c r="I118" i="43" s="1"/>
  <c r="I138" i="43"/>
  <c r="I137" i="43" s="1"/>
  <c r="I71" i="43" l="1"/>
  <c r="I125" i="43"/>
  <c r="I141" i="43" s="1"/>
  <c r="I89" i="43"/>
  <c r="I119" i="43" s="1"/>
  <c r="I120" i="43" s="1"/>
  <c r="I12" i="41" l="1"/>
  <c r="H140" i="43" l="1"/>
  <c r="H132" i="43"/>
  <c r="H97" i="43"/>
  <c r="H98" i="43" s="1"/>
  <c r="J93" i="43"/>
  <c r="J103" i="43" s="1"/>
  <c r="H92" i="43"/>
  <c r="H91" i="43"/>
  <c r="H87" i="43"/>
  <c r="H86" i="43"/>
  <c r="J85" i="43"/>
  <c r="H84" i="43"/>
  <c r="H83" i="43"/>
  <c r="H139" i="43" s="1"/>
  <c r="J82" i="43"/>
  <c r="J79" i="43"/>
  <c r="H73" i="43"/>
  <c r="H79" i="43" s="1"/>
  <c r="J66" i="43"/>
  <c r="H65" i="43"/>
  <c r="H66" i="43" s="1"/>
  <c r="H46" i="43"/>
  <c r="H136" i="43" s="1"/>
  <c r="H45" i="43"/>
  <c r="H133" i="43" s="1"/>
  <c r="J44" i="43"/>
  <c r="J64" i="43" s="1"/>
  <c r="J43" i="43"/>
  <c r="H42" i="43"/>
  <c r="H43" i="43" s="1"/>
  <c r="H36" i="43"/>
  <c r="J35" i="43"/>
  <c r="J38" i="43" s="1"/>
  <c r="H32" i="43"/>
  <c r="H33" i="43" s="1"/>
  <c r="H26" i="43"/>
  <c r="H128" i="43"/>
  <c r="J128" i="43" s="1"/>
  <c r="H131" i="43"/>
  <c r="H27" i="43" l="1"/>
  <c r="H127" i="43"/>
  <c r="H88" i="43"/>
  <c r="J89" i="43"/>
  <c r="J39" i="43"/>
  <c r="J41" i="43" s="1"/>
  <c r="H114" i="43"/>
  <c r="J105" i="43"/>
  <c r="J114" i="43" s="1"/>
  <c r="H70" i="43"/>
  <c r="J69" i="43"/>
  <c r="J70" i="43" s="1"/>
  <c r="H129" i="43"/>
  <c r="J16" i="43"/>
  <c r="J13" i="43"/>
  <c r="H138" i="43"/>
  <c r="H137" i="43" s="1"/>
  <c r="H117" i="43"/>
  <c r="H118" i="43" s="1"/>
  <c r="H38" i="43"/>
  <c r="H64" i="43"/>
  <c r="H82" i="43"/>
  <c r="H93" i="43"/>
  <c r="H103" i="43" s="1"/>
  <c r="J137" i="43"/>
  <c r="H85" i="43"/>
  <c r="H25" i="43"/>
  <c r="H130" i="43"/>
  <c r="H126" i="43" l="1"/>
  <c r="H125" i="43" s="1"/>
  <c r="H89" i="43"/>
  <c r="J25" i="43"/>
  <c r="J71" i="43" s="1"/>
  <c r="J119" i="43" s="1"/>
  <c r="J120" i="43" s="1"/>
  <c r="H71" i="43"/>
  <c r="J15" i="41"/>
  <c r="I15" i="41"/>
  <c r="H119" i="43" l="1"/>
  <c r="H120" i="43" s="1"/>
  <c r="H141" i="43"/>
  <c r="H99" i="41" l="1"/>
  <c r="H94" i="41"/>
  <c r="H93" i="41"/>
  <c r="H89" i="41"/>
  <c r="H86" i="41"/>
  <c r="H85" i="41"/>
  <c r="J75" i="41"/>
  <c r="I75" i="41"/>
  <c r="H75" i="41"/>
  <c r="J71" i="41"/>
  <c r="J72" i="41" s="1"/>
  <c r="I71" i="41"/>
  <c r="I72" i="41" s="1"/>
  <c r="I131" i="41"/>
  <c r="J67" i="41"/>
  <c r="I67" i="41"/>
  <c r="J46" i="41"/>
  <c r="I46" i="41"/>
  <c r="H46" i="41"/>
  <c r="J45" i="41"/>
  <c r="I45" i="41"/>
  <c r="H45" i="41"/>
  <c r="J42" i="41"/>
  <c r="I42" i="41"/>
  <c r="H42" i="41"/>
  <c r="J39" i="41"/>
  <c r="I39" i="41"/>
  <c r="J36" i="41"/>
  <c r="I36" i="41"/>
  <c r="H36" i="41"/>
  <c r="J35" i="41"/>
  <c r="I35" i="41"/>
  <c r="J32" i="41"/>
  <c r="I32" i="41"/>
  <c r="H32" i="41"/>
  <c r="J30" i="41"/>
  <c r="I30" i="41"/>
  <c r="J28" i="41"/>
  <c r="I28" i="41"/>
  <c r="J26" i="41"/>
  <c r="I26" i="41"/>
  <c r="H26" i="41"/>
  <c r="J14" i="41"/>
  <c r="I14" i="41"/>
  <c r="J13" i="41"/>
  <c r="I13" i="41"/>
  <c r="J12" i="41"/>
  <c r="I38" i="41" l="1"/>
  <c r="J38" i="41"/>
  <c r="H38" i="41"/>
  <c r="H33" i="41" l="1"/>
  <c r="I33" i="41" l="1"/>
  <c r="J33" i="41"/>
  <c r="J142" i="41"/>
  <c r="I142" i="41"/>
  <c r="H142" i="41"/>
  <c r="J81" i="41" l="1"/>
  <c r="J66" i="41"/>
  <c r="J25" i="41"/>
  <c r="J133" i="41" l="1"/>
  <c r="J131" i="41"/>
  <c r="I132" i="41"/>
  <c r="J129" i="41"/>
  <c r="I130" i="41"/>
  <c r="I129" i="41"/>
  <c r="I140" i="41"/>
  <c r="I133" i="41"/>
  <c r="H133" i="41"/>
  <c r="H141" i="41"/>
  <c r="H140" i="41"/>
  <c r="H134" i="41"/>
  <c r="H132" i="41"/>
  <c r="H130" i="41"/>
  <c r="H129" i="41"/>
  <c r="H116" i="41"/>
  <c r="H128" i="41" l="1"/>
  <c r="H139" i="41"/>
  <c r="H138" i="41"/>
  <c r="H100" i="41"/>
  <c r="H119" i="41"/>
  <c r="I116" i="41"/>
  <c r="J116" i="41"/>
  <c r="H95" i="41"/>
  <c r="H87" i="41"/>
  <c r="H90" i="41"/>
  <c r="H84" i="41"/>
  <c r="I66" i="41"/>
  <c r="H66" i="41"/>
  <c r="H68" i="41"/>
  <c r="H43" i="41"/>
  <c r="H27" i="41"/>
  <c r="I25" i="41"/>
  <c r="H127" i="41" l="1"/>
  <c r="H120" i="41"/>
  <c r="H91" i="41"/>
  <c r="J141" i="41"/>
  <c r="I141" i="41"/>
  <c r="I139" i="41" s="1"/>
  <c r="J140" i="41"/>
  <c r="J138" i="41"/>
  <c r="I138" i="41"/>
  <c r="J132" i="41"/>
  <c r="J130" i="41"/>
  <c r="J119" i="41"/>
  <c r="J120" i="41" s="1"/>
  <c r="I119" i="41"/>
  <c r="I120" i="41" s="1"/>
  <c r="J95" i="41"/>
  <c r="J105" i="41" s="1"/>
  <c r="I95" i="41"/>
  <c r="J87" i="41"/>
  <c r="I87" i="41"/>
  <c r="J84" i="41"/>
  <c r="I84" i="41"/>
  <c r="J68" i="41"/>
  <c r="I68" i="41"/>
  <c r="J43" i="41"/>
  <c r="I43" i="41"/>
  <c r="J41" i="41"/>
  <c r="I41" i="41"/>
  <c r="J31" i="41"/>
  <c r="I31" i="41"/>
  <c r="J29" i="41"/>
  <c r="I29" i="41"/>
  <c r="J27" i="41"/>
  <c r="I27" i="41"/>
  <c r="H121" i="41" l="1"/>
  <c r="I136" i="41"/>
  <c r="I134" i="41"/>
  <c r="I128" i="41" s="1"/>
  <c r="I73" i="41"/>
  <c r="J91" i="41"/>
  <c r="J139" i="41"/>
  <c r="J73" i="41"/>
  <c r="H143" i="41"/>
  <c r="H122" i="41"/>
  <c r="I91" i="41"/>
  <c r="I137" i="41" l="1"/>
  <c r="I127" i="41" s="1"/>
  <c r="I143" i="41" s="1"/>
  <c r="J121" i="41"/>
  <c r="J122" i="41" s="1"/>
  <c r="I121" i="41"/>
  <c r="I122" i="41" s="1"/>
  <c r="J134" i="41" s="1"/>
  <c r="J128" i="41" s="1"/>
  <c r="J137" i="41" l="1"/>
  <c r="J136" i="41"/>
  <c r="J127" i="41" l="1"/>
  <c r="J143" i="41" s="1"/>
</calcChain>
</file>

<file path=xl/comments1.xml><?xml version="1.0" encoding="utf-8"?>
<comments xmlns="http://schemas.openxmlformats.org/spreadsheetml/2006/main">
  <authors>
    <author>Audra Cepiene</author>
  </authors>
  <commentList>
    <comment ref="D32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K62" authorId="0">
      <text>
        <r>
          <rPr>
            <sz val="9"/>
            <color indexed="81"/>
            <rFont val="Tahoma"/>
            <family val="2"/>
            <charset val="186"/>
          </rPr>
          <t xml:space="preserve">Stoginių darbai:
tarp pastatų Taikos pr. 99 ir 101 būtina pašalinti stoginės perdengimo plokštes ir kolonas laikančias plokštes. Stogo plotas apie 30 kv. metrų;
tarp pastatų Taikos pr. 107 ir 109 būtina pašalinti stoginės perdengimo plokštes, kolonas laikančias plokštes. Stogo plotas apie 30 kv. metrų.
</t>
        </r>
      </text>
    </comment>
    <comment ref="K65" authorId="0">
      <text>
        <r>
          <rPr>
            <sz val="9"/>
            <color indexed="81"/>
            <rFont val="Tahoma"/>
            <family val="2"/>
            <charset val="186"/>
          </rPr>
          <t xml:space="preserve">Strėvos g. 5, prižiūrimos teritorijos plotas apie 0,8-1 hetaras;
I. Simonaitytės g. 29A, teritorijos plotas apie 0,08 hektaro;
Senosios Smiltelės g. 6A, teritorijos plotas apie 0,20 hektaro.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32" authorId="0">
      <text>
        <r>
          <rPr>
            <sz val="9"/>
            <color indexed="81"/>
            <rFont val="Tahoma"/>
            <family val="2"/>
            <charset val="186"/>
          </rPr>
          <t xml:space="preserve">Gali sudaryti iki  dviejų Lietuvos statistikos departamento paskutiniojo paskelbto Lietuvos ūkio vidutinio mėnesinio darbo užmokesčio dydžių sumą (2355,7 Lt), skaičiuota 1,5 proc.
</t>
        </r>
      </text>
    </comment>
    <comment ref="J74" authorId="0">
      <text>
        <r>
          <rPr>
            <sz val="9"/>
            <color indexed="81"/>
            <rFont val="Tahoma"/>
            <family val="2"/>
            <charset val="186"/>
          </rPr>
          <t>Išlaidoms patirtoms pritaikant informacines sistemas euro įvedimui. 2015-09-24 Informacinės visuomenės plėtros komiteto prie Susisiekimo ministerijos direktoriaus įsakymas Nr.T2-236</t>
        </r>
      </text>
    </comment>
    <comment ref="J94" authorId="0">
      <text>
        <r>
          <rPr>
            <sz val="9"/>
            <color indexed="81"/>
            <rFont val="Tahoma"/>
            <family val="2"/>
            <charset val="186"/>
          </rPr>
          <t>Projekto vykdymui DU ir komandiruočių išlaidoms. Iš jų 2886 Eur grįš į biudžetą.</t>
        </r>
      </text>
    </comment>
  </commentList>
</comments>
</file>

<file path=xl/sharedStrings.xml><?xml version="1.0" encoding="utf-8"?>
<sst xmlns="http://schemas.openxmlformats.org/spreadsheetml/2006/main" count="636" uniqueCount="225">
  <si>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</si>
  <si>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</si>
  <si>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</si>
  <si>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</si>
  <si>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</si>
  <si>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</si>
  <si>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</si>
  <si>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</si>
  <si>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</si>
  <si>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</si>
  <si>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</si>
  <si>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</si>
  <si>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</si>
  <si>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</si>
  <si>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</si>
  <si>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</si>
  <si>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</si>
  <si>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</si>
  <si>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</si>
  <si>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</si>
  <si>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</si>
  <si>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</si>
  <si>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</si>
  <si>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</si>
  <si>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</si>
  <si>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Savivaldybės biudžetas, iš jo: </t>
  </si>
  <si>
    <t>05</t>
  </si>
  <si>
    <t>10</t>
  </si>
  <si>
    <t>06</t>
  </si>
  <si>
    <t>07</t>
  </si>
  <si>
    <t>08</t>
  </si>
  <si>
    <t>09</t>
  </si>
  <si>
    <t>11</t>
  </si>
  <si>
    <t>Tobulinti savivaldybės administracinių paslaugų teikimą, taikant pažangius vadybos principus</t>
  </si>
  <si>
    <t>22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</si>
  <si>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</si>
  <si>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</si>
  <si>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</si>
  <si>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</si>
  <si>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</si>
  <si>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</si>
  <si>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</si>
  <si>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</si>
  <si>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</si>
  <si>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</si>
  <si>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</si>
  <si>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</si>
  <si>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</si>
  <si>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</si>
  <si>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</si>
  <si>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</si>
  <si>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</si>
  <si>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</si>
  <si>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</si>
  <si>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</si>
  <si>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Objektų rengimas privatizavimui, privatizavimo programų rengimas, objektų privatizavimo organizavimas</t>
  </si>
  <si>
    <t>Produkto kriterijaus</t>
  </si>
  <si>
    <t>2015-ieji metai</t>
  </si>
  <si>
    <t>Mokymų dalyvių skaičius</t>
  </si>
  <si>
    <t>I</t>
  </si>
  <si>
    <t>Savivaldybės tarybos sekretoriato darbuotojų skaičius</t>
  </si>
  <si>
    <t>Pastatų, kuriuose yra savivaldybei priklausančios negyvenamosios patalpos, bendro naudojimo objektų remonto išlaidų padengimas</t>
  </si>
  <si>
    <t>Savivaldybės administracijos direktoriaus rezervas</t>
  </si>
  <si>
    <t>2016-ųjų metų lėšų projektas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</si>
  <si>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</si>
  <si>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</si>
  <si>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</si>
  <si>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</si>
  <si>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</si>
  <si>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</si>
  <si>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</si>
  <si>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</si>
  <si>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</si>
  <si>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</si>
  <si>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</si>
  <si>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</si>
  <si>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</si>
  <si>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</si>
  <si>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</si>
  <si>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Atlikta inžinerinių tinklų matavimų, km</t>
  </si>
  <si>
    <t>Perduota inžinerinių tinklų, km</t>
  </si>
  <si>
    <t>2016-ieji metai</t>
  </si>
  <si>
    <t>Pasirašytų paskolų sutarčių skaičius</t>
  </si>
  <si>
    <t>P3.4.3.1</t>
  </si>
  <si>
    <t>P3.4.2.2.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</si>
  <si>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</si>
  <si>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</si>
  <si>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</si>
  <si>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</si>
  <si>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P3.4.1.1,P3.4.2.1, P3.4.1.4</t>
  </si>
  <si>
    <t>Kontrolės ir audito tarnybos finansinio, ūkinio bei materialinio aptarnavimo užtikrinimas</t>
  </si>
  <si>
    <t>Dalyvio mokestis už narystę Lietuvos savivaldybių asociacijoje  (LSA)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</si>
  <si>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</si>
  <si>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</si>
  <si>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VALDYMO PROGRAMOS (NR. 3)</t>
  </si>
  <si>
    <t>P3.4.1.1.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</si>
  <si>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</si>
  <si>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</si>
  <si>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</si>
  <si>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Dalyvavimas vietinių ir tarptautinių organizacijų veikloje:</t>
  </si>
  <si>
    <t>Savivaldybės tarybos narių skaičius</t>
  </si>
  <si>
    <t>Kontrolės ir audito tarnybos darbuotojų skaičius</t>
  </si>
  <si>
    <t xml:space="preserve">Eksploatuojamų kompiuterių skaičius, vnt. </t>
  </si>
  <si>
    <r>
      <t xml:space="preserve">Savivaldybės biudžeto privatizavimo fondo lėšos </t>
    </r>
    <r>
      <rPr>
        <b/>
        <sz val="10"/>
        <rFont val="Times New Roman"/>
        <family val="1"/>
        <charset val="186"/>
      </rPr>
      <t>SB(PF)</t>
    </r>
  </si>
  <si>
    <t>Parengtas techninis projektas, vnt.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</si>
  <si>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</si>
  <si>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</si>
  <si>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</si>
  <si>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</si>
  <si>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</si>
  <si>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</si>
  <si>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</si>
  <si>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</si>
  <si>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</si>
  <si>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</si>
  <si>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</si>
  <si>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</si>
  <si>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Įrengta skaitmeninių e. kioskų, vnt.</t>
  </si>
  <si>
    <t>Veiklos plano tikslo kodas</t>
  </si>
  <si>
    <t>2015-ųjų metų asignavimų planas</t>
  </si>
  <si>
    <t>2017-ųjų metų lėšų projektas</t>
  </si>
  <si>
    <t>2016-ųjų m. lėšų poreikis</t>
  </si>
  <si>
    <t>2017-ųjų m. lėšų poreikis</t>
  </si>
  <si>
    <t>SB(SPL)</t>
  </si>
  <si>
    <t>SB(L)</t>
  </si>
  <si>
    <t>2017-ieji metai</t>
  </si>
  <si>
    <t>Atlikta apklausų, tyrimų, vnt.</t>
  </si>
  <si>
    <t>9/40</t>
  </si>
  <si>
    <t>10/45</t>
  </si>
  <si>
    <t>Pastato Liepų g. 7 I aukšto bei rūsio patalpų einamasis remontas</t>
  </si>
  <si>
    <t>Pastato Liepų g. 11  fasado remontas</t>
  </si>
  <si>
    <t>1/31</t>
  </si>
  <si>
    <t xml:space="preserve">Įdiegta projektų valdymo informacinė sistema, vnt. </t>
  </si>
  <si>
    <t>Remontuojamų objektų kiekis, vnt.</t>
  </si>
  <si>
    <t>Savivaldybės kontroliuojamų įmonių įstatinio kapitalo didinimas, perduodant inžinerinius tinklus funkcijoms vykdyti</t>
  </si>
  <si>
    <t xml:space="preserve">Parengta projektų, vnt. </t>
  </si>
  <si>
    <t>Privatizuota objektų, vnt.</t>
  </si>
  <si>
    <t xml:space="preserve">Savivaldybės nekilnojamojo turto  (negyvenamoji paskirtis) remontas </t>
  </si>
  <si>
    <t>Turto valdymo dokumentų rengimas (galimybių studijos, ekspertizės ir kt.)</t>
  </si>
  <si>
    <t>Likviduota įmonių, vnt.</t>
  </si>
  <si>
    <t xml:space="preserve">Nerentabiliai veikiančių įmonių likvidavimas </t>
  </si>
  <si>
    <t xml:space="preserve">Dalyvavimas tarptautinių organizacijų,  miestų partnerių organizuojamuose tarptautiniuose renginiuose </t>
  </si>
  <si>
    <t>Privatizuota gyvenamųjų patalpų ir jų priklausinių, vnt.</t>
  </si>
  <si>
    <t>Atlikti pastato modernizavimo darbai, užbaigtumas, proc.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</si>
  <si>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</si>
  <si>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Pastato Liepų g. 11 stogo remontas</t>
  </si>
  <si>
    <t>2/20</t>
  </si>
  <si>
    <t>1/20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</si>
  <si>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</si>
  <si>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 m. asignavimų planas</t>
  </si>
  <si>
    <t xml:space="preserve">                              1-10</t>
  </si>
  <si>
    <t>2</t>
  </si>
  <si>
    <t>Įsigyta licencijų, vnt.</t>
  </si>
  <si>
    <t>Išnuomota  programinės įrangos licencijų, vnt.</t>
  </si>
  <si>
    <t>Informacinių technologijų palaikymas ir plėtojimas Savivaldybės administracijoje</t>
  </si>
  <si>
    <t>Kompiuterinės ir organizacinės technikos bei licencijų įsigijimas</t>
  </si>
  <si>
    <t>Kompiuterinės ir organizacinės technikos eksploatavimas</t>
  </si>
  <si>
    <t>11/125</t>
  </si>
  <si>
    <t>/180</t>
  </si>
  <si>
    <t>/250</t>
  </si>
  <si>
    <r>
      <rPr>
        <b/>
        <sz val="10"/>
        <rFont val="Times New Roman"/>
        <family val="1"/>
        <charset val="186"/>
      </rPr>
      <t>Priemonių, mažinančių administracinę naštą juridiniams ir fiziniams asmenims, taikymas</t>
    </r>
    <r>
      <rPr>
        <sz val="10"/>
        <rFont val="Times New Roman"/>
        <family val="1"/>
        <charset val="186"/>
      </rPr>
      <t xml:space="preserve"> (Licencijų ir leidimų išdavimo, proceso valdymo ir kontrolės sistemos sukūrimas)</t>
    </r>
  </si>
  <si>
    <t>Perkeltų į elektroninę erdvę paslaugų skaičius, vnt.</t>
  </si>
  <si>
    <t>Įrengtas LED ekranas, vnt.</t>
  </si>
  <si>
    <t>Savivaldybės administracijos darbuotojų etatų skaičius</t>
  </si>
  <si>
    <t>Per ataskaitinį laikotarpį užbaigtų bylų (teismuose) skaičius</t>
  </si>
  <si>
    <t>Parengtos baseino operatoriaus parinkimo konkurso salygos ir galimybių studija, vnt.</t>
  </si>
  <si>
    <t>Planas</t>
  </si>
  <si>
    <t xml:space="preserve">Eksploatuojama programa / IS vartotojų skaičius </t>
  </si>
  <si>
    <t>Renginių, kuriuose dalyvauta, skaičius</t>
  </si>
  <si>
    <t>Tarptautinių organizacijų, kurių narė yra Klaipėdos miesto savivaldybė,  skaičius</t>
  </si>
  <si>
    <t>Organizuota mokymų temų, skaičius / mokymų dalyvių skaičius</t>
  </si>
  <si>
    <t>Teisiškai įregistruotų objektų skaičius vnt.</t>
  </si>
  <si>
    <t>Atlikta kelių ir aikštelių matavimų, km</t>
  </si>
  <si>
    <t>Prižiūrimų objektų skaičius, vnt.</t>
  </si>
  <si>
    <t>Eksploatuojama žibintų, apšviečiančių aikšteles, skaičius</t>
  </si>
  <si>
    <t>Parengta UAB „Senasis turgus“ veiklos gerinimo galimybių studija, vnt.</t>
  </si>
  <si>
    <t>Suremontuotos patalpos Daukanto g. 24 ir Herkaus Manto g. 47, vnt.</t>
  </si>
  <si>
    <t>Nugriauta statinių, vnt. / prižiūrima inžinerinių tinklų, km</t>
  </si>
  <si>
    <t>Įvertinta pastatų, skaičius</t>
  </si>
  <si>
    <t>Įsigyta ar išnuomota IT įrangos, vnt.</t>
  </si>
  <si>
    <t>Konferencijų, kuriose dalyvauta, skaičius</t>
  </si>
  <si>
    <r>
      <t>Organizuota renginių (1990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>1995 m. Klaipėdos miesto tarybos 25-mečio paminėjimo renginys, Savivaldos diena), vnt.</t>
    </r>
  </si>
  <si>
    <r>
      <t>Suremontuota stogo ploto (Liepų g. 11), m</t>
    </r>
    <r>
      <rPr>
        <sz val="10"/>
        <rFont val="Calibri"/>
        <family val="2"/>
        <charset val="186"/>
      </rPr>
      <t>²</t>
    </r>
  </si>
  <si>
    <r>
      <t>Suremontuota patalpų pastate Liepų g. 7, m</t>
    </r>
    <r>
      <rPr>
        <sz val="10"/>
        <rFont val="Calibri"/>
        <family val="2"/>
        <charset val="186"/>
      </rPr>
      <t>²</t>
    </r>
  </si>
  <si>
    <r>
      <t>Suremontuota fasado ploto,  m</t>
    </r>
    <r>
      <rPr>
        <sz val="10"/>
        <rFont val="Calibri"/>
        <family val="2"/>
        <charset val="186"/>
      </rPr>
      <t>²</t>
    </r>
  </si>
  <si>
    <r>
      <t>Suremontuota parketo ploto, m</t>
    </r>
    <r>
      <rPr>
        <sz val="10"/>
        <rFont val="Calibri"/>
        <family val="2"/>
        <charset val="186"/>
      </rPr>
      <t>²</t>
    </r>
  </si>
  <si>
    <r>
      <t>Pakeista laminuotos grindų dangos ploto, m</t>
    </r>
    <r>
      <rPr>
        <sz val="10"/>
        <rFont val="Calibri"/>
        <family val="2"/>
        <charset val="186"/>
      </rPr>
      <t>²</t>
    </r>
  </si>
  <si>
    <r>
      <t>Suremontuota kabinetų ploto, m</t>
    </r>
    <r>
      <rPr>
        <sz val="10"/>
        <rFont val="Calibri"/>
        <family val="2"/>
        <charset val="186"/>
      </rPr>
      <t>²</t>
    </r>
  </si>
  <si>
    <r>
      <t>Suremontuota patalpų ploto, m</t>
    </r>
    <r>
      <rPr>
        <sz val="10"/>
        <rFont val="Calibri"/>
        <family val="2"/>
        <charset val="186"/>
      </rPr>
      <t>²</t>
    </r>
  </si>
  <si>
    <r>
      <t>Suremontuota fasado ploto (Laukininkų g. 19A), m</t>
    </r>
    <r>
      <rPr>
        <sz val="10"/>
        <rFont val="Calibri"/>
        <family val="2"/>
        <charset val="186"/>
      </rPr>
      <t>²</t>
    </r>
  </si>
  <si>
    <t xml:space="preserve">Dalyvio mokestis už narystę  tarptautinių organizacijų veikloje  (Cruise Baltic – CB, EUROCITIES, Union of the Baltic Cities – UBC, Baltic Sail,  European Cities Against Drugs – ECAD, World Health Organization – WHO,  Kommunnes Internasjonale Miljøorganisasjon – KIMO)   </t>
  </si>
  <si>
    <t>Gyvenamųjų patalpų ir jų priklausinių, taip pat pagalbinės paskirties pastatų, jų dalių privatizavimo dokumentų rengimas</t>
  </si>
  <si>
    <t>Savivaldybės nenaudojamų (neeksploatuojamų) statinių  nugriovimas ir jų inžinerinių tinklų techninės būklės palaikymas (nugriovimas)</t>
  </si>
  <si>
    <t>Pastato I. Kanto g. 11  patalpų einamasis remontas, elektros instaliacijos modernizavimas</t>
  </si>
  <si>
    <t>Eur</t>
  </si>
  <si>
    <t xml:space="preserve">Lyginamasis variantas </t>
  </si>
  <si>
    <t>Siūlomas keisti 2015-ųjų metų asignavimų planas</t>
  </si>
  <si>
    <t>Skirtumas</t>
  </si>
  <si>
    <t>Įvykdytų rinkodaros ir reprezentacinių priemonių, skaičius</t>
  </si>
  <si>
    <t>Nupirkta spaudos ploto dienraščiuose, psl.</t>
  </si>
  <si>
    <r>
      <t xml:space="preserve">2015–2017 M. KLAIPĖDOS MIESTO SAVIVALDYBĖS </t>
    </r>
    <r>
      <rPr>
        <b/>
        <sz val="12"/>
        <rFont val="Times New Roman"/>
        <family val="1"/>
        <charset val="186"/>
      </rPr>
      <t xml:space="preserve">                       
VALDYMO PROGRAMOS (NR. 03)</t>
    </r>
  </si>
  <si>
    <t xml:space="preserve">Atnaujinta Turgaus g. 21 pastato siena, vnt. </t>
  </si>
  <si>
    <t>Savivaldybės administracijos veiklos užtikrinimas</t>
  </si>
  <si>
    <t>Teritorijų prie nenaudojamų savivaldybės pastatų tvarkymas</t>
  </si>
  <si>
    <t>1,28</t>
  </si>
  <si>
    <t>Demontuota ir remontuota stoginių konstrukcijų Vingio g. ir Taikos pr., m2</t>
  </si>
  <si>
    <r>
      <t xml:space="preserve">Programų lėšų likučių lėšos </t>
    </r>
    <r>
      <rPr>
        <b/>
        <sz val="10"/>
        <rFont val="Times New Roman"/>
        <family val="1"/>
        <charset val="186"/>
      </rPr>
      <t>SB(L)</t>
    </r>
  </si>
  <si>
    <t>SB(VRL)</t>
  </si>
  <si>
    <r>
      <t>Vietinių rinkliavų lėšų likutis</t>
    </r>
    <r>
      <rPr>
        <b/>
        <sz val="10"/>
        <rFont val="Times New Roman"/>
        <family val="1"/>
        <charset val="186"/>
      </rPr>
      <t xml:space="preserve"> SB(VRL)</t>
    </r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</si>
  <si>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</si>
  <si>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SB(KPP)</t>
    </r>
  </si>
  <si>
    <t>SB(KPP)</t>
  </si>
  <si>
    <t>Prižiūrimos teritorijos prie nenaudojamų savivaldybei priskirtų pastatų  plotas, ha</t>
  </si>
  <si>
    <t>Pastato Liepų g. 11  patalpų einamasis remontas (parketo atnaujinimas, laminuotos grindų dangos atnaujinimas, tarybos posėdžių salės, kabinetų remontas)</t>
  </si>
  <si>
    <t>Klaipėdos miesto integruotų investicijų teritorijos vietos veiklos grupės strategijos parengimas</t>
  </si>
  <si>
    <t>Įsteigta asociacija, vnt.</t>
  </si>
  <si>
    <t>Parengta strategija, vnt.</t>
  </si>
  <si>
    <t>Įvykdyta gyventojų apklausa, vnt.</t>
  </si>
  <si>
    <r>
      <t>Pastato Liepų g. 11 patalpų einamasis remontas (parketo atnaujinimas, laminuotos grindų dangos atnaujinimas,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tarybos posėdžių salės, kabinetų remontas)</t>
    </r>
  </si>
  <si>
    <t xml:space="preserve">Sukurta korupcijos rodiklių identifikavimo ir matavimo metodika, vnt. </t>
  </si>
  <si>
    <t>Kt</t>
  </si>
  <si>
    <t>KT</t>
  </si>
  <si>
    <t>Siūlomas keisti 2016-ųjų metų asignavimų planas</t>
  </si>
  <si>
    <t xml:space="preserve">Projekto „Lietuvos Respublikos ir Norvegijos karalystės institucijų bendradarbiavimas perteikiant žinias ir gerąją patirtį administracinio- finansinio valdymo bei korupcijos mažinimo ir prevencijos srityje Lietuvos Respublikos valstybės ir savivaldybių institucijoms“ įgyvendinimas </t>
  </si>
  <si>
    <t xml:space="preserve">Projekto „Lietuvos Respublikos ir Norvegijos karalystės institucijų bendradarbiavimas perteikiant žinias ir gerąją patirtį administracinio-finansinio valdymo bei korupcijos mažinimo ir prevencijos srityje Lietuvos Respublikos valstybės ir savivaldybių institucijoms“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</si>
</sst>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t_-;\-* #,##0.00\ _L_t_-;_-* &quot;-&quot;??\ _L_t_-;_-@_-"/>
    <numFmt numFmtId="164" formatCode="0.0"/>
  </numFmts>
  <fonts count="32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0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/>
    <xf numFmtId="0" fontId="14" fillId="0" borderId="0"/>
  </cellStyleXfs>
  <cellXfs count="1013">
    <xf numFmtId="0" fontId="0" fillId="0" borderId="0" xfId="0"/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1" fillId="2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2" borderId="56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9" fillId="0" borderId="25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49" fontId="11" fillId="2" borderId="40" xfId="0" applyNumberFormat="1" applyFont="1" applyFill="1" applyBorder="1" applyAlignment="1">
      <alignment vertical="top"/>
    </xf>
    <xf numFmtId="49" fontId="11" fillId="2" borderId="43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7" fillId="0" borderId="43" xfId="0" applyFont="1" applyFill="1" applyBorder="1" applyAlignment="1">
      <alignment vertical="top" wrapText="1"/>
    </xf>
    <xf numFmtId="0" fontId="9" fillId="4" borderId="16" xfId="0" applyNumberFormat="1" applyFont="1" applyFill="1" applyBorder="1" applyAlignment="1">
      <alignment horizontal="center" vertical="top"/>
    </xf>
    <xf numFmtId="0" fontId="9" fillId="4" borderId="53" xfId="0" applyNumberFormat="1" applyFont="1" applyFill="1" applyBorder="1" applyAlignment="1">
      <alignment horizontal="center" vertical="top"/>
    </xf>
    <xf numFmtId="49" fontId="11" fillId="7" borderId="24" xfId="0" applyNumberFormat="1" applyFont="1" applyFill="1" applyBorder="1" applyAlignment="1">
      <alignment horizontal="center" vertical="top"/>
    </xf>
    <xf numFmtId="0" fontId="17" fillId="0" borderId="0" xfId="0" applyFont="1"/>
    <xf numFmtId="0" fontId="17" fillId="0" borderId="38" xfId="0" applyFont="1" applyBorder="1" applyAlignment="1">
      <alignment horizontal="center" vertical="top" wrapText="1"/>
    </xf>
    <xf numFmtId="0" fontId="17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3" borderId="0" xfId="0" applyFont="1" applyFill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0" borderId="45" xfId="0" applyFont="1" applyBorder="1" applyAlignment="1">
      <alignment vertical="top" wrapText="1"/>
    </xf>
    <xf numFmtId="0" fontId="9" fillId="0" borderId="49" xfId="0" applyNumberFormat="1" applyFont="1" applyBorder="1" applyAlignment="1">
      <alignment horizontal="center" vertical="top"/>
    </xf>
    <xf numFmtId="0" fontId="9" fillId="0" borderId="48" xfId="0" applyNumberFormat="1" applyFont="1" applyBorder="1" applyAlignment="1">
      <alignment horizontal="center" vertical="top"/>
    </xf>
    <xf numFmtId="0" fontId="9" fillId="0" borderId="58" xfId="0" applyFont="1" applyBorder="1" applyAlignment="1">
      <alignment vertical="top" wrapText="1"/>
    </xf>
    <xf numFmtId="0" fontId="9" fillId="0" borderId="50" xfId="0" applyNumberFormat="1" applyFont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 wrapText="1"/>
    </xf>
    <xf numFmtId="0" fontId="9" fillId="4" borderId="19" xfId="0" applyNumberFormat="1" applyFont="1" applyFill="1" applyBorder="1" applyAlignment="1">
      <alignment horizontal="center" vertical="top"/>
    </xf>
    <xf numFmtId="0" fontId="9" fillId="4" borderId="43" xfId="0" applyNumberFormat="1" applyFont="1" applyFill="1" applyBorder="1" applyAlignment="1">
      <alignment horizontal="center" vertical="top"/>
    </xf>
    <xf numFmtId="0" fontId="9" fillId="4" borderId="39" xfId="0" applyFont="1" applyFill="1" applyBorder="1" applyAlignment="1">
      <alignment horizontal="left" vertical="top" wrapText="1"/>
    </xf>
    <xf numFmtId="0" fontId="9" fillId="4" borderId="38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49" fontId="11" fillId="0" borderId="43" xfId="0" applyNumberFormat="1" applyFont="1" applyFill="1" applyBorder="1" applyAlignment="1">
      <alignment horizontal="center" vertical="top"/>
    </xf>
    <xf numFmtId="0" fontId="9" fillId="4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4" borderId="27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9" fillId="4" borderId="60" xfId="0" applyNumberFormat="1" applyFont="1" applyFill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43" xfId="0" applyNumberFormat="1" applyFont="1" applyBorder="1" applyAlignment="1">
      <alignment horizontal="center" vertical="top"/>
    </xf>
    <xf numFmtId="0" fontId="9" fillId="0" borderId="52" xfId="0" applyNumberFormat="1" applyFont="1" applyBorder="1" applyAlignment="1">
      <alignment horizontal="center" vertical="top"/>
    </xf>
    <xf numFmtId="49" fontId="11" fillId="2" borderId="64" xfId="0" applyNumberFormat="1" applyFont="1" applyFill="1" applyBorder="1" applyAlignment="1">
      <alignment horizontal="center" vertical="top"/>
    </xf>
    <xf numFmtId="49" fontId="11" fillId="2" borderId="76" xfId="0" applyNumberFormat="1" applyFont="1" applyFill="1" applyBorder="1" applyAlignment="1">
      <alignment horizontal="center" vertical="top"/>
    </xf>
    <xf numFmtId="164" fontId="21" fillId="4" borderId="0" xfId="0" applyNumberFormat="1" applyFont="1" applyFill="1" applyAlignment="1">
      <alignment vertical="top"/>
    </xf>
    <xf numFmtId="49" fontId="11" fillId="2" borderId="64" xfId="0" applyNumberFormat="1" applyFont="1" applyFill="1" applyBorder="1" applyAlignment="1">
      <alignment vertical="top"/>
    </xf>
    <xf numFmtId="49" fontId="11" fillId="2" borderId="75" xfId="0" applyNumberFormat="1" applyFont="1" applyFill="1" applyBorder="1" applyAlignment="1">
      <alignment vertical="top"/>
    </xf>
    <xf numFmtId="49" fontId="11" fillId="4" borderId="0" xfId="0" applyNumberFormat="1" applyFont="1" applyFill="1" applyBorder="1" applyAlignment="1">
      <alignment vertical="top"/>
    </xf>
    <xf numFmtId="0" fontId="9" fillId="4" borderId="38" xfId="0" applyFont="1" applyFill="1" applyBorder="1" applyAlignment="1">
      <alignment horizontal="center" vertical="top"/>
    </xf>
    <xf numFmtId="49" fontId="11" fillId="2" borderId="49" xfId="0" applyNumberFormat="1" applyFont="1" applyFill="1" applyBorder="1" applyAlignment="1">
      <alignment horizontal="left" vertical="top"/>
    </xf>
    <xf numFmtId="0" fontId="11" fillId="8" borderId="5" xfId="0" applyFont="1" applyFill="1" applyBorder="1" applyAlignment="1">
      <alignment horizontal="right" vertical="top" wrapText="1"/>
    </xf>
    <xf numFmtId="0" fontId="11" fillId="8" borderId="10" xfId="0" applyFont="1" applyFill="1" applyBorder="1" applyAlignment="1">
      <alignment horizontal="right" vertical="top" wrapText="1"/>
    </xf>
    <xf numFmtId="0" fontId="11" fillId="8" borderId="4" xfId="0" applyFont="1" applyFill="1" applyBorder="1" applyAlignment="1">
      <alignment horizontal="right" vertical="top" wrapText="1"/>
    </xf>
    <xf numFmtId="0" fontId="11" fillId="8" borderId="55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/>
    </xf>
    <xf numFmtId="0" fontId="9" fillId="5" borderId="30" xfId="0" applyFont="1" applyFill="1" applyBorder="1" applyAlignment="1">
      <alignment vertical="top"/>
    </xf>
    <xf numFmtId="0" fontId="9" fillId="5" borderId="29" xfId="0" applyNumberFormat="1" applyFont="1" applyFill="1" applyBorder="1" applyAlignment="1">
      <alignment horizontal="center" vertical="top"/>
    </xf>
    <xf numFmtId="0" fontId="9" fillId="5" borderId="36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5" borderId="13" xfId="0" applyFont="1" applyFill="1" applyBorder="1" applyAlignment="1">
      <alignment vertical="top"/>
    </xf>
    <xf numFmtId="0" fontId="9" fillId="5" borderId="69" xfId="0" applyNumberFormat="1" applyFont="1" applyFill="1" applyBorder="1" applyAlignment="1">
      <alignment horizontal="center" vertical="top"/>
    </xf>
    <xf numFmtId="0" fontId="9" fillId="4" borderId="52" xfId="0" applyNumberFormat="1" applyFont="1" applyFill="1" applyBorder="1" applyAlignment="1">
      <alignment horizontal="center" vertical="top"/>
    </xf>
    <xf numFmtId="0" fontId="6" fillId="0" borderId="57" xfId="0" applyFont="1" applyFill="1" applyBorder="1" applyAlignment="1">
      <alignment horizontal="center" vertical="center" textRotation="90"/>
    </xf>
    <xf numFmtId="0" fontId="11" fillId="8" borderId="5" xfId="0" applyFont="1" applyFill="1" applyBorder="1" applyAlignment="1">
      <alignment horizontal="center" vertical="top"/>
    </xf>
    <xf numFmtId="0" fontId="9" fillId="0" borderId="65" xfId="0" applyFont="1" applyBorder="1" applyAlignment="1">
      <alignment horizontal="left" vertical="top" wrapText="1"/>
    </xf>
    <xf numFmtId="0" fontId="9" fillId="0" borderId="76" xfId="0" applyFont="1" applyBorder="1" applyAlignment="1">
      <alignment vertical="top" wrapText="1"/>
    </xf>
    <xf numFmtId="0" fontId="9" fillId="0" borderId="40" xfId="0" applyFont="1" applyBorder="1" applyAlignment="1">
      <alignment horizontal="center" vertical="top" wrapText="1"/>
    </xf>
    <xf numFmtId="0" fontId="5" fillId="0" borderId="18" xfId="0" applyNumberFormat="1" applyFont="1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0" fontId="11" fillId="0" borderId="52" xfId="4" applyNumberFormat="1" applyFont="1" applyBorder="1" applyAlignment="1">
      <alignment horizontal="center" vertical="top"/>
    </xf>
    <xf numFmtId="0" fontId="11" fillId="0" borderId="35" xfId="4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horizontal="center" vertical="top"/>
    </xf>
    <xf numFmtId="0" fontId="9" fillId="4" borderId="35" xfId="0" applyNumberFormat="1" applyFont="1" applyFill="1" applyBorder="1" applyAlignment="1">
      <alignment horizontal="center" vertical="top"/>
    </xf>
    <xf numFmtId="0" fontId="5" fillId="4" borderId="40" xfId="0" applyFont="1" applyFill="1" applyBorder="1" applyAlignment="1">
      <alignment horizontal="center" vertical="top" wrapText="1"/>
    </xf>
    <xf numFmtId="0" fontId="12" fillId="4" borderId="40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vertical="top" wrapText="1"/>
    </xf>
    <xf numFmtId="0" fontId="9" fillId="0" borderId="43" xfId="0" applyFont="1" applyFill="1" applyBorder="1" applyAlignment="1">
      <alignment vertical="top" wrapText="1"/>
    </xf>
    <xf numFmtId="0" fontId="9" fillId="4" borderId="63" xfId="0" applyFont="1" applyFill="1" applyBorder="1" applyAlignment="1">
      <alignment vertical="top" wrapText="1"/>
    </xf>
    <xf numFmtId="0" fontId="9" fillId="5" borderId="23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49" fontId="11" fillId="9" borderId="8" xfId="0" applyNumberFormat="1" applyFont="1" applyFill="1" applyBorder="1" applyAlignment="1">
      <alignment horizontal="left" vertical="top" wrapText="1"/>
    </xf>
    <xf numFmtId="49" fontId="11" fillId="9" borderId="39" xfId="0" applyNumberFormat="1" applyFont="1" applyFill="1" applyBorder="1" applyAlignment="1">
      <alignment horizontal="left" vertical="top"/>
    </xf>
    <xf numFmtId="49" fontId="11" fillId="9" borderId="28" xfId="0" applyNumberFormat="1" applyFont="1" applyFill="1" applyBorder="1" applyAlignment="1">
      <alignment vertical="top"/>
    </xf>
    <xf numFmtId="49" fontId="11" fillId="9" borderId="7" xfId="0" applyNumberFormat="1" applyFont="1" applyFill="1" applyBorder="1" applyAlignment="1">
      <alignment horizontal="center" vertical="top"/>
    </xf>
    <xf numFmtId="49" fontId="11" fillId="9" borderId="13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vertical="top"/>
    </xf>
    <xf numFmtId="49" fontId="11" fillId="9" borderId="21" xfId="0" applyNumberFormat="1" applyFont="1" applyFill="1" applyBorder="1" applyAlignment="1">
      <alignment vertical="top"/>
    </xf>
    <xf numFmtId="49" fontId="11" fillId="9" borderId="24" xfId="0" applyNumberFormat="1" applyFont="1" applyFill="1" applyBorder="1" applyAlignment="1">
      <alignment horizontal="center" vertical="top"/>
    </xf>
    <xf numFmtId="0" fontId="9" fillId="0" borderId="72" xfId="0" applyFont="1" applyBorder="1" applyAlignment="1">
      <alignment vertical="top" wrapText="1"/>
    </xf>
    <xf numFmtId="0" fontId="9" fillId="4" borderId="50" xfId="0" applyNumberFormat="1" applyFont="1" applyFill="1" applyBorder="1" applyAlignment="1">
      <alignment horizontal="center" vertical="top"/>
    </xf>
    <xf numFmtId="0" fontId="9" fillId="4" borderId="45" xfId="0" applyFont="1" applyFill="1" applyBorder="1" applyAlignment="1">
      <alignment vertical="top" wrapText="1"/>
    </xf>
    <xf numFmtId="0" fontId="9" fillId="0" borderId="21" xfId="0" applyFont="1" applyBorder="1" applyAlignment="1">
      <alignment vertical="top"/>
    </xf>
    <xf numFmtId="0" fontId="11" fillId="4" borderId="26" xfId="0" applyFont="1" applyFill="1" applyBorder="1" applyAlignment="1">
      <alignment vertical="top" wrapText="1"/>
    </xf>
    <xf numFmtId="49" fontId="11" fillId="0" borderId="40" xfId="0" applyNumberFormat="1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right" vertical="top" wrapText="1"/>
    </xf>
    <xf numFmtId="0" fontId="9" fillId="4" borderId="28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0" fontId="9" fillId="0" borderId="88" xfId="0" applyFont="1" applyFill="1" applyBorder="1" applyAlignment="1">
      <alignment horizontal="left" vertical="top" wrapText="1"/>
    </xf>
    <xf numFmtId="0" fontId="9" fillId="0" borderId="83" xfId="0" applyFont="1" applyFill="1" applyBorder="1" applyAlignment="1">
      <alignment horizontal="center" vertical="top"/>
    </xf>
    <xf numFmtId="0" fontId="9" fillId="0" borderId="87" xfId="0" applyFont="1" applyFill="1" applyBorder="1" applyAlignment="1">
      <alignment horizontal="center" vertical="top"/>
    </xf>
    <xf numFmtId="0" fontId="9" fillId="0" borderId="82" xfId="0" applyFont="1" applyBorder="1" applyAlignment="1">
      <alignment vertical="top"/>
    </xf>
    <xf numFmtId="0" fontId="9" fillId="0" borderId="79" xfId="0" applyNumberFormat="1" applyFont="1" applyBorder="1" applyAlignment="1">
      <alignment horizontal="center" vertical="top"/>
    </xf>
    <xf numFmtId="0" fontId="9" fillId="0" borderId="81" xfId="0" applyNumberFormat="1" applyFont="1" applyBorder="1" applyAlignment="1">
      <alignment horizontal="center" vertical="top"/>
    </xf>
    <xf numFmtId="0" fontId="9" fillId="4" borderId="83" xfId="0" applyFont="1" applyFill="1" applyBorder="1" applyAlignment="1">
      <alignment horizontal="center" vertical="top"/>
    </xf>
    <xf numFmtId="0" fontId="9" fillId="4" borderId="87" xfId="0" applyFont="1" applyFill="1" applyBorder="1" applyAlignment="1">
      <alignment horizontal="center" vertical="top"/>
    </xf>
    <xf numFmtId="0" fontId="9" fillId="4" borderId="86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center" vertical="top"/>
    </xf>
    <xf numFmtId="0" fontId="5" fillId="4" borderId="34" xfId="0" applyFont="1" applyFill="1" applyBorder="1" applyAlignment="1">
      <alignment horizontal="center" vertical="top" wrapText="1"/>
    </xf>
    <xf numFmtId="0" fontId="12" fillId="4" borderId="34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4" borderId="51" xfId="0" applyFont="1" applyFill="1" applyBorder="1" applyAlignment="1">
      <alignment horizontal="center" vertical="top"/>
    </xf>
    <xf numFmtId="0" fontId="9" fillId="4" borderId="83" xfId="0" applyNumberFormat="1" applyFont="1" applyFill="1" applyBorder="1" applyAlignment="1">
      <alignment horizontal="center" vertical="top"/>
    </xf>
    <xf numFmtId="0" fontId="9" fillId="4" borderId="87" xfId="0" applyNumberFormat="1" applyFont="1" applyFill="1" applyBorder="1" applyAlignment="1">
      <alignment horizontal="center" vertical="top"/>
    </xf>
    <xf numFmtId="49" fontId="9" fillId="4" borderId="43" xfId="0" applyNumberFormat="1" applyFont="1" applyFill="1" applyBorder="1" applyAlignment="1">
      <alignment horizontal="center" vertical="top"/>
    </xf>
    <xf numFmtId="0" fontId="9" fillId="0" borderId="83" xfId="0" applyNumberFormat="1" applyFont="1" applyBorder="1" applyAlignment="1">
      <alignment horizontal="center" vertical="top"/>
    </xf>
    <xf numFmtId="0" fontId="9" fillId="0" borderId="87" xfId="0" applyNumberFormat="1" applyFont="1" applyBorder="1" applyAlignment="1">
      <alignment horizontal="center" vertical="top"/>
    </xf>
    <xf numFmtId="0" fontId="9" fillId="4" borderId="34" xfId="0" applyFont="1" applyFill="1" applyBorder="1" applyAlignment="1">
      <alignment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NumberFormat="1" applyFont="1" applyFill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99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82" xfId="0" applyFont="1" applyBorder="1" applyAlignment="1">
      <alignment vertical="top" wrapText="1"/>
    </xf>
    <xf numFmtId="0" fontId="9" fillId="0" borderId="80" xfId="0" applyNumberFormat="1" applyFont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49" fontId="11" fillId="0" borderId="40" xfId="0" applyNumberFormat="1" applyFont="1" applyBorder="1" applyAlignment="1">
      <alignment horizontal="center" vertical="top" wrapText="1"/>
    </xf>
    <xf numFmtId="49" fontId="11" fillId="0" borderId="43" xfId="0" applyNumberFormat="1" applyFont="1" applyBorder="1" applyAlignment="1">
      <alignment horizontal="center" vertical="top" wrapText="1"/>
    </xf>
    <xf numFmtId="49" fontId="9" fillId="4" borderId="50" xfId="0" applyNumberFormat="1" applyFont="1" applyFill="1" applyBorder="1" applyAlignment="1">
      <alignment horizontal="center" vertical="top"/>
    </xf>
    <xf numFmtId="0" fontId="9" fillId="0" borderId="43" xfId="0" applyFont="1" applyBorder="1" applyAlignment="1">
      <alignment horizontal="center" vertical="top" wrapText="1"/>
    </xf>
    <xf numFmtId="0" fontId="9" fillId="0" borderId="64" xfId="0" applyFont="1" applyBorder="1" applyAlignment="1">
      <alignment vertical="top" wrapText="1"/>
    </xf>
    <xf numFmtId="0" fontId="9" fillId="0" borderId="97" xfId="0" applyFont="1" applyBorder="1" applyAlignment="1">
      <alignment horizontal="left" vertical="top" wrapText="1"/>
    </xf>
    <xf numFmtId="0" fontId="9" fillId="0" borderId="89" xfId="0" applyFont="1" applyBorder="1" applyAlignment="1">
      <alignment horizontal="center" vertical="top"/>
    </xf>
    <xf numFmtId="0" fontId="9" fillId="0" borderId="87" xfId="0" applyFont="1" applyBorder="1" applyAlignment="1">
      <alignment horizontal="center" vertical="top"/>
    </xf>
    <xf numFmtId="0" fontId="9" fillId="0" borderId="77" xfId="0" applyFont="1" applyBorder="1" applyAlignment="1">
      <alignment horizontal="center" vertical="top"/>
    </xf>
    <xf numFmtId="0" fontId="9" fillId="0" borderId="78" xfId="0" applyFont="1" applyBorder="1" applyAlignment="1">
      <alignment horizontal="left" vertical="top" wrapText="1"/>
    </xf>
    <xf numFmtId="0" fontId="9" fillId="4" borderId="80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0" fontId="9" fillId="0" borderId="29" xfId="0" applyFont="1" applyBorder="1" applyAlignment="1">
      <alignment horizontal="center" vertical="center" textRotation="90" shrinkToFit="1"/>
    </xf>
    <xf numFmtId="0" fontId="9" fillId="0" borderId="36" xfId="0" applyFont="1" applyBorder="1" applyAlignment="1">
      <alignment horizontal="center" vertical="center" textRotation="90" shrinkToFit="1"/>
    </xf>
    <xf numFmtId="0" fontId="5" fillId="0" borderId="53" xfId="0" applyNumberFormat="1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53" xfId="0" applyFont="1" applyFill="1" applyBorder="1" applyAlignment="1">
      <alignment horizontal="center" vertical="top" wrapText="1"/>
    </xf>
    <xf numFmtId="49" fontId="5" fillId="4" borderId="16" xfId="0" applyNumberFormat="1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/>
    </xf>
    <xf numFmtId="0" fontId="5" fillId="0" borderId="51" xfId="0" applyNumberFormat="1" applyFont="1" applyBorder="1" applyAlignment="1">
      <alignment horizontal="center" vertical="top"/>
    </xf>
    <xf numFmtId="0" fontId="5" fillId="4" borderId="43" xfId="0" applyFont="1" applyFill="1" applyBorder="1" applyAlignment="1">
      <alignment horizontal="center" vertical="top" wrapText="1"/>
    </xf>
    <xf numFmtId="0" fontId="12" fillId="4" borderId="43" xfId="0" applyFont="1" applyFill="1" applyBorder="1" applyAlignment="1">
      <alignment horizontal="center" vertical="top" wrapText="1"/>
    </xf>
    <xf numFmtId="0" fontId="12" fillId="4" borderId="5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 wrapText="1"/>
    </xf>
    <xf numFmtId="0" fontId="12" fillId="4" borderId="69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0" fontId="9" fillId="0" borderId="69" xfId="0" applyNumberFormat="1" applyFont="1" applyBorder="1" applyAlignment="1">
      <alignment horizontal="center" vertical="top"/>
    </xf>
    <xf numFmtId="0" fontId="9" fillId="4" borderId="21" xfId="0" applyFont="1" applyFill="1" applyBorder="1" applyAlignment="1">
      <alignment vertical="top" wrapText="1"/>
    </xf>
    <xf numFmtId="0" fontId="9" fillId="0" borderId="43" xfId="0" applyFont="1" applyBorder="1" applyAlignment="1">
      <alignment vertical="top"/>
    </xf>
    <xf numFmtId="0" fontId="9" fillId="4" borderId="88" xfId="0" applyFont="1" applyFill="1" applyBorder="1" applyAlignment="1">
      <alignment vertical="top" wrapText="1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4" borderId="16" xfId="0" applyFont="1" applyFill="1" applyBorder="1" applyAlignment="1">
      <alignment vertical="top" wrapText="1"/>
    </xf>
    <xf numFmtId="0" fontId="9" fillId="4" borderId="38" xfId="0" applyFont="1" applyFill="1" applyBorder="1" applyAlignment="1">
      <alignment vertical="top" wrapText="1"/>
    </xf>
    <xf numFmtId="0" fontId="9" fillId="0" borderId="31" xfId="0" applyNumberFormat="1" applyFont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43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164" fontId="9" fillId="4" borderId="43" xfId="0" applyNumberFormat="1" applyFont="1" applyFill="1" applyBorder="1" applyAlignment="1">
      <alignment horizontal="center" vertical="center" textRotation="90" wrapText="1"/>
    </xf>
    <xf numFmtId="164" fontId="9" fillId="4" borderId="52" xfId="0" applyNumberFormat="1" applyFont="1" applyFill="1" applyBorder="1" applyAlignment="1">
      <alignment horizontal="center" vertical="center" textRotation="90" wrapText="1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64" xfId="0" applyNumberFormat="1" applyFont="1" applyFill="1" applyBorder="1" applyAlignment="1">
      <alignment horizontal="center" vertical="top"/>
    </xf>
    <xf numFmtId="49" fontId="11" fillId="4" borderId="23" xfId="0" applyNumberFormat="1" applyFont="1" applyFill="1" applyBorder="1" applyAlignment="1">
      <alignment vertical="top"/>
    </xf>
    <xf numFmtId="0" fontId="3" fillId="0" borderId="92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 wrapText="1"/>
    </xf>
    <xf numFmtId="0" fontId="12" fillId="4" borderId="31" xfId="0" applyNumberFormat="1" applyFont="1" applyFill="1" applyBorder="1" applyAlignment="1">
      <alignment horizontal="center" vertical="top"/>
    </xf>
    <xf numFmtId="0" fontId="12" fillId="4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64" xfId="0" applyNumberFormat="1" applyFont="1" applyFill="1" applyBorder="1" applyAlignment="1">
      <alignment vertical="top"/>
    </xf>
    <xf numFmtId="49" fontId="11" fillId="0" borderId="60" xfId="0" applyNumberFormat="1" applyFont="1" applyFill="1" applyBorder="1" applyAlignment="1">
      <alignment horizontal="center" vertical="top"/>
    </xf>
    <xf numFmtId="49" fontId="11" fillId="0" borderId="53" xfId="0" applyNumberFormat="1" applyFont="1" applyFill="1" applyBorder="1" applyAlignment="1">
      <alignment horizontal="center" vertical="top"/>
    </xf>
    <xf numFmtId="0" fontId="11" fillId="8" borderId="55" xfId="0" applyFont="1" applyFill="1" applyBorder="1" applyAlignment="1">
      <alignment horizontal="center" vertical="top"/>
    </xf>
    <xf numFmtId="0" fontId="22" fillId="4" borderId="31" xfId="0" applyFont="1" applyFill="1" applyBorder="1" applyAlignment="1"/>
    <xf numFmtId="49" fontId="11" fillId="4" borderId="31" xfId="0" applyNumberFormat="1" applyFont="1" applyFill="1" applyBorder="1" applyAlignment="1">
      <alignment vertical="top"/>
    </xf>
    <xf numFmtId="49" fontId="11" fillId="4" borderId="32" xfId="0" applyNumberFormat="1" applyFont="1" applyFill="1" applyBorder="1" applyAlignment="1">
      <alignment vertical="top"/>
    </xf>
    <xf numFmtId="0" fontId="9" fillId="0" borderId="86" xfId="0" applyFont="1" applyBorder="1" applyAlignment="1">
      <alignment vertical="top" wrapText="1"/>
    </xf>
    <xf numFmtId="0" fontId="6" fillId="0" borderId="4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9" fillId="4" borderId="38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center" vertical="top"/>
    </xf>
    <xf numFmtId="0" fontId="9" fillId="0" borderId="83" xfId="0" applyFont="1" applyBorder="1" applyAlignment="1">
      <alignment horizontal="center" vertical="top" wrapText="1"/>
    </xf>
    <xf numFmtId="0" fontId="9" fillId="0" borderId="80" xfId="0" applyFont="1" applyBorder="1" applyAlignment="1">
      <alignment horizontal="center" vertical="top"/>
    </xf>
    <xf numFmtId="0" fontId="9" fillId="0" borderId="96" xfId="0" applyFont="1" applyBorder="1" applyAlignment="1">
      <alignment horizontal="center" vertical="top"/>
    </xf>
    <xf numFmtId="0" fontId="9" fillId="0" borderId="94" xfId="0" applyFont="1" applyBorder="1" applyAlignment="1">
      <alignment horizontal="center" vertical="top"/>
    </xf>
    <xf numFmtId="49" fontId="7" fillId="4" borderId="34" xfId="0" applyNumberFormat="1" applyFont="1" applyFill="1" applyBorder="1" applyAlignment="1">
      <alignment horizontal="center" vertical="top"/>
    </xf>
    <xf numFmtId="49" fontId="7" fillId="4" borderId="35" xfId="0" applyNumberFormat="1" applyFont="1" applyFill="1" applyBorder="1" applyAlignment="1">
      <alignment horizontal="center" vertical="top"/>
    </xf>
    <xf numFmtId="49" fontId="9" fillId="0" borderId="60" xfId="0" applyNumberFormat="1" applyFont="1" applyBorder="1" applyAlignment="1">
      <alignment horizontal="center" vertical="top"/>
    </xf>
    <xf numFmtId="0" fontId="9" fillId="4" borderId="38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 wrapText="1"/>
    </xf>
    <xf numFmtId="0" fontId="11" fillId="0" borderId="53" xfId="4" applyNumberFormat="1" applyFont="1" applyBorder="1" applyAlignment="1">
      <alignment horizontal="center" vertical="top"/>
    </xf>
    <xf numFmtId="0" fontId="9" fillId="0" borderId="88" xfId="0" applyFont="1" applyBorder="1" applyAlignment="1">
      <alignment vertical="top" wrapText="1"/>
    </xf>
    <xf numFmtId="0" fontId="9" fillId="4" borderId="86" xfId="0" applyFont="1" applyFill="1" applyBorder="1" applyAlignment="1">
      <alignment vertical="top" wrapText="1"/>
    </xf>
    <xf numFmtId="49" fontId="9" fillId="4" borderId="89" xfId="0" applyNumberFormat="1" applyFont="1" applyFill="1" applyBorder="1" applyAlignment="1">
      <alignment horizontal="center" vertical="top"/>
    </xf>
    <xf numFmtId="49" fontId="9" fillId="4" borderId="87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center" textRotation="90"/>
    </xf>
    <xf numFmtId="0" fontId="6" fillId="0" borderId="70" xfId="0" applyFont="1" applyFill="1" applyBorder="1" applyAlignment="1">
      <alignment horizontal="center" vertical="center" textRotation="90"/>
    </xf>
    <xf numFmtId="0" fontId="7" fillId="0" borderId="76" xfId="0" applyFont="1" applyFill="1" applyBorder="1" applyAlignment="1">
      <alignment vertical="top" wrapText="1"/>
    </xf>
    <xf numFmtId="0" fontId="7" fillId="0" borderId="64" xfId="0" applyFont="1" applyFill="1" applyBorder="1" applyAlignment="1">
      <alignment vertical="top" wrapText="1"/>
    </xf>
    <xf numFmtId="0" fontId="7" fillId="0" borderId="45" xfId="0" applyFont="1" applyFill="1" applyBorder="1" applyAlignment="1">
      <alignment vertical="top" wrapText="1"/>
    </xf>
    <xf numFmtId="0" fontId="7" fillId="0" borderId="7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5" xfId="0" applyFont="1" applyFill="1" applyBorder="1" applyAlignment="1">
      <alignment vertical="top" wrapText="1"/>
    </xf>
    <xf numFmtId="0" fontId="9" fillId="4" borderId="0" xfId="0" applyFont="1" applyFill="1" applyAlignment="1">
      <alignment vertical="top"/>
    </xf>
    <xf numFmtId="0" fontId="9" fillId="0" borderId="101" xfId="0" applyNumberFormat="1" applyFont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 wrapText="1"/>
    </xf>
    <xf numFmtId="0" fontId="9" fillId="0" borderId="16" xfId="0" applyFont="1" applyBorder="1" applyAlignment="1">
      <alignment vertical="top"/>
    </xf>
    <xf numFmtId="0" fontId="9" fillId="0" borderId="53" xfId="0" applyFont="1" applyBorder="1" applyAlignment="1">
      <alignment vertical="top"/>
    </xf>
    <xf numFmtId="0" fontId="9" fillId="0" borderId="83" xfId="0" applyFont="1" applyBorder="1" applyAlignment="1">
      <alignment vertical="top"/>
    </xf>
    <xf numFmtId="0" fontId="9" fillId="4" borderId="89" xfId="0" applyFont="1" applyFill="1" applyBorder="1" applyAlignment="1">
      <alignment horizontal="center" vertical="top"/>
    </xf>
    <xf numFmtId="0" fontId="9" fillId="0" borderId="87" xfId="0" applyFont="1" applyBorder="1" applyAlignment="1">
      <alignment vertical="top"/>
    </xf>
    <xf numFmtId="0" fontId="9" fillId="0" borderId="1" xfId="0" applyFont="1" applyFill="1" applyBorder="1" applyAlignment="1">
      <alignment horizontal="center" vertical="top" wrapText="1"/>
    </xf>
    <xf numFmtId="49" fontId="11" fillId="4" borderId="19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0" fontId="9" fillId="4" borderId="44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vertical="top"/>
    </xf>
    <xf numFmtId="0" fontId="9" fillId="4" borderId="17" xfId="0" applyFont="1" applyFill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9" fillId="4" borderId="95" xfId="0" applyFont="1" applyFill="1" applyBorder="1" applyAlignment="1">
      <alignment horizontal="left" vertical="top" wrapText="1"/>
    </xf>
    <xf numFmtId="0" fontId="9" fillId="4" borderId="93" xfId="0" applyFont="1" applyFill="1" applyBorder="1" applyAlignment="1">
      <alignment horizontal="center" vertical="top"/>
    </xf>
    <xf numFmtId="0" fontId="9" fillId="0" borderId="96" xfId="0" applyFont="1" applyBorder="1" applyAlignment="1">
      <alignment vertical="top"/>
    </xf>
    <xf numFmtId="0" fontId="9" fillId="0" borderId="94" xfId="0" applyFont="1" applyBorder="1" applyAlignment="1">
      <alignment vertical="top"/>
    </xf>
    <xf numFmtId="0" fontId="9" fillId="4" borderId="49" xfId="0" applyFont="1" applyFill="1" applyBorder="1" applyAlignment="1">
      <alignment horizontal="center" vertical="top"/>
    </xf>
    <xf numFmtId="0" fontId="9" fillId="0" borderId="38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4" fillId="8" borderId="10" xfId="0" applyFont="1" applyFill="1" applyBorder="1" applyAlignment="1">
      <alignment horizontal="center" vertical="top"/>
    </xf>
    <xf numFmtId="49" fontId="9" fillId="4" borderId="105" xfId="0" applyNumberFormat="1" applyFont="1" applyFill="1" applyBorder="1" applyAlignment="1">
      <alignment horizontal="center" vertical="top"/>
    </xf>
    <xf numFmtId="49" fontId="9" fillId="4" borderId="103" xfId="0" applyNumberFormat="1" applyFont="1" applyFill="1" applyBorder="1" applyAlignment="1">
      <alignment horizontal="center" vertical="top"/>
    </xf>
    <xf numFmtId="0" fontId="7" fillId="0" borderId="91" xfId="0" applyFont="1" applyFill="1" applyBorder="1" applyAlignment="1">
      <alignment horizontal="center" vertical="top"/>
    </xf>
    <xf numFmtId="0" fontId="7" fillId="0" borderId="104" xfId="0" applyFont="1" applyFill="1" applyBorder="1" applyAlignment="1">
      <alignment horizontal="center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77" xfId="0" applyNumberFormat="1" applyFont="1" applyBorder="1" applyAlignment="1">
      <alignment horizontal="right" vertical="top"/>
    </xf>
    <xf numFmtId="3" fontId="9" fillId="4" borderId="4" xfId="0" applyNumberFormat="1" applyFont="1" applyFill="1" applyBorder="1" applyAlignment="1">
      <alignment horizontal="right" vertical="top"/>
    </xf>
    <xf numFmtId="3" fontId="9" fillId="4" borderId="54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 vertical="top"/>
    </xf>
    <xf numFmtId="3" fontId="9" fillId="4" borderId="59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vertical="top"/>
    </xf>
    <xf numFmtId="3" fontId="11" fillId="2" borderId="3" xfId="0" applyNumberFormat="1" applyFont="1" applyFill="1" applyBorder="1" applyAlignment="1">
      <alignment vertical="top"/>
    </xf>
    <xf numFmtId="3" fontId="11" fillId="2" borderId="98" xfId="0" applyNumberFormat="1" applyFont="1" applyFill="1" applyBorder="1" applyAlignment="1">
      <alignment vertical="top"/>
    </xf>
    <xf numFmtId="0" fontId="9" fillId="0" borderId="23" xfId="0" applyFont="1" applyBorder="1" applyAlignment="1">
      <alignment horizontal="right" vertical="top"/>
    </xf>
    <xf numFmtId="0" fontId="9" fillId="0" borderId="64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/>
    </xf>
    <xf numFmtId="3" fontId="9" fillId="8" borderId="84" xfId="0" applyNumberFormat="1" applyFont="1" applyFill="1" applyBorder="1" applyAlignment="1">
      <alignment horizontal="right" vertical="top"/>
    </xf>
    <xf numFmtId="3" fontId="9" fillId="0" borderId="90" xfId="0" applyNumberFormat="1" applyFont="1" applyBorder="1" applyAlignment="1">
      <alignment horizontal="right" vertical="top"/>
    </xf>
    <xf numFmtId="3" fontId="9" fillId="0" borderId="84" xfId="0" applyNumberFormat="1" applyFont="1" applyBorder="1" applyAlignment="1">
      <alignment horizontal="right" vertical="top"/>
    </xf>
    <xf numFmtId="3" fontId="9" fillId="8" borderId="2" xfId="0" applyNumberFormat="1" applyFont="1" applyFill="1" applyBorder="1" applyAlignment="1">
      <alignment horizontal="right" vertical="top"/>
    </xf>
    <xf numFmtId="3" fontId="9" fillId="0" borderId="73" xfId="0" applyNumberFormat="1" applyFont="1" applyBorder="1" applyAlignment="1">
      <alignment horizontal="right" vertical="top"/>
    </xf>
    <xf numFmtId="3" fontId="9" fillId="8" borderId="4" xfId="0" applyNumberFormat="1" applyFont="1" applyFill="1" applyBorder="1" applyAlignment="1">
      <alignment horizontal="right" vertical="top"/>
    </xf>
    <xf numFmtId="3" fontId="9" fillId="0" borderId="54" xfId="0" applyNumberFormat="1" applyFont="1" applyBorder="1" applyAlignment="1">
      <alignment horizontal="right" vertical="top"/>
    </xf>
    <xf numFmtId="3" fontId="9" fillId="8" borderId="1" xfId="0" applyNumberFormat="1" applyFont="1" applyFill="1" applyBorder="1" applyAlignment="1">
      <alignment horizontal="right" vertical="top"/>
    </xf>
    <xf numFmtId="3" fontId="9" fillId="4" borderId="65" xfId="0" applyNumberFormat="1" applyFont="1" applyFill="1" applyBorder="1" applyAlignment="1">
      <alignment horizontal="right" vertical="top"/>
    </xf>
    <xf numFmtId="3" fontId="11" fillId="8" borderId="10" xfId="0" applyNumberFormat="1" applyFont="1" applyFill="1" applyBorder="1" applyAlignment="1">
      <alignment horizontal="right" vertical="top"/>
    </xf>
    <xf numFmtId="3" fontId="11" fillId="8" borderId="23" xfId="0" applyNumberFormat="1" applyFont="1" applyFill="1" applyBorder="1" applyAlignment="1">
      <alignment horizontal="right" vertical="top"/>
    </xf>
    <xf numFmtId="3" fontId="9" fillId="8" borderId="34" xfId="0" applyNumberFormat="1" applyFont="1" applyFill="1" applyBorder="1" applyAlignment="1">
      <alignment horizontal="right" vertical="top"/>
    </xf>
    <xf numFmtId="3" fontId="9" fillId="0" borderId="11" xfId="0" applyNumberFormat="1" applyFont="1" applyBorder="1" applyAlignment="1">
      <alignment horizontal="right" vertical="top"/>
    </xf>
    <xf numFmtId="3" fontId="9" fillId="0" borderId="12" xfId="0" applyNumberFormat="1" applyFont="1" applyBorder="1" applyAlignment="1">
      <alignment horizontal="right" vertical="top"/>
    </xf>
    <xf numFmtId="3" fontId="11" fillId="8" borderId="21" xfId="0" applyNumberFormat="1" applyFont="1" applyFill="1" applyBorder="1" applyAlignment="1">
      <alignment horizontal="right" vertical="top"/>
    </xf>
    <xf numFmtId="3" fontId="11" fillId="8" borderId="13" xfId="0" applyNumberFormat="1" applyFon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3" fontId="11" fillId="8" borderId="30" xfId="0" applyNumberFormat="1" applyFont="1" applyFill="1" applyBorder="1" applyAlignment="1">
      <alignment horizontal="right" vertical="top"/>
    </xf>
    <xf numFmtId="3" fontId="11" fillId="8" borderId="5" xfId="0" applyNumberFormat="1" applyFont="1" applyFill="1" applyBorder="1" applyAlignment="1">
      <alignment horizontal="right" vertical="top"/>
    </xf>
    <xf numFmtId="3" fontId="9" fillId="8" borderId="45" xfId="0" applyNumberFormat="1" applyFont="1" applyFill="1" applyBorder="1" applyAlignment="1">
      <alignment horizontal="right" vertical="top"/>
    </xf>
    <xf numFmtId="3" fontId="9" fillId="0" borderId="1" xfId="0" applyNumberFormat="1" applyFont="1" applyBorder="1" applyAlignment="1">
      <alignment horizontal="right" vertical="top"/>
    </xf>
    <xf numFmtId="3" fontId="11" fillId="8" borderId="28" xfId="0" applyNumberFormat="1" applyFont="1" applyFill="1" applyBorder="1" applyAlignment="1">
      <alignment horizontal="right" vertical="top"/>
    </xf>
    <xf numFmtId="3" fontId="9" fillId="8" borderId="63" xfId="0" applyNumberFormat="1" applyFont="1" applyFill="1" applyBorder="1" applyAlignment="1">
      <alignment horizontal="right" vertical="top"/>
    </xf>
    <xf numFmtId="3" fontId="9" fillId="8" borderId="78" xfId="0" applyNumberFormat="1" applyFont="1" applyFill="1" applyBorder="1" applyAlignment="1">
      <alignment horizontal="right" vertical="top"/>
    </xf>
    <xf numFmtId="3" fontId="11" fillId="8" borderId="14" xfId="0" applyNumberFormat="1" applyFont="1" applyFill="1" applyBorder="1" applyAlignment="1">
      <alignment horizontal="right" vertical="top"/>
    </xf>
    <xf numFmtId="3" fontId="9" fillId="8" borderId="64" xfId="0" applyNumberFormat="1" applyFont="1" applyFill="1" applyBorder="1" applyAlignment="1">
      <alignment horizontal="right" vertical="top"/>
    </xf>
    <xf numFmtId="3" fontId="9" fillId="0" borderId="15" xfId="0" applyNumberFormat="1" applyFont="1" applyFill="1" applyBorder="1" applyAlignment="1">
      <alignment horizontal="right" vertical="top"/>
    </xf>
    <xf numFmtId="3" fontId="9" fillId="0" borderId="37" xfId="0" applyNumberFormat="1" applyFont="1" applyFill="1" applyBorder="1" applyAlignment="1">
      <alignment horizontal="right" vertical="top"/>
    </xf>
    <xf numFmtId="3" fontId="11" fillId="8" borderId="44" xfId="0" applyNumberFormat="1" applyFont="1" applyFill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top"/>
    </xf>
    <xf numFmtId="3" fontId="9" fillId="8" borderId="58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0" borderId="1" xfId="0" applyNumberFormat="1" applyFont="1" applyFill="1" applyBorder="1" applyAlignment="1">
      <alignment horizontal="right" vertical="top"/>
    </xf>
    <xf numFmtId="3" fontId="9" fillId="8" borderId="65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11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/>
    </xf>
    <xf numFmtId="3" fontId="11" fillId="8" borderId="62" xfId="0" applyNumberFormat="1" applyFont="1" applyFill="1" applyBorder="1" applyAlignment="1">
      <alignment horizontal="right" vertical="top"/>
    </xf>
    <xf numFmtId="3" fontId="11" fillId="2" borderId="21" xfId="0" applyNumberFormat="1" applyFont="1" applyFill="1" applyBorder="1" applyAlignment="1">
      <alignment horizontal="right" vertical="top"/>
    </xf>
    <xf numFmtId="3" fontId="7" fillId="8" borderId="33" xfId="0" applyNumberFormat="1" applyFont="1" applyFill="1" applyBorder="1" applyAlignment="1">
      <alignment horizontal="right" vertical="top"/>
    </xf>
    <xf numFmtId="3" fontId="7" fillId="0" borderId="1" xfId="0" applyNumberFormat="1" applyFont="1" applyFill="1" applyBorder="1" applyAlignment="1">
      <alignment horizontal="right" vertical="top"/>
    </xf>
    <xf numFmtId="3" fontId="6" fillId="8" borderId="21" xfId="0" applyNumberFormat="1" applyFont="1" applyFill="1" applyBorder="1" applyAlignment="1">
      <alignment horizontal="right" vertical="top"/>
    </xf>
    <xf numFmtId="0" fontId="5" fillId="3" borderId="83" xfId="0" applyFont="1" applyFill="1" applyBorder="1" applyAlignment="1">
      <alignment horizontal="center" vertical="top"/>
    </xf>
    <xf numFmtId="0" fontId="5" fillId="3" borderId="87" xfId="0" applyFont="1" applyFill="1" applyBorder="1" applyAlignment="1">
      <alignment horizontal="center" vertical="top"/>
    </xf>
    <xf numFmtId="3" fontId="9" fillId="8" borderId="64" xfId="0" applyNumberFormat="1" applyFont="1" applyFill="1" applyBorder="1" applyAlignment="1">
      <alignment horizontal="right" vertical="top" wrapText="1"/>
    </xf>
    <xf numFmtId="3" fontId="3" fillId="4" borderId="12" xfId="0" applyNumberFormat="1" applyFont="1" applyFill="1" applyBorder="1" applyAlignment="1">
      <alignment horizontal="right" vertical="top" wrapText="1"/>
    </xf>
    <xf numFmtId="3" fontId="3" fillId="0" borderId="59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 wrapText="1"/>
    </xf>
    <xf numFmtId="3" fontId="2" fillId="8" borderId="30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/>
    </xf>
    <xf numFmtId="3" fontId="2" fillId="8" borderId="62" xfId="0" applyNumberFormat="1" applyFont="1" applyFill="1" applyBorder="1" applyAlignment="1">
      <alignment horizontal="right" vertical="center"/>
    </xf>
    <xf numFmtId="3" fontId="9" fillId="8" borderId="46" xfId="0" applyNumberFormat="1" applyFont="1" applyFill="1" applyBorder="1" applyAlignment="1">
      <alignment horizontal="right" vertical="top"/>
    </xf>
    <xf numFmtId="3" fontId="3" fillId="0" borderId="74" xfId="0" applyNumberFormat="1" applyFont="1" applyFill="1" applyBorder="1" applyAlignment="1">
      <alignment horizontal="right" vertical="top"/>
    </xf>
    <xf numFmtId="3" fontId="9" fillId="8" borderId="57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right" vertical="center"/>
    </xf>
    <xf numFmtId="3" fontId="2" fillId="8" borderId="5" xfId="0" applyNumberFormat="1" applyFont="1" applyFill="1" applyBorder="1" applyAlignment="1">
      <alignment horizontal="right" vertical="center" wrapText="1"/>
    </xf>
    <xf numFmtId="3" fontId="2" fillId="8" borderId="61" xfId="0" applyNumberFormat="1" applyFont="1" applyFill="1" applyBorder="1" applyAlignment="1">
      <alignment horizontal="right" vertical="center"/>
    </xf>
    <xf numFmtId="3" fontId="9" fillId="0" borderId="65" xfId="0" applyNumberFormat="1" applyFont="1" applyBorder="1" applyAlignment="1">
      <alignment horizontal="right" vertical="top"/>
    </xf>
    <xf numFmtId="3" fontId="9" fillId="0" borderId="57" xfId="0" applyNumberFormat="1" applyFont="1" applyBorder="1" applyAlignment="1">
      <alignment horizontal="right" vertical="top"/>
    </xf>
    <xf numFmtId="3" fontId="3" fillId="8" borderId="12" xfId="0" applyNumberFormat="1" applyFont="1" applyFill="1" applyBorder="1" applyAlignment="1">
      <alignment horizontal="right" vertical="top"/>
    </xf>
    <xf numFmtId="3" fontId="9" fillId="0" borderId="46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top"/>
    </xf>
    <xf numFmtId="3" fontId="11" fillId="8" borderId="47" xfId="0" applyNumberFormat="1" applyFont="1" applyFill="1" applyBorder="1" applyAlignment="1">
      <alignment horizontal="right" vertical="top"/>
    </xf>
    <xf numFmtId="3" fontId="11" fillId="2" borderId="3" xfId="0" applyNumberFormat="1" applyFont="1" applyFill="1" applyBorder="1" applyAlignment="1">
      <alignment horizontal="right" vertical="top"/>
    </xf>
    <xf numFmtId="3" fontId="11" fillId="2" borderId="24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/>
    </xf>
    <xf numFmtId="3" fontId="7" fillId="8" borderId="65" xfId="0" applyNumberFormat="1" applyFont="1" applyFill="1" applyBorder="1" applyAlignment="1">
      <alignment horizontal="right" vertical="top"/>
    </xf>
    <xf numFmtId="3" fontId="9" fillId="4" borderId="2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top"/>
    </xf>
    <xf numFmtId="3" fontId="11" fillId="9" borderId="9" xfId="0" applyNumberFormat="1" applyFont="1" applyFill="1" applyBorder="1" applyAlignment="1">
      <alignment horizontal="right" vertical="top"/>
    </xf>
    <xf numFmtId="3" fontId="11" fillId="9" borderId="3" xfId="0" applyNumberFormat="1" applyFont="1" applyFill="1" applyBorder="1" applyAlignment="1">
      <alignment horizontal="right" vertical="top"/>
    </xf>
    <xf numFmtId="3" fontId="11" fillId="9" borderId="24" xfId="0" applyNumberFormat="1" applyFont="1" applyFill="1" applyBorder="1" applyAlignment="1">
      <alignment horizontal="right" vertical="top"/>
    </xf>
    <xf numFmtId="3" fontId="11" fillId="7" borderId="9" xfId="0" applyNumberFormat="1" applyFont="1" applyFill="1" applyBorder="1" applyAlignment="1">
      <alignment horizontal="right" vertical="top"/>
    </xf>
    <xf numFmtId="3" fontId="11" fillId="7" borderId="24" xfId="0" applyNumberFormat="1" applyFont="1" applyFill="1" applyBorder="1" applyAlignment="1">
      <alignment horizontal="right" vertical="top"/>
    </xf>
    <xf numFmtId="3" fontId="11" fillId="7" borderId="37" xfId="0" applyNumberFormat="1" applyFont="1" applyFill="1" applyBorder="1" applyAlignment="1">
      <alignment horizontal="right" vertical="top" wrapText="1"/>
    </xf>
    <xf numFmtId="3" fontId="9" fillId="8" borderId="8" xfId="0" applyNumberFormat="1" applyFont="1" applyFill="1" applyBorder="1" applyAlignment="1">
      <alignment horizontal="right" vertical="top" wrapText="1"/>
    </xf>
    <xf numFmtId="3" fontId="9" fillId="8" borderId="2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11" fillId="7" borderId="7" xfId="0" applyNumberFormat="1" applyFont="1" applyFill="1" applyBorder="1" applyAlignment="1">
      <alignment horizontal="right" vertical="top" wrapText="1"/>
    </xf>
    <xf numFmtId="3" fontId="11" fillId="7" borderId="4" xfId="0" applyNumberFormat="1" applyFont="1" applyFill="1" applyBorder="1" applyAlignment="1">
      <alignment horizontal="right" vertical="top" wrapText="1"/>
    </xf>
    <xf numFmtId="3" fontId="11" fillId="8" borderId="13" xfId="0" applyNumberFormat="1" applyFont="1" applyFill="1" applyBorder="1" applyAlignment="1">
      <alignment horizontal="right" vertical="top" wrapText="1"/>
    </xf>
    <xf numFmtId="3" fontId="11" fillId="8" borderId="10" xfId="0" applyNumberFormat="1" applyFont="1" applyFill="1" applyBorder="1" applyAlignment="1">
      <alignment horizontal="right" vertical="top" wrapText="1"/>
    </xf>
    <xf numFmtId="3" fontId="9" fillId="8" borderId="12" xfId="0" applyNumberFormat="1" applyFont="1" applyFill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3" fontId="9" fillId="4" borderId="0" xfId="0" applyNumberFormat="1" applyFont="1" applyFill="1" applyBorder="1" applyAlignment="1">
      <alignment horizontal="right" vertical="top"/>
    </xf>
    <xf numFmtId="0" fontId="9" fillId="4" borderId="4" xfId="0" applyFont="1" applyFill="1" applyBorder="1" applyAlignment="1">
      <alignment horizontal="center" vertical="top"/>
    </xf>
    <xf numFmtId="3" fontId="7" fillId="4" borderId="7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3" fontId="7" fillId="8" borderId="64" xfId="0" applyNumberFormat="1" applyFont="1" applyFill="1" applyBorder="1" applyAlignment="1">
      <alignment horizontal="right" vertical="top"/>
    </xf>
    <xf numFmtId="3" fontId="9" fillId="0" borderId="37" xfId="0" applyNumberFormat="1" applyFont="1" applyBorder="1" applyAlignment="1">
      <alignment horizontal="right" vertical="top"/>
    </xf>
    <xf numFmtId="3" fontId="7" fillId="8" borderId="0" xfId="0" applyNumberFormat="1" applyFont="1" applyFill="1" applyBorder="1" applyAlignment="1">
      <alignment horizontal="right" vertical="top"/>
    </xf>
    <xf numFmtId="3" fontId="9" fillId="4" borderId="84" xfId="0" applyNumberFormat="1" applyFont="1" applyFill="1" applyBorder="1" applyAlignment="1">
      <alignment horizontal="right" vertical="top"/>
    </xf>
    <xf numFmtId="3" fontId="9" fillId="4" borderId="12" xfId="0" applyNumberFormat="1" applyFont="1" applyFill="1" applyBorder="1" applyAlignment="1">
      <alignment horizontal="right" vertical="top"/>
    </xf>
    <xf numFmtId="3" fontId="3" fillId="4" borderId="12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3" fontId="7" fillId="4" borderId="1" xfId="0" applyNumberFormat="1" applyFont="1" applyFill="1" applyBorder="1" applyAlignment="1">
      <alignment horizontal="right" vertical="top"/>
    </xf>
    <xf numFmtId="3" fontId="11" fillId="7" borderId="3" xfId="0" applyNumberFormat="1" applyFont="1" applyFill="1" applyBorder="1" applyAlignment="1">
      <alignment horizontal="right" vertical="top"/>
    </xf>
    <xf numFmtId="3" fontId="9" fillId="8" borderId="0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vertical="top"/>
    </xf>
    <xf numFmtId="3" fontId="7" fillId="4" borderId="54" xfId="0" applyNumberFormat="1" applyFont="1" applyFill="1" applyBorder="1" applyAlignment="1">
      <alignment horizontal="right" vertical="top"/>
    </xf>
    <xf numFmtId="3" fontId="11" fillId="8" borderId="61" xfId="0" applyNumberFormat="1" applyFont="1" applyFill="1" applyBorder="1" applyAlignment="1">
      <alignment horizontal="right" vertical="top"/>
    </xf>
    <xf numFmtId="3" fontId="11" fillId="8" borderId="55" xfId="0" applyNumberFormat="1" applyFont="1" applyFill="1" applyBorder="1" applyAlignment="1">
      <alignment horizontal="right" vertical="top"/>
    </xf>
    <xf numFmtId="3" fontId="9" fillId="8" borderId="50" xfId="0" applyNumberFormat="1" applyFont="1" applyFill="1" applyBorder="1" applyAlignment="1">
      <alignment horizontal="right" vertical="top"/>
    </xf>
    <xf numFmtId="3" fontId="11" fillId="8" borderId="7" xfId="0" applyNumberFormat="1" applyFont="1" applyFill="1" applyBorder="1" applyAlignment="1">
      <alignment horizontal="right" vertical="top"/>
    </xf>
    <xf numFmtId="3" fontId="7" fillId="8" borderId="6" xfId="0" applyNumberFormat="1" applyFont="1" applyFill="1" applyBorder="1" applyAlignment="1">
      <alignment horizontal="right" vertical="top"/>
    </xf>
    <xf numFmtId="3" fontId="11" fillId="8" borderId="4" xfId="0" applyNumberFormat="1" applyFont="1" applyFill="1" applyBorder="1" applyAlignment="1">
      <alignment horizontal="right" vertical="top"/>
    </xf>
    <xf numFmtId="164" fontId="9" fillId="4" borderId="45" xfId="0" applyNumberFormat="1" applyFont="1" applyFill="1" applyBorder="1" applyAlignment="1">
      <alignment horizontal="left" vertical="top" wrapText="1"/>
    </xf>
    <xf numFmtId="0" fontId="11" fillId="4" borderId="52" xfId="4" applyNumberFormat="1" applyFont="1" applyFill="1" applyBorder="1" applyAlignment="1">
      <alignment horizontal="center" vertical="top"/>
    </xf>
    <xf numFmtId="0" fontId="7" fillId="4" borderId="43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9" fillId="0" borderId="100" xfId="0" applyFont="1" applyFill="1" applyBorder="1" applyAlignment="1">
      <alignment vertical="top" wrapText="1"/>
    </xf>
    <xf numFmtId="0" fontId="7" fillId="4" borderId="64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/>
    </xf>
    <xf numFmtId="3" fontId="9" fillId="0" borderId="6" xfId="0" applyNumberFormat="1" applyFont="1" applyFill="1" applyBorder="1" applyAlignment="1">
      <alignment horizontal="right" vertical="top"/>
    </xf>
    <xf numFmtId="0" fontId="11" fillId="0" borderId="26" xfId="0" applyFont="1" applyFill="1" applyBorder="1" applyAlignment="1">
      <alignment vertical="top" wrapText="1"/>
    </xf>
    <xf numFmtId="0" fontId="9" fillId="0" borderId="38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3" fontId="9" fillId="0" borderId="0" xfId="0" applyNumberFormat="1" applyFont="1" applyAlignment="1">
      <alignment vertical="top"/>
    </xf>
    <xf numFmtId="3" fontId="7" fillId="8" borderId="15" xfId="0" applyNumberFormat="1" applyFont="1" applyFill="1" applyBorder="1" applyAlignment="1">
      <alignment horizontal="right" vertical="top"/>
    </xf>
    <xf numFmtId="0" fontId="9" fillId="0" borderId="89" xfId="0" applyNumberFormat="1" applyFont="1" applyBorder="1" applyAlignment="1">
      <alignment horizontal="center" vertical="top"/>
    </xf>
    <xf numFmtId="3" fontId="9" fillId="4" borderId="7" xfId="0" applyNumberFormat="1" applyFont="1" applyFill="1" applyBorder="1" applyAlignment="1">
      <alignment horizontal="right" vertical="top"/>
    </xf>
    <xf numFmtId="49" fontId="9" fillId="0" borderId="52" xfId="0" applyNumberFormat="1" applyFont="1" applyBorder="1" applyAlignment="1">
      <alignment horizontal="center" vertical="top"/>
    </xf>
    <xf numFmtId="3" fontId="9" fillId="0" borderId="8" xfId="0" applyNumberFormat="1" applyFont="1" applyFill="1" applyBorder="1" applyAlignment="1">
      <alignment horizontal="right" vertical="top"/>
    </xf>
    <xf numFmtId="3" fontId="9" fillId="0" borderId="7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 wrapText="1"/>
    </xf>
    <xf numFmtId="0" fontId="3" fillId="4" borderId="75" xfId="0" applyFont="1" applyFill="1" applyBorder="1" applyAlignment="1">
      <alignment horizontal="left" vertical="top" wrapText="1"/>
    </xf>
    <xf numFmtId="49" fontId="9" fillId="4" borderId="19" xfId="0" applyNumberFormat="1" applyFont="1" applyFill="1" applyBorder="1" applyAlignment="1">
      <alignment horizontal="center" vertical="top"/>
    </xf>
    <xf numFmtId="0" fontId="9" fillId="4" borderId="64" xfId="0" applyFont="1" applyFill="1" applyBorder="1" applyAlignment="1">
      <alignment vertical="top" wrapText="1"/>
    </xf>
    <xf numFmtId="3" fontId="7" fillId="4" borderId="15" xfId="0" applyNumberFormat="1" applyFont="1" applyFill="1" applyBorder="1" applyAlignment="1">
      <alignment horizontal="right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11" fillId="4" borderId="40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right" vertical="top" wrapText="1"/>
    </xf>
    <xf numFmtId="49" fontId="11" fillId="9" borderId="20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49" fontId="11" fillId="4" borderId="0" xfId="0" applyNumberFormat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>
      <alignment horizontal="center" vertical="top"/>
    </xf>
    <xf numFmtId="3" fontId="9" fillId="8" borderId="11" xfId="0" applyNumberFormat="1" applyFont="1" applyFill="1" applyBorder="1" applyAlignment="1">
      <alignment horizontal="right" vertical="top"/>
    </xf>
    <xf numFmtId="0" fontId="9" fillId="0" borderId="28" xfId="0" applyFont="1" applyBorder="1" applyAlignment="1">
      <alignment vertical="top" wrapText="1"/>
    </xf>
    <xf numFmtId="49" fontId="9" fillId="0" borderId="12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vertical="top"/>
    </xf>
    <xf numFmtId="164" fontId="9" fillId="4" borderId="43" xfId="0" applyNumberFormat="1" applyFont="1" applyFill="1" applyBorder="1" applyAlignment="1">
      <alignment horizontal="center" vertical="center" wrapText="1"/>
    </xf>
    <xf numFmtId="164" fontId="9" fillId="4" borderId="52" xfId="0" applyNumberFormat="1" applyFont="1" applyFill="1" applyBorder="1" applyAlignment="1">
      <alignment horizontal="center" vertical="center" wrapText="1"/>
    </xf>
    <xf numFmtId="3" fontId="9" fillId="0" borderId="68" xfId="0" applyNumberFormat="1" applyFont="1" applyFill="1" applyBorder="1" applyAlignment="1">
      <alignment horizontal="right" vertical="top"/>
    </xf>
    <xf numFmtId="3" fontId="9" fillId="0" borderId="68" xfId="0" applyNumberFormat="1" applyFont="1" applyBorder="1" applyAlignment="1">
      <alignment horizontal="right" vertical="top"/>
    </xf>
    <xf numFmtId="3" fontId="9" fillId="0" borderId="59" xfId="0" applyNumberFormat="1" applyFont="1" applyBorder="1" applyAlignment="1">
      <alignment horizontal="right" vertical="top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11" fillId="8" borderId="69" xfId="0" applyNumberFormat="1" applyFont="1" applyFill="1" applyBorder="1" applyAlignment="1">
      <alignment horizontal="right" vertical="top"/>
    </xf>
    <xf numFmtId="3" fontId="9" fillId="4" borderId="8" xfId="0" applyNumberFormat="1" applyFont="1" applyFill="1" applyBorder="1" applyAlignment="1">
      <alignment horizontal="right" vertical="top" wrapText="1"/>
    </xf>
    <xf numFmtId="0" fontId="9" fillId="0" borderId="52" xfId="0" applyFont="1" applyBorder="1" applyAlignment="1">
      <alignment vertical="top"/>
    </xf>
    <xf numFmtId="0" fontId="9" fillId="4" borderId="33" xfId="0" applyFont="1" applyFill="1" applyBorder="1" applyAlignment="1">
      <alignment horizontal="left" vertical="top" wrapText="1"/>
    </xf>
    <xf numFmtId="164" fontId="9" fillId="4" borderId="34" xfId="0" applyNumberFormat="1" applyFont="1" applyFill="1" applyBorder="1" applyAlignment="1">
      <alignment horizontal="center" vertical="center" wrapText="1"/>
    </xf>
    <xf numFmtId="164" fontId="9" fillId="4" borderId="35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top" wrapText="1"/>
    </xf>
    <xf numFmtId="3" fontId="11" fillId="7" borderId="15" xfId="0" applyNumberFormat="1" applyFont="1" applyFill="1" applyBorder="1" applyAlignment="1">
      <alignment horizontal="right"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0" fontId="9" fillId="4" borderId="28" xfId="0" applyFont="1" applyFill="1" applyBorder="1" applyAlignment="1">
      <alignment vertical="top"/>
    </xf>
    <xf numFmtId="0" fontId="9" fillId="4" borderId="19" xfId="0" applyFont="1" applyFill="1" applyBorder="1" applyAlignment="1">
      <alignment horizontal="center" vertical="top"/>
    </xf>
    <xf numFmtId="0" fontId="9" fillId="0" borderId="106" xfId="0" applyFont="1" applyFill="1" applyBorder="1" applyAlignment="1">
      <alignment horizontal="center" vertical="top" wrapText="1"/>
    </xf>
    <xf numFmtId="3" fontId="9" fillId="8" borderId="107" xfId="0" applyNumberFormat="1" applyFont="1" applyFill="1" applyBorder="1" applyAlignment="1">
      <alignment horizontal="right" vertical="top"/>
    </xf>
    <xf numFmtId="3" fontId="9" fillId="4" borderId="106" xfId="0" applyNumberFormat="1" applyFont="1" applyFill="1" applyBorder="1" applyAlignment="1">
      <alignment horizontal="right" vertical="top"/>
    </xf>
    <xf numFmtId="3" fontId="9" fillId="4" borderId="108" xfId="0" applyNumberFormat="1" applyFont="1" applyFill="1" applyBorder="1" applyAlignment="1">
      <alignment horizontal="right" vertical="top"/>
    </xf>
    <xf numFmtId="0" fontId="9" fillId="0" borderId="92" xfId="0" applyFont="1" applyFill="1" applyBorder="1" applyAlignment="1">
      <alignment horizontal="center" vertical="top" wrapText="1"/>
    </xf>
    <xf numFmtId="3" fontId="9" fillId="4" borderId="92" xfId="0" applyNumberFormat="1" applyFont="1" applyFill="1" applyBorder="1" applyAlignment="1">
      <alignment horizontal="right" vertical="top"/>
    </xf>
    <xf numFmtId="3" fontId="9" fillId="4" borderId="109" xfId="0" applyNumberFormat="1" applyFont="1" applyFill="1" applyBorder="1" applyAlignment="1">
      <alignment horizontal="right" vertical="top"/>
    </xf>
    <xf numFmtId="3" fontId="9" fillId="8" borderId="11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 wrapText="1"/>
    </xf>
    <xf numFmtId="3" fontId="9" fillId="8" borderId="92" xfId="0" applyNumberFormat="1" applyFont="1" applyFill="1" applyBorder="1" applyAlignment="1">
      <alignment horizontal="right" vertical="top"/>
    </xf>
    <xf numFmtId="3" fontId="9" fillId="0" borderId="59" xfId="0" applyNumberFormat="1" applyFont="1" applyFill="1" applyBorder="1" applyAlignment="1">
      <alignment horizontal="right" vertical="top"/>
    </xf>
    <xf numFmtId="3" fontId="9" fillId="4" borderId="73" xfId="0" applyNumberFormat="1" applyFont="1" applyFill="1" applyBorder="1" applyAlignment="1">
      <alignment horizontal="right" vertical="top"/>
    </xf>
    <xf numFmtId="49" fontId="11" fillId="9" borderId="33" xfId="0" applyNumberFormat="1" applyFont="1" applyFill="1" applyBorder="1" applyAlignment="1">
      <alignment horizontal="left" vertical="top"/>
    </xf>
    <xf numFmtId="49" fontId="11" fillId="2" borderId="50" xfId="0" applyNumberFormat="1" applyFont="1" applyFill="1" applyBorder="1" applyAlignment="1">
      <alignment horizontal="left" vertical="top"/>
    </xf>
    <xf numFmtId="0" fontId="9" fillId="4" borderId="43" xfId="0" applyFont="1" applyFill="1" applyBorder="1" applyAlignment="1">
      <alignment vertical="top" wrapText="1"/>
    </xf>
    <xf numFmtId="49" fontId="11" fillId="4" borderId="0" xfId="0" applyNumberFormat="1" applyFont="1" applyFill="1" applyBorder="1" applyAlignment="1">
      <alignment horizontal="center" vertical="top"/>
    </xf>
    <xf numFmtId="3" fontId="28" fillId="7" borderId="15" xfId="0" applyNumberFormat="1" applyFont="1" applyFill="1" applyBorder="1" applyAlignment="1">
      <alignment horizontal="right" vertical="top" wrapText="1"/>
    </xf>
    <xf numFmtId="3" fontId="21" fillId="8" borderId="2" xfId="0" applyNumberFormat="1" applyFont="1" applyFill="1" applyBorder="1" applyAlignment="1">
      <alignment horizontal="right" vertical="top" wrapText="1"/>
    </xf>
    <xf numFmtId="3" fontId="21" fillId="0" borderId="2" xfId="0" applyNumberFormat="1" applyFont="1" applyFill="1" applyBorder="1" applyAlignment="1">
      <alignment horizontal="right" vertical="top" wrapText="1"/>
    </xf>
    <xf numFmtId="3" fontId="21" fillId="4" borderId="2" xfId="0" applyNumberFormat="1" applyFont="1" applyFill="1" applyBorder="1" applyAlignment="1">
      <alignment horizontal="right" vertical="top" wrapText="1"/>
    </xf>
    <xf numFmtId="3" fontId="28" fillId="7" borderId="4" xfId="0" applyNumberFormat="1" applyFont="1" applyFill="1" applyBorder="1" applyAlignment="1">
      <alignment horizontal="right" vertical="top" wrapText="1"/>
    </xf>
    <xf numFmtId="3" fontId="28" fillId="8" borderId="10" xfId="0" applyNumberFormat="1" applyFont="1" applyFill="1" applyBorder="1" applyAlignment="1">
      <alignment horizontal="right" vertical="top" wrapText="1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3" fontId="9" fillId="4" borderId="111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 wrapText="1"/>
    </xf>
    <xf numFmtId="3" fontId="9" fillId="4" borderId="6" xfId="0" applyNumberFormat="1" applyFont="1" applyFill="1" applyBorder="1" applyAlignment="1">
      <alignment horizontal="right" vertical="top"/>
    </xf>
    <xf numFmtId="3" fontId="3" fillId="4" borderId="11" xfId="0" applyNumberFormat="1" applyFont="1" applyFill="1" applyBorder="1" applyAlignment="1">
      <alignment horizontal="right" vertical="top"/>
    </xf>
    <xf numFmtId="3" fontId="3" fillId="4" borderId="6" xfId="0" applyNumberFormat="1" applyFont="1" applyFill="1" applyBorder="1" applyAlignment="1">
      <alignment horizontal="right" vertical="top"/>
    </xf>
    <xf numFmtId="3" fontId="9" fillId="4" borderId="11" xfId="0" applyNumberFormat="1" applyFont="1" applyFill="1" applyBorder="1" applyAlignment="1">
      <alignment horizontal="right" vertical="top"/>
    </xf>
    <xf numFmtId="3" fontId="3" fillId="0" borderId="12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3" fontId="21" fillId="0" borderId="8" xfId="0" applyNumberFormat="1" applyFont="1" applyBorder="1" applyAlignment="1">
      <alignment horizontal="right" vertical="top"/>
    </xf>
    <xf numFmtId="0" fontId="9" fillId="0" borderId="43" xfId="0" applyFont="1" applyBorder="1" applyAlignment="1">
      <alignment horizontal="center" vertical="top"/>
    </xf>
    <xf numFmtId="3" fontId="3" fillId="8" borderId="11" xfId="0" applyNumberFormat="1" applyFont="1" applyFill="1" applyBorder="1" applyAlignment="1">
      <alignment horizontal="right" vertical="top"/>
    </xf>
    <xf numFmtId="0" fontId="9" fillId="0" borderId="20" xfId="0" applyFont="1" applyBorder="1" applyAlignment="1">
      <alignment vertical="top" wrapText="1"/>
    </xf>
    <xf numFmtId="0" fontId="9" fillId="0" borderId="41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3" fontId="9" fillId="4" borderId="112" xfId="0" applyNumberFormat="1" applyFont="1" applyFill="1" applyBorder="1" applyAlignment="1">
      <alignment horizontal="right" vertical="top"/>
    </xf>
    <xf numFmtId="3" fontId="9" fillId="8" borderId="112" xfId="0" applyNumberFormat="1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49" fontId="11" fillId="2" borderId="31" xfId="0" applyNumberFormat="1" applyFont="1" applyFill="1" applyBorder="1" applyAlignment="1">
      <alignment vertical="top"/>
    </xf>
    <xf numFmtId="0" fontId="9" fillId="4" borderId="29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9" fillId="4" borderId="10" xfId="0" applyFont="1" applyFill="1" applyBorder="1" applyAlignment="1">
      <alignment horizontal="center" vertical="top"/>
    </xf>
    <xf numFmtId="3" fontId="9" fillId="8" borderId="75" xfId="0" applyNumberFormat="1" applyFont="1" applyFill="1" applyBorder="1" applyAlignment="1">
      <alignment horizontal="right" vertical="top"/>
    </xf>
    <xf numFmtId="3" fontId="7" fillId="4" borderId="13" xfId="0" applyNumberFormat="1" applyFont="1" applyFill="1" applyBorder="1" applyAlignment="1">
      <alignment horizontal="right" vertical="top"/>
    </xf>
    <xf numFmtId="3" fontId="7" fillId="4" borderId="10" xfId="0" applyNumberFormat="1" applyFont="1" applyFill="1" applyBorder="1" applyAlignment="1">
      <alignment horizontal="right" vertical="top"/>
    </xf>
    <xf numFmtId="0" fontId="9" fillId="0" borderId="62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/>
    </xf>
    <xf numFmtId="0" fontId="9" fillId="4" borderId="26" xfId="0" applyFont="1" applyFill="1" applyBorder="1" applyAlignment="1">
      <alignment vertical="top" wrapText="1"/>
    </xf>
    <xf numFmtId="0" fontId="7" fillId="4" borderId="40" xfId="0" applyFont="1" applyFill="1" applyBorder="1" applyAlignment="1">
      <alignment vertical="top" wrapText="1"/>
    </xf>
    <xf numFmtId="0" fontId="11" fillId="4" borderId="41" xfId="4" applyNumberFormat="1" applyFont="1" applyFill="1" applyBorder="1" applyAlignment="1">
      <alignment horizontal="center" vertical="top"/>
    </xf>
    <xf numFmtId="0" fontId="9" fillId="4" borderId="15" xfId="0" applyFont="1" applyFill="1" applyBorder="1" applyAlignment="1">
      <alignment horizontal="center" vertical="top"/>
    </xf>
    <xf numFmtId="3" fontId="9" fillId="8" borderId="76" xfId="0" applyNumberFormat="1" applyFont="1" applyFill="1" applyBorder="1" applyAlignment="1">
      <alignment horizontal="right" vertical="top"/>
    </xf>
    <xf numFmtId="3" fontId="9" fillId="0" borderId="15" xfId="0" applyNumberFormat="1" applyFont="1" applyBorder="1" applyAlignment="1">
      <alignment horizontal="right" vertical="top"/>
    </xf>
    <xf numFmtId="0" fontId="9" fillId="0" borderId="63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3" fontId="9" fillId="0" borderId="46" xfId="0" applyNumberFormat="1" applyFont="1" applyBorder="1" applyAlignment="1">
      <alignment horizontal="right" vertical="top"/>
    </xf>
    <xf numFmtId="3" fontId="9" fillId="0" borderId="92" xfId="0" applyNumberFormat="1" applyFont="1" applyBorder="1" applyAlignment="1">
      <alignment horizontal="right" vertical="top"/>
    </xf>
    <xf numFmtId="0" fontId="7" fillId="0" borderId="34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 vertical="top"/>
    </xf>
    <xf numFmtId="0" fontId="11" fillId="8" borderId="5" xfId="0" applyFont="1" applyFill="1" applyBorder="1" applyAlignment="1">
      <alignment horizontal="center" vertical="top" wrapText="1"/>
    </xf>
    <xf numFmtId="49" fontId="11" fillId="0" borderId="31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 wrapText="1"/>
    </xf>
    <xf numFmtId="3" fontId="9" fillId="8" borderId="23" xfId="0" applyNumberFormat="1" applyFont="1" applyFill="1" applyBorder="1" applyAlignment="1">
      <alignment horizontal="right" vertical="top" wrapText="1"/>
    </xf>
    <xf numFmtId="3" fontId="9" fillId="4" borderId="13" xfId="0" applyNumberFormat="1" applyFont="1" applyFill="1" applyBorder="1" applyAlignment="1">
      <alignment horizontal="right" vertical="top" wrapText="1"/>
    </xf>
    <xf numFmtId="0" fontId="9" fillId="4" borderId="32" xfId="0" applyNumberFormat="1" applyFont="1" applyFill="1" applyBorder="1" applyAlignment="1">
      <alignment horizontal="center" vertical="top"/>
    </xf>
    <xf numFmtId="3" fontId="9" fillId="4" borderId="10" xfId="0" applyNumberFormat="1" applyFont="1" applyFill="1" applyBorder="1" applyAlignment="1">
      <alignment horizontal="right" vertical="top"/>
    </xf>
    <xf numFmtId="3" fontId="9" fillId="4" borderId="55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/>
    </xf>
    <xf numFmtId="0" fontId="29" fillId="4" borderId="31" xfId="0" applyFont="1" applyFill="1" applyBorder="1" applyAlignment="1"/>
    <xf numFmtId="3" fontId="21" fillId="4" borderId="12" xfId="0" applyNumberFormat="1" applyFont="1" applyFill="1" applyBorder="1" applyAlignment="1">
      <alignment vertical="top"/>
    </xf>
    <xf numFmtId="0" fontId="21" fillId="0" borderId="4" xfId="0" applyFont="1" applyBorder="1" applyAlignment="1">
      <alignment vertical="top"/>
    </xf>
    <xf numFmtId="3" fontId="9" fillId="0" borderId="43" xfId="0" applyNumberFormat="1" applyFont="1" applyBorder="1" applyAlignment="1">
      <alignment horizontal="center" vertical="top"/>
    </xf>
    <xf numFmtId="3" fontId="9" fillId="4" borderId="43" xfId="0" applyNumberFormat="1" applyFont="1" applyFill="1" applyBorder="1" applyAlignment="1">
      <alignment horizontal="center" vertical="top"/>
    </xf>
    <xf numFmtId="3" fontId="9" fillId="4" borderId="12" xfId="0" applyNumberFormat="1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3" fontId="9" fillId="8" borderId="12" xfId="0" applyNumberFormat="1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horizontal="right" vertical="top"/>
    </xf>
    <xf numFmtId="3" fontId="21" fillId="4" borderId="59" xfId="0" applyNumberFormat="1" applyFont="1" applyFill="1" applyBorder="1" applyAlignment="1">
      <alignment horizontal="right" vertical="top"/>
    </xf>
    <xf numFmtId="3" fontId="28" fillId="8" borderId="10" xfId="0" applyNumberFormat="1" applyFont="1" applyFill="1" applyBorder="1" applyAlignment="1">
      <alignment horizontal="right" vertical="top"/>
    </xf>
    <xf numFmtId="3" fontId="21" fillId="4" borderId="92" xfId="0" applyNumberFormat="1" applyFont="1" applyFill="1" applyBorder="1" applyAlignment="1">
      <alignment horizontal="right" vertical="top"/>
    </xf>
    <xf numFmtId="3" fontId="28" fillId="2" borderId="67" xfId="0" applyNumberFormat="1" applyFont="1" applyFill="1" applyBorder="1" applyAlignment="1">
      <alignment horizontal="right" vertical="top"/>
    </xf>
    <xf numFmtId="3" fontId="28" fillId="9" borderId="67" xfId="0" applyNumberFormat="1" applyFont="1" applyFill="1" applyBorder="1" applyAlignment="1">
      <alignment horizontal="right" vertical="top"/>
    </xf>
    <xf numFmtId="3" fontId="28" fillId="7" borderId="67" xfId="0" applyNumberFormat="1" applyFont="1" applyFill="1" applyBorder="1" applyAlignment="1">
      <alignment horizontal="right" vertical="top"/>
    </xf>
    <xf numFmtId="3" fontId="21" fillId="0" borderId="7" xfId="0" applyNumberFormat="1" applyFont="1" applyBorder="1" applyAlignment="1">
      <alignment horizontal="right" vertical="top"/>
    </xf>
    <xf numFmtId="3" fontId="21" fillId="0" borderId="11" xfId="0" applyNumberFormat="1" applyFont="1" applyBorder="1" applyAlignment="1">
      <alignment horizontal="right" vertical="top"/>
    </xf>
    <xf numFmtId="0" fontId="21" fillId="0" borderId="12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3" fontId="30" fillId="0" borderId="12" xfId="0" applyNumberFormat="1" applyFont="1" applyFill="1" applyBorder="1" applyAlignment="1">
      <alignment horizontal="right" vertical="top"/>
    </xf>
    <xf numFmtId="3" fontId="30" fillId="0" borderId="1" xfId="0" applyNumberFormat="1" applyFont="1" applyFill="1" applyBorder="1" applyAlignment="1">
      <alignment horizontal="right" vertical="top"/>
    </xf>
    <xf numFmtId="3" fontId="31" fillId="8" borderId="5" xfId="0" applyNumberFormat="1" applyFont="1" applyFill="1" applyBorder="1" applyAlignment="1">
      <alignment horizontal="right" vertical="center"/>
    </xf>
    <xf numFmtId="3" fontId="21" fillId="0" borderId="2" xfId="0" applyNumberFormat="1" applyFont="1" applyBorder="1" applyAlignment="1">
      <alignment horizontal="right" vertical="top"/>
    </xf>
    <xf numFmtId="3" fontId="21" fillId="0" borderId="12" xfId="0" applyNumberFormat="1" applyFont="1" applyBorder="1" applyAlignment="1">
      <alignment horizontal="right" vertical="top"/>
    </xf>
    <xf numFmtId="3" fontId="28" fillId="8" borderId="5" xfId="0" applyNumberFormat="1" applyFont="1" applyFill="1" applyBorder="1" applyAlignment="1">
      <alignment horizontal="right" vertical="top"/>
    </xf>
    <xf numFmtId="3" fontId="21" fillId="0" borderId="59" xfId="0" applyNumberFormat="1" applyFont="1" applyBorder="1" applyAlignment="1">
      <alignment horizontal="right" vertical="top"/>
    </xf>
    <xf numFmtId="3" fontId="21" fillId="0" borderId="84" xfId="0" applyNumberFormat="1" applyFont="1" applyBorder="1" applyAlignment="1">
      <alignment horizontal="right" vertical="top"/>
    </xf>
    <xf numFmtId="3" fontId="21" fillId="4" borderId="74" xfId="0" applyNumberFormat="1" applyFont="1" applyFill="1" applyBorder="1" applyAlignment="1">
      <alignment horizontal="right" vertical="top"/>
    </xf>
    <xf numFmtId="3" fontId="21" fillId="4" borderId="54" xfId="0" applyNumberFormat="1" applyFont="1" applyFill="1" applyBorder="1" applyAlignment="1">
      <alignment horizontal="right" vertical="top"/>
    </xf>
    <xf numFmtId="3" fontId="28" fillId="8" borderId="61" xfId="0" applyNumberFormat="1" applyFont="1" applyFill="1" applyBorder="1" applyAlignment="1">
      <alignment horizontal="right" vertical="top"/>
    </xf>
    <xf numFmtId="0" fontId="1" fillId="0" borderId="29" xfId="0" applyFont="1" applyBorder="1" applyAlignment="1">
      <alignment vertical="top"/>
    </xf>
    <xf numFmtId="3" fontId="21" fillId="0" borderId="54" xfId="0" applyNumberFormat="1" applyFont="1" applyBorder="1" applyAlignment="1">
      <alignment horizontal="right" vertical="top"/>
    </xf>
    <xf numFmtId="3" fontId="21" fillId="0" borderId="74" xfId="0" applyNumberFormat="1" applyFont="1" applyFill="1" applyBorder="1" applyAlignment="1">
      <alignment horizontal="right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0" fontId="9" fillId="4" borderId="16" xfId="0" applyFont="1" applyFill="1" applyBorder="1" applyAlignment="1">
      <alignment vertical="top" wrapText="1"/>
    </xf>
    <xf numFmtId="0" fontId="9" fillId="4" borderId="34" xfId="0" applyFont="1" applyFill="1" applyBorder="1" applyAlignment="1">
      <alignment vertical="top" wrapText="1"/>
    </xf>
    <xf numFmtId="49" fontId="11" fillId="4" borderId="40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vertical="top" wrapText="1"/>
    </xf>
    <xf numFmtId="49" fontId="11" fillId="4" borderId="43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  <xf numFmtId="49" fontId="11" fillId="9" borderId="28" xfId="0" applyNumberFormat="1" applyFont="1" applyFill="1" applyBorder="1" applyAlignment="1">
      <alignment horizontal="center" vertical="top"/>
    </xf>
    <xf numFmtId="49" fontId="11" fillId="2" borderId="19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9" borderId="20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8" borderId="13" xfId="0" applyFont="1" applyFill="1" applyBorder="1" applyAlignment="1">
      <alignment horizontal="right" vertical="top" wrapText="1"/>
    </xf>
    <xf numFmtId="0" fontId="9" fillId="0" borderId="34" xfId="0" applyFont="1" applyBorder="1" applyAlignment="1">
      <alignment vertical="top" wrapText="1"/>
    </xf>
    <xf numFmtId="0" fontId="9" fillId="4" borderId="34" xfId="0" applyFont="1" applyFill="1" applyBorder="1" applyAlignment="1">
      <alignment vertical="top" wrapText="1"/>
    </xf>
    <xf numFmtId="0" fontId="11" fillId="4" borderId="40" xfId="0" applyFont="1" applyFill="1" applyBorder="1" applyAlignment="1">
      <alignment horizontal="left" vertical="top" wrapText="1"/>
    </xf>
    <xf numFmtId="0" fontId="11" fillId="0" borderId="52" xfId="4" applyNumberFormat="1" applyFont="1" applyBorder="1" applyAlignment="1">
      <alignment horizontal="center" vertical="top"/>
    </xf>
    <xf numFmtId="3" fontId="28" fillId="2" borderId="3" xfId="0" applyNumberFormat="1" applyFont="1" applyFill="1" applyBorder="1" applyAlignment="1">
      <alignment vertical="top"/>
    </xf>
    <xf numFmtId="0" fontId="9" fillId="0" borderId="54" xfId="0" applyFont="1" applyBorder="1" applyAlignment="1">
      <alignment vertical="top"/>
    </xf>
    <xf numFmtId="0" fontId="10" fillId="0" borderId="54" xfId="0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69" xfId="0" applyFont="1" applyBorder="1" applyAlignment="1">
      <alignment vertical="top"/>
    </xf>
    <xf numFmtId="3" fontId="28" fillId="8" borderId="14" xfId="0" applyNumberFormat="1" applyFont="1" applyFill="1" applyBorder="1" applyAlignment="1">
      <alignment horizontal="right" vertical="top"/>
    </xf>
    <xf numFmtId="3" fontId="9" fillId="8" borderId="114" xfId="0" applyNumberFormat="1" applyFont="1" applyFill="1" applyBorder="1" applyAlignment="1">
      <alignment horizontal="right" vertical="top"/>
    </xf>
    <xf numFmtId="3" fontId="9" fillId="0" borderId="55" xfId="0" applyNumberFormat="1" applyFont="1" applyBorder="1" applyAlignment="1">
      <alignment horizontal="right" vertical="top"/>
    </xf>
    <xf numFmtId="3" fontId="6" fillId="8" borderId="13" xfId="0" applyNumberFormat="1" applyFont="1" applyFill="1" applyBorder="1" applyAlignment="1">
      <alignment horizontal="right" vertical="top"/>
    </xf>
    <xf numFmtId="3" fontId="6" fillId="8" borderId="10" xfId="0" applyNumberFormat="1" applyFont="1" applyFill="1" applyBorder="1" applyAlignment="1">
      <alignment horizontal="right" vertical="top"/>
    </xf>
    <xf numFmtId="0" fontId="11" fillId="0" borderId="34" xfId="0" applyFont="1" applyFill="1" applyBorder="1" applyAlignment="1">
      <alignment vertical="top" wrapText="1"/>
    </xf>
    <xf numFmtId="3" fontId="9" fillId="8" borderId="6" xfId="0" applyNumberFormat="1" applyFont="1" applyFill="1" applyBorder="1" applyAlignment="1">
      <alignment horizontal="right" vertical="top"/>
    </xf>
    <xf numFmtId="0" fontId="9" fillId="0" borderId="15" xfId="0" applyFont="1" applyBorder="1" applyAlignment="1">
      <alignment vertical="top"/>
    </xf>
    <xf numFmtId="3" fontId="11" fillId="2" borderId="10" xfId="0" applyNumberFormat="1" applyFont="1" applyFill="1" applyBorder="1" applyAlignment="1">
      <alignment horizontal="right" vertical="top"/>
    </xf>
    <xf numFmtId="3" fontId="28" fillId="2" borderId="10" xfId="0" applyNumberFormat="1" applyFont="1" applyFill="1" applyBorder="1" applyAlignment="1">
      <alignment horizontal="right" vertical="top"/>
    </xf>
    <xf numFmtId="0" fontId="9" fillId="0" borderId="68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17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49" fontId="11" fillId="9" borderId="20" xfId="0" applyNumberFormat="1" applyFont="1" applyFill="1" applyBorder="1" applyAlignment="1">
      <alignment horizontal="center" vertical="top"/>
    </xf>
    <xf numFmtId="49" fontId="11" fillId="9" borderId="28" xfId="0" applyNumberFormat="1" applyFont="1" applyFill="1" applyBorder="1" applyAlignment="1">
      <alignment horizontal="center" vertical="top"/>
    </xf>
    <xf numFmtId="49" fontId="11" fillId="9" borderId="21" xfId="0" applyNumberFormat="1" applyFont="1" applyFill="1" applyBorder="1" applyAlignment="1">
      <alignment horizontal="center" vertical="top"/>
    </xf>
    <xf numFmtId="49" fontId="11" fillId="2" borderId="40" xfId="0" applyNumberFormat="1" applyFont="1" applyFill="1" applyBorder="1" applyAlignment="1">
      <alignment horizontal="center" vertical="top"/>
    </xf>
    <xf numFmtId="49" fontId="11" fillId="2" borderId="43" xfId="0" applyNumberFormat="1" applyFont="1" applyFill="1" applyBorder="1" applyAlignment="1">
      <alignment horizontal="center" vertical="top"/>
    </xf>
    <xf numFmtId="49" fontId="11" fillId="2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3" fontId="11" fillId="0" borderId="34" xfId="0" applyNumberFormat="1" applyFont="1" applyFill="1" applyBorder="1" applyAlignment="1">
      <alignment horizontal="left" vertical="top" wrapText="1"/>
    </xf>
    <xf numFmtId="3" fontId="11" fillId="0" borderId="43" xfId="0" applyNumberFormat="1" applyFont="1" applyFill="1" applyBorder="1" applyAlignment="1">
      <alignment horizontal="left" vertical="top" wrapText="1"/>
    </xf>
    <xf numFmtId="3" fontId="11" fillId="0" borderId="29" xfId="0" applyNumberFormat="1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top" textRotation="90" wrapText="1"/>
    </xf>
    <xf numFmtId="0" fontId="7" fillId="0" borderId="43" xfId="0" applyFont="1" applyFill="1" applyBorder="1" applyAlignment="1">
      <alignment horizontal="center" vertical="top" textRotation="90" wrapText="1"/>
    </xf>
    <xf numFmtId="0" fontId="7" fillId="0" borderId="31" xfId="0" applyFont="1" applyFill="1" applyBorder="1" applyAlignment="1">
      <alignment horizontal="center" vertical="top" textRotation="90" wrapText="1"/>
    </xf>
    <xf numFmtId="49" fontId="11" fillId="0" borderId="26" xfId="0" applyNumberFormat="1" applyFont="1" applyBorder="1" applyAlignment="1">
      <alignment horizontal="center" vertical="top"/>
    </xf>
    <xf numFmtId="49" fontId="11" fillId="0" borderId="38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3" fontId="9" fillId="0" borderId="28" xfId="0" applyNumberFormat="1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1" fillId="0" borderId="34" xfId="0" applyFont="1" applyFill="1" applyBorder="1" applyAlignment="1">
      <alignment horizontal="left" vertical="top" wrapText="1"/>
    </xf>
    <xf numFmtId="0" fontId="11" fillId="0" borderId="43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7" fillId="0" borderId="43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49" fontId="11" fillId="0" borderId="34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49" xfId="0" applyFont="1" applyBorder="1" applyAlignment="1">
      <alignment vertical="top" wrapText="1"/>
    </xf>
    <xf numFmtId="0" fontId="11" fillId="0" borderId="26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11" fillId="4" borderId="26" xfId="0" applyFont="1" applyFill="1" applyBorder="1" applyAlignment="1">
      <alignment horizontal="left" vertical="top" wrapText="1"/>
    </xf>
    <xf numFmtId="0" fontId="11" fillId="4" borderId="38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0" fontId="5" fillId="4" borderId="20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49" fontId="11" fillId="2" borderId="56" xfId="0" applyNumberFormat="1" applyFont="1" applyFill="1" applyBorder="1" applyAlignment="1">
      <alignment horizontal="right" vertical="top"/>
    </xf>
    <xf numFmtId="49" fontId="11" fillId="2" borderId="66" xfId="0" applyNumberFormat="1" applyFont="1" applyFill="1" applyBorder="1" applyAlignment="1">
      <alignment horizontal="right" vertical="top"/>
    </xf>
    <xf numFmtId="49" fontId="11" fillId="2" borderId="23" xfId="0" applyNumberFormat="1" applyFont="1" applyFill="1" applyBorder="1" applyAlignment="1">
      <alignment horizontal="right" vertical="top"/>
    </xf>
    <xf numFmtId="49" fontId="11" fillId="2" borderId="56" xfId="0" applyNumberFormat="1" applyFont="1" applyFill="1" applyBorder="1" applyAlignment="1">
      <alignment horizontal="left" vertical="top"/>
    </xf>
    <xf numFmtId="49" fontId="11" fillId="2" borderId="66" xfId="0" applyNumberFormat="1" applyFont="1" applyFill="1" applyBorder="1" applyAlignment="1">
      <alignment horizontal="left" vertical="top"/>
    </xf>
    <xf numFmtId="49" fontId="11" fillId="2" borderId="22" xfId="0" applyNumberFormat="1" applyFont="1" applyFill="1" applyBorder="1" applyAlignment="1">
      <alignment horizontal="left" vertical="top"/>
    </xf>
    <xf numFmtId="49" fontId="11" fillId="2" borderId="67" xfId="0" applyNumberFormat="1" applyFont="1" applyFill="1" applyBorder="1" applyAlignment="1">
      <alignment horizontal="left" vertical="top"/>
    </xf>
    <xf numFmtId="49" fontId="11" fillId="9" borderId="25" xfId="0" applyNumberFormat="1" applyFont="1" applyFill="1" applyBorder="1" applyAlignment="1">
      <alignment horizontal="center" vertical="top"/>
    </xf>
    <xf numFmtId="49" fontId="11" fillId="9" borderId="33" xfId="0" applyNumberFormat="1" applyFont="1" applyFill="1" applyBorder="1" applyAlignment="1">
      <alignment horizontal="center" vertical="top"/>
    </xf>
    <xf numFmtId="49" fontId="11" fillId="9" borderId="30" xfId="0" applyNumberFormat="1" applyFont="1" applyFill="1" applyBorder="1" applyAlignment="1">
      <alignment horizontal="center" vertical="top"/>
    </xf>
    <xf numFmtId="49" fontId="11" fillId="2" borderId="26" xfId="0" applyNumberFormat="1" applyFont="1" applyFill="1" applyBorder="1" applyAlignment="1">
      <alignment horizontal="center" vertical="top"/>
    </xf>
    <xf numFmtId="49" fontId="11" fillId="2" borderId="34" xfId="0" applyNumberFormat="1" applyFont="1" applyFill="1" applyBorder="1" applyAlignment="1">
      <alignment horizontal="center" vertical="top"/>
    </xf>
    <xf numFmtId="49" fontId="11" fillId="2" borderId="29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164" fontId="11" fillId="2" borderId="9" xfId="0" applyNumberFormat="1" applyFont="1" applyFill="1" applyBorder="1" applyAlignment="1">
      <alignment horizontal="center" vertical="top"/>
    </xf>
    <xf numFmtId="164" fontId="11" fillId="2" borderId="66" xfId="0" applyNumberFormat="1" applyFont="1" applyFill="1" applyBorder="1" applyAlignment="1">
      <alignment horizontal="center" vertical="top"/>
    </xf>
    <xf numFmtId="164" fontId="11" fillId="2" borderId="67" xfId="0" applyNumberFormat="1" applyFont="1" applyFill="1" applyBorder="1" applyAlignment="1">
      <alignment horizontal="center" vertical="top"/>
    </xf>
    <xf numFmtId="0" fontId="9" fillId="4" borderId="16" xfId="0" applyFont="1" applyFill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1" fillId="4" borderId="40" xfId="0" applyFont="1" applyFill="1" applyBorder="1" applyAlignment="1">
      <alignment horizontal="left" vertical="top" wrapText="1"/>
    </xf>
    <xf numFmtId="0" fontId="11" fillId="4" borderId="43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0" fontId="6" fillId="0" borderId="64" xfId="0" applyFont="1" applyFill="1" applyBorder="1" applyAlignment="1">
      <alignment horizontal="center" vertical="top"/>
    </xf>
    <xf numFmtId="0" fontId="6" fillId="0" borderId="75" xfId="0" applyFont="1" applyFill="1" applyBorder="1" applyAlignment="1">
      <alignment horizontal="center" vertical="top"/>
    </xf>
    <xf numFmtId="49" fontId="11" fillId="0" borderId="31" xfId="0" applyNumberFormat="1" applyFont="1" applyBorder="1" applyAlignment="1">
      <alignment horizontal="center" vertical="top"/>
    </xf>
    <xf numFmtId="0" fontId="9" fillId="4" borderId="44" xfId="0" applyFont="1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9" fillId="4" borderId="44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11" fillId="8" borderId="13" xfId="0" applyFont="1" applyFill="1" applyBorder="1" applyAlignment="1">
      <alignment horizontal="right" vertical="top" wrapText="1"/>
    </xf>
    <xf numFmtId="0" fontId="11" fillId="8" borderId="23" xfId="0" applyFont="1" applyFill="1" applyBorder="1" applyAlignment="1">
      <alignment horizontal="right" vertical="top" wrapText="1"/>
    </xf>
    <xf numFmtId="0" fontId="11" fillId="8" borderId="69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7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50" xfId="0" applyFont="1" applyBorder="1" applyAlignment="1">
      <alignment vertical="top" wrapText="1"/>
    </xf>
    <xf numFmtId="0" fontId="9" fillId="8" borderId="33" xfId="0" applyFont="1" applyFill="1" applyBorder="1" applyAlignment="1">
      <alignment horizontal="left" vertical="top" wrapText="1"/>
    </xf>
    <xf numFmtId="0" fontId="9" fillId="8" borderId="34" xfId="0" applyFont="1" applyFill="1" applyBorder="1" applyAlignment="1">
      <alignment vertical="top" wrapText="1"/>
    </xf>
    <xf numFmtId="0" fontId="9" fillId="8" borderId="50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horizontal="right" vertical="top" wrapText="1"/>
    </xf>
    <xf numFmtId="0" fontId="9" fillId="7" borderId="43" xfId="0" applyFont="1" applyFill="1" applyBorder="1" applyAlignment="1">
      <alignment vertical="top" wrapText="1"/>
    </xf>
    <xf numFmtId="0" fontId="9" fillId="7" borderId="19" xfId="0" applyFont="1" applyFill="1" applyBorder="1" applyAlignment="1">
      <alignment vertical="top" wrapText="1"/>
    </xf>
    <xf numFmtId="49" fontId="11" fillId="9" borderId="56" xfId="0" applyNumberFormat="1" applyFont="1" applyFill="1" applyBorder="1" applyAlignment="1">
      <alignment horizontal="right" vertical="top"/>
    </xf>
    <xf numFmtId="0" fontId="9" fillId="9" borderId="66" xfId="0" applyFont="1" applyFill="1" applyBorder="1" applyAlignment="1">
      <alignment horizontal="right" vertical="top"/>
    </xf>
    <xf numFmtId="0" fontId="9" fillId="9" borderId="67" xfId="0" applyFont="1" applyFill="1" applyBorder="1" applyAlignment="1">
      <alignment horizontal="right" vertical="top"/>
    </xf>
    <xf numFmtId="164" fontId="11" fillId="9" borderId="9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67" xfId="0" applyNumberFormat="1" applyFont="1" applyFill="1" applyBorder="1" applyAlignment="1">
      <alignment horizontal="center" vertical="top"/>
    </xf>
    <xf numFmtId="49" fontId="11" fillId="7" borderId="66" xfId="0" applyNumberFormat="1" applyFont="1" applyFill="1" applyBorder="1" applyAlignment="1">
      <alignment horizontal="right" vertical="top"/>
    </xf>
    <xf numFmtId="49" fontId="11" fillId="7" borderId="67" xfId="0" applyNumberFormat="1" applyFont="1" applyFill="1" applyBorder="1" applyAlignment="1">
      <alignment horizontal="right" vertical="top"/>
    </xf>
    <xf numFmtId="164" fontId="11" fillId="7" borderId="9" xfId="0" applyNumberFormat="1" applyFont="1" applyFill="1" applyBorder="1" applyAlignment="1">
      <alignment horizontal="center" vertical="top"/>
    </xf>
    <xf numFmtId="164" fontId="11" fillId="7" borderId="66" xfId="0" applyNumberFormat="1" applyFont="1" applyFill="1" applyBorder="1" applyAlignment="1">
      <alignment horizontal="center" vertical="top"/>
    </xf>
    <xf numFmtId="164" fontId="11" fillId="7" borderId="67" xfId="0" applyNumberFormat="1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right" vertical="top" wrapText="1"/>
    </xf>
    <xf numFmtId="0" fontId="9" fillId="7" borderId="40" xfId="0" applyFont="1" applyFill="1" applyBorder="1" applyAlignment="1">
      <alignment vertical="top" wrapText="1"/>
    </xf>
    <xf numFmtId="0" fontId="9" fillId="7" borderId="17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right" vertical="top" wrapText="1"/>
    </xf>
    <xf numFmtId="0" fontId="11" fillId="8" borderId="57" xfId="0" applyFont="1" applyFill="1" applyBorder="1" applyAlignment="1">
      <alignment horizontal="right" vertical="top" wrapText="1"/>
    </xf>
    <xf numFmtId="0" fontId="11" fillId="8" borderId="73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50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7" xfId="0" applyFont="1" applyFill="1" applyBorder="1" applyAlignment="1">
      <alignment horizontal="left" vertical="top" wrapText="1"/>
    </xf>
    <xf numFmtId="0" fontId="9" fillId="4" borderId="73" xfId="0" applyFont="1" applyFill="1" applyBorder="1" applyAlignment="1">
      <alignment horizontal="left" vertical="top" wrapText="1"/>
    </xf>
    <xf numFmtId="0" fontId="11" fillId="4" borderId="34" xfId="0" applyFont="1" applyFill="1" applyBorder="1" applyAlignment="1">
      <alignment horizontal="left" vertical="top" wrapText="1"/>
    </xf>
    <xf numFmtId="49" fontId="7" fillId="0" borderId="40" xfId="0" applyNumberFormat="1" applyFont="1" applyFill="1" applyBorder="1" applyAlignment="1">
      <alignment horizontal="center" vertical="center" textRotation="90" wrapText="1"/>
    </xf>
    <xf numFmtId="49" fontId="7" fillId="0" borderId="43" xfId="0" applyNumberFormat="1" applyFont="1" applyFill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19" xfId="0" applyFont="1" applyFill="1" applyBorder="1" applyAlignment="1">
      <alignment horizontal="left" vertical="top" wrapText="1"/>
    </xf>
    <xf numFmtId="0" fontId="11" fillId="4" borderId="18" xfId="0" applyFont="1" applyFill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textRotation="90"/>
    </xf>
    <xf numFmtId="49" fontId="5" fillId="0" borderId="43" xfId="0" applyNumberFormat="1" applyFont="1" applyFill="1" applyBorder="1" applyAlignment="1">
      <alignment horizontal="center" vertical="center" textRotation="90"/>
    </xf>
    <xf numFmtId="49" fontId="5" fillId="0" borderId="31" xfId="0" applyNumberFormat="1" applyFont="1" applyFill="1" applyBorder="1" applyAlignment="1">
      <alignment horizontal="center" vertical="center" textRotation="90"/>
    </xf>
    <xf numFmtId="49" fontId="4" fillId="0" borderId="40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top"/>
    </xf>
    <xf numFmtId="0" fontId="0" fillId="4" borderId="28" xfId="0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9" fillId="4" borderId="72" xfId="0" applyFont="1" applyFill="1" applyBorder="1" applyAlignment="1">
      <alignment horizontal="left" vertical="top" wrapText="1"/>
    </xf>
    <xf numFmtId="0" fontId="9" fillId="4" borderId="75" xfId="0" applyFont="1" applyFill="1" applyBorder="1" applyAlignment="1">
      <alignment horizontal="left" vertical="top" wrapText="1"/>
    </xf>
    <xf numFmtId="49" fontId="11" fillId="2" borderId="18" xfId="0" applyNumberFormat="1" applyFont="1" applyFill="1" applyBorder="1" applyAlignment="1">
      <alignment horizontal="right" vertical="top"/>
    </xf>
    <xf numFmtId="49" fontId="11" fillId="2" borderId="69" xfId="0" applyNumberFormat="1" applyFont="1" applyFill="1" applyBorder="1" applyAlignment="1">
      <alignment horizontal="right" vertical="top"/>
    </xf>
    <xf numFmtId="0" fontId="7" fillId="0" borderId="40" xfId="0" applyFont="1" applyFill="1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11" fillId="4" borderId="40" xfId="0" applyFont="1" applyFill="1" applyBorder="1" applyAlignment="1">
      <alignment vertical="top" wrapText="1"/>
    </xf>
    <xf numFmtId="0" fontId="11" fillId="0" borderId="41" xfId="4" applyNumberFormat="1" applyFont="1" applyBorder="1" applyAlignment="1">
      <alignment horizontal="center" vertical="top"/>
    </xf>
    <xf numFmtId="0" fontId="11" fillId="0" borderId="32" xfId="4" applyNumberFormat="1" applyFont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center" vertical="top"/>
    </xf>
    <xf numFmtId="0" fontId="7" fillId="0" borderId="63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7" fillId="0" borderId="58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49" fontId="11" fillId="0" borderId="27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60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11" fillId="4" borderId="31" xfId="0" applyFont="1" applyFill="1" applyBorder="1" applyAlignment="1">
      <alignment vertical="top" wrapText="1"/>
    </xf>
    <xf numFmtId="0" fontId="7" fillId="0" borderId="76" xfId="0" applyFont="1" applyFill="1" applyBorder="1" applyAlignment="1">
      <alignment horizontal="center" vertical="top" wrapText="1"/>
    </xf>
    <xf numFmtId="0" fontId="7" fillId="0" borderId="75" xfId="0" applyFont="1" applyFill="1" applyBorder="1" applyAlignment="1">
      <alignment horizontal="center"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vertical="top" wrapText="1"/>
    </xf>
    <xf numFmtId="0" fontId="1" fillId="4" borderId="38" xfId="0" applyFont="1" applyFill="1" applyBorder="1" applyAlignment="1">
      <alignment vertical="top" wrapText="1"/>
    </xf>
    <xf numFmtId="0" fontId="9" fillId="4" borderId="34" xfId="0" applyFont="1" applyFill="1" applyBorder="1" applyAlignment="1">
      <alignment horizontal="left" vertical="top" wrapText="1"/>
    </xf>
    <xf numFmtId="0" fontId="7" fillId="4" borderId="45" xfId="0" applyFont="1" applyFill="1" applyBorder="1" applyAlignment="1">
      <alignment horizontal="center" vertical="top" wrapText="1"/>
    </xf>
    <xf numFmtId="0" fontId="7" fillId="4" borderId="64" xfId="0" applyFont="1" applyFill="1" applyBorder="1" applyAlignment="1">
      <alignment horizontal="center" vertical="top" wrapText="1"/>
    </xf>
    <xf numFmtId="0" fontId="0" fillId="0" borderId="62" xfId="0" applyBorder="1" applyAlignment="1">
      <alignment vertical="top"/>
    </xf>
    <xf numFmtId="49" fontId="11" fillId="4" borderId="43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left" vertical="top" wrapText="1"/>
    </xf>
    <xf numFmtId="49" fontId="11" fillId="4" borderId="31" xfId="0" applyNumberFormat="1" applyFont="1" applyFill="1" applyBorder="1" applyAlignment="1">
      <alignment horizontal="left" vertical="top" wrapText="1"/>
    </xf>
    <xf numFmtId="49" fontId="7" fillId="0" borderId="64" xfId="0" applyNumberFormat="1" applyFont="1" applyFill="1" applyBorder="1" applyAlignment="1">
      <alignment horizontal="right" vertical="top"/>
    </xf>
    <xf numFmtId="49" fontId="7" fillId="0" borderId="75" xfId="0" applyNumberFormat="1" applyFont="1" applyFill="1" applyBorder="1" applyAlignment="1">
      <alignment horizontal="right" vertical="top"/>
    </xf>
    <xf numFmtId="0" fontId="9" fillId="0" borderId="16" xfId="0" applyFont="1" applyBorder="1" applyAlignment="1">
      <alignment vertical="top" wrapText="1"/>
    </xf>
    <xf numFmtId="0" fontId="9" fillId="0" borderId="43" xfId="0" applyFont="1" applyBorder="1" applyAlignment="1">
      <alignment vertical="top" wrapText="1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32" xfId="0" applyNumberFormat="1" applyFont="1" applyFill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49" fontId="11" fillId="4" borderId="43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0" fontId="7" fillId="0" borderId="64" xfId="0" applyFont="1" applyFill="1" applyBorder="1" applyAlignment="1">
      <alignment horizontal="center" vertical="top" wrapText="1"/>
    </xf>
    <xf numFmtId="0" fontId="5" fillId="4" borderId="101" xfId="0" applyFont="1" applyFill="1" applyBorder="1" applyAlignment="1">
      <alignment horizontal="left" vertical="top" wrapText="1"/>
    </xf>
    <xf numFmtId="0" fontId="12" fillId="0" borderId="64" xfId="0" applyFont="1" applyFill="1" applyBorder="1" applyAlignment="1">
      <alignment horizontal="center" vertical="top" wrapText="1"/>
    </xf>
    <xf numFmtId="0" fontId="0" fillId="0" borderId="75" xfId="0" applyBorder="1" applyAlignment="1">
      <alignment vertical="top"/>
    </xf>
    <xf numFmtId="49" fontId="11" fillId="0" borderId="54" xfId="0" applyNumberFormat="1" applyFont="1" applyBorder="1" applyAlignment="1">
      <alignment horizontal="center" vertical="top"/>
    </xf>
    <xf numFmtId="0" fontId="0" fillId="0" borderId="69" xfId="0" applyBorder="1" applyAlignment="1">
      <alignment vertical="top"/>
    </xf>
    <xf numFmtId="0" fontId="9" fillId="4" borderId="40" xfId="0" applyNumberFormat="1" applyFont="1" applyFill="1" applyBorder="1" applyAlignment="1">
      <alignment horizontal="center" vertical="top"/>
    </xf>
    <xf numFmtId="0" fontId="9" fillId="4" borderId="31" xfId="0" applyNumberFormat="1" applyFont="1" applyFill="1" applyBorder="1" applyAlignment="1">
      <alignment horizontal="center" vertical="top"/>
    </xf>
    <xf numFmtId="0" fontId="9" fillId="4" borderId="41" xfId="0" applyNumberFormat="1" applyFont="1" applyFill="1" applyBorder="1" applyAlignment="1">
      <alignment horizontal="center" vertical="top"/>
    </xf>
    <xf numFmtId="0" fontId="9" fillId="4" borderId="32" xfId="0" applyNumberFormat="1" applyFont="1" applyFill="1" applyBorder="1" applyAlignment="1">
      <alignment horizontal="center" vertical="top"/>
    </xf>
    <xf numFmtId="0" fontId="9" fillId="4" borderId="40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49" fontId="11" fillId="2" borderId="19" xfId="0" applyNumberFormat="1" applyFont="1" applyFill="1" applyBorder="1" applyAlignment="1">
      <alignment horizontal="center" vertical="top"/>
    </xf>
    <xf numFmtId="49" fontId="11" fillId="2" borderId="18" xfId="0" applyNumberFormat="1" applyFont="1" applyFill="1" applyBorder="1" applyAlignment="1">
      <alignment horizontal="center" vertical="top"/>
    </xf>
    <xf numFmtId="0" fontId="9" fillId="4" borderId="43" xfId="0" applyFont="1" applyFill="1" applyBorder="1" applyAlignment="1">
      <alignment horizontal="left" vertical="top" wrapText="1"/>
    </xf>
    <xf numFmtId="49" fontId="11" fillId="0" borderId="32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1" fillId="7" borderId="8" xfId="0" applyFont="1" applyFill="1" applyBorder="1" applyAlignment="1">
      <alignment horizontal="left" vertical="top" wrapText="1"/>
    </xf>
    <xf numFmtId="0" fontId="11" fillId="7" borderId="57" xfId="0" applyFont="1" applyFill="1" applyBorder="1" applyAlignment="1">
      <alignment horizontal="left" vertical="top" wrapText="1"/>
    </xf>
    <xf numFmtId="0" fontId="11" fillId="7" borderId="73" xfId="0" applyFont="1" applyFill="1" applyBorder="1" applyAlignment="1">
      <alignment horizontal="left" vertical="top" wrapText="1"/>
    </xf>
    <xf numFmtId="0" fontId="11" fillId="9" borderId="57" xfId="0" applyFont="1" applyFill="1" applyBorder="1" applyAlignment="1">
      <alignment horizontal="left" vertical="top" wrapText="1"/>
    </xf>
    <xf numFmtId="0" fontId="11" fillId="9" borderId="73" xfId="0" applyFont="1" applyFill="1" applyBorder="1" applyAlignment="1">
      <alignment horizontal="left" vertical="top" wrapText="1"/>
    </xf>
    <xf numFmtId="0" fontId="11" fillId="2" borderId="49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0" fontId="11" fillId="2" borderId="73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 wrapText="1"/>
    </xf>
    <xf numFmtId="49" fontId="9" fillId="0" borderId="72" xfId="0" applyNumberFormat="1" applyFont="1" applyBorder="1" applyAlignment="1">
      <alignment horizontal="center" vertical="top" textRotation="90" wrapText="1"/>
    </xf>
    <xf numFmtId="0" fontId="0" fillId="0" borderId="64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49" fontId="11" fillId="0" borderId="54" xfId="0" applyNumberFormat="1" applyFont="1" applyBorder="1" applyAlignment="1">
      <alignment horizontal="center" vertical="top" wrapText="1"/>
    </xf>
    <xf numFmtId="0" fontId="0" fillId="0" borderId="54" xfId="0" applyBorder="1" applyAlignment="1">
      <alignment wrapText="1"/>
    </xf>
    <xf numFmtId="0" fontId="0" fillId="0" borderId="69" xfId="0" applyBorder="1" applyAlignment="1">
      <alignment wrapText="1"/>
    </xf>
    <xf numFmtId="0" fontId="9" fillId="4" borderId="102" xfId="0" applyFont="1" applyFill="1" applyBorder="1" applyAlignment="1">
      <alignment vertical="top" wrapText="1"/>
    </xf>
    <xf numFmtId="0" fontId="0" fillId="4" borderId="21" xfId="0" applyFill="1" applyBorder="1" applyAlignment="1">
      <alignment vertical="top" wrapText="1"/>
    </xf>
    <xf numFmtId="0" fontId="11" fillId="4" borderId="54" xfId="4" applyNumberFormat="1" applyFont="1" applyFill="1" applyBorder="1" applyAlignment="1">
      <alignment horizontal="center" vertical="top"/>
    </xf>
    <xf numFmtId="0" fontId="9" fillId="0" borderId="28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9" fillId="0" borderId="20" xfId="0" applyFont="1" applyBorder="1" applyAlignment="1">
      <alignment horizontal="center" vertical="center" textRotation="90" shrinkToFit="1"/>
    </xf>
    <xf numFmtId="0" fontId="9" fillId="0" borderId="28" xfId="0" applyFont="1" applyBorder="1" applyAlignment="1">
      <alignment horizontal="center" vertical="center" textRotation="90" shrinkToFit="1"/>
    </xf>
    <xf numFmtId="0" fontId="9" fillId="0" borderId="21" xfId="0" applyFont="1" applyBorder="1" applyAlignment="1">
      <alignment horizontal="center" vertical="center" textRotation="90" shrinkToFit="1"/>
    </xf>
    <xf numFmtId="0" fontId="9" fillId="0" borderId="40" xfId="0" applyFont="1" applyBorder="1" applyAlignment="1">
      <alignment horizontal="center" vertical="center" textRotation="90" shrinkToFit="1"/>
    </xf>
    <xf numFmtId="0" fontId="9" fillId="0" borderId="43" xfId="0" applyFont="1" applyBorder="1" applyAlignment="1">
      <alignment horizontal="center" vertical="center" textRotation="90" shrinkToFit="1"/>
    </xf>
    <xf numFmtId="0" fontId="9" fillId="0" borderId="31" xfId="0" applyFont="1" applyBorder="1" applyAlignment="1">
      <alignment horizontal="center" vertical="center" textRotation="90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textRotation="90" shrinkToFit="1"/>
    </xf>
    <xf numFmtId="0" fontId="9" fillId="0" borderId="7" xfId="0" applyFont="1" applyBorder="1" applyAlignment="1">
      <alignment horizontal="center" vertical="center" textRotation="90" shrinkToFit="1"/>
    </xf>
    <xf numFmtId="0" fontId="9" fillId="0" borderId="13" xfId="0" applyFont="1" applyBorder="1" applyAlignment="1">
      <alignment horizontal="center" vertical="center" textRotation="90" shrinkToFit="1"/>
    </xf>
    <xf numFmtId="0" fontId="9" fillId="4" borderId="15" xfId="0" applyFont="1" applyFill="1" applyBorder="1" applyAlignment="1">
      <alignment horizontal="center" vertical="center" textRotation="90" wrapText="1" shrinkToFit="1"/>
    </xf>
    <xf numFmtId="0" fontId="0" fillId="4" borderId="4" xfId="0" applyFill="1" applyBorder="1" applyAlignment="1">
      <alignment horizontal="center" vertical="center" wrapText="1" shrinkToFit="1"/>
    </xf>
    <xf numFmtId="0" fontId="0" fillId="4" borderId="10" xfId="0" applyFill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49" fontId="11" fillId="6" borderId="37" xfId="0" applyNumberFormat="1" applyFont="1" applyFill="1" applyBorder="1" applyAlignment="1">
      <alignment horizontal="left" vertical="top" wrapText="1"/>
    </xf>
    <xf numFmtId="49" fontId="11" fillId="6" borderId="22" xfId="0" applyNumberFormat="1" applyFont="1" applyFill="1" applyBorder="1" applyAlignment="1">
      <alignment horizontal="left" vertical="top" wrapText="1"/>
    </xf>
    <xf numFmtId="49" fontId="11" fillId="6" borderId="68" xfId="0" applyNumberFormat="1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textRotation="90" shrinkToFit="1"/>
    </xf>
    <xf numFmtId="0" fontId="9" fillId="0" borderId="4" xfId="0" applyFont="1" applyBorder="1" applyAlignment="1">
      <alignment horizontal="center" textRotation="90" shrinkToFit="1"/>
    </xf>
    <xf numFmtId="0" fontId="9" fillId="0" borderId="10" xfId="0" applyFont="1" applyBorder="1" applyAlignment="1">
      <alignment horizontal="center" textRotation="90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center" textRotation="90" shrinkToFit="1"/>
    </xf>
    <xf numFmtId="0" fontId="9" fillId="0" borderId="52" xfId="0" applyNumberFormat="1" applyFont="1" applyBorder="1" applyAlignment="1">
      <alignment horizontal="center" vertical="center" textRotation="90" shrinkToFit="1"/>
    </xf>
    <xf numFmtId="0" fontId="9" fillId="0" borderId="32" xfId="0" applyNumberFormat="1" applyFont="1" applyBorder="1" applyAlignment="1">
      <alignment horizontal="center" vertical="center" textRotation="90" shrinkToFit="1"/>
    </xf>
    <xf numFmtId="0" fontId="9" fillId="0" borderId="15" xfId="0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horizontal="center" vertical="center" textRotation="90" shrinkToFit="1"/>
    </xf>
    <xf numFmtId="0" fontId="9" fillId="0" borderId="10" xfId="0" applyFont="1" applyBorder="1" applyAlignment="1">
      <alignment horizontal="center" vertical="center" textRotation="90" shrinkToFit="1"/>
    </xf>
    <xf numFmtId="0" fontId="1" fillId="4" borderId="4" xfId="0" applyFont="1" applyFill="1" applyBorder="1" applyAlignment="1">
      <alignment horizontal="center" vertical="center" textRotation="90" wrapText="1" shrinkToFit="1"/>
    </xf>
    <xf numFmtId="0" fontId="1" fillId="4" borderId="10" xfId="0" applyFont="1" applyFill="1" applyBorder="1" applyAlignment="1">
      <alignment horizontal="center" vertical="center" textRotation="90" wrapText="1" shrinkToFit="1"/>
    </xf>
    <xf numFmtId="0" fontId="1" fillId="0" borderId="4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1" xfId="0" applyFont="1" applyBorder="1" applyAlignment="1">
      <alignment vertical="top"/>
    </xf>
    <xf numFmtId="49" fontId="11" fillId="4" borderId="40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49" fontId="11" fillId="4" borderId="43" xfId="0" applyNumberFormat="1" applyFont="1" applyFill="1" applyBorder="1" applyAlignment="1">
      <alignment horizontal="center" vertical="top" wrapText="1"/>
    </xf>
    <xf numFmtId="3" fontId="21" fillId="0" borderId="34" xfId="0" applyNumberFormat="1" applyFont="1" applyFill="1" applyBorder="1" applyAlignment="1">
      <alignment horizontal="left" vertical="top" wrapText="1"/>
    </xf>
    <xf numFmtId="3" fontId="21" fillId="0" borderId="43" xfId="0" applyNumberFormat="1" applyFont="1" applyFill="1" applyBorder="1" applyAlignment="1">
      <alignment horizontal="left" vertical="top" wrapText="1"/>
    </xf>
    <xf numFmtId="3" fontId="21" fillId="0" borderId="29" xfId="0" applyNumberFormat="1" applyFont="1" applyFill="1" applyBorder="1" applyAlignment="1">
      <alignment horizontal="left" vertical="top" wrapText="1"/>
    </xf>
    <xf numFmtId="49" fontId="12" fillId="0" borderId="40" xfId="0" applyNumberFormat="1" applyFont="1" applyFill="1" applyBorder="1" applyAlignment="1">
      <alignment horizontal="center" vertical="center" textRotation="90"/>
    </xf>
    <xf numFmtId="49" fontId="12" fillId="0" borderId="43" xfId="0" applyNumberFormat="1" applyFont="1" applyFill="1" applyBorder="1" applyAlignment="1">
      <alignment horizontal="center" vertical="center" textRotation="90"/>
    </xf>
    <xf numFmtId="49" fontId="12" fillId="0" borderId="31" xfId="0" applyNumberFormat="1" applyFont="1" applyFill="1" applyBorder="1" applyAlignment="1">
      <alignment horizontal="center" vertical="center" textRotation="90"/>
    </xf>
    <xf numFmtId="49" fontId="11" fillId="2" borderId="48" xfId="0" applyNumberFormat="1" applyFont="1" applyFill="1" applyBorder="1" applyAlignment="1">
      <alignment horizontal="center" vertical="top"/>
    </xf>
    <xf numFmtId="49" fontId="11" fillId="2" borderId="50" xfId="0" applyNumberFormat="1" applyFont="1" applyFill="1" applyBorder="1" applyAlignment="1">
      <alignment horizontal="center" vertical="top"/>
    </xf>
    <xf numFmtId="49" fontId="11" fillId="2" borderId="113" xfId="0" applyNumberFormat="1" applyFont="1" applyFill="1" applyBorder="1" applyAlignment="1">
      <alignment horizontal="center" vertical="top"/>
    </xf>
    <xf numFmtId="49" fontId="11" fillId="2" borderId="67" xfId="0" applyNumberFormat="1" applyFont="1" applyFill="1" applyBorder="1" applyAlignment="1">
      <alignment horizontal="right" vertical="top"/>
    </xf>
    <xf numFmtId="49" fontId="11" fillId="5" borderId="17" xfId="0" applyNumberFormat="1" applyFont="1" applyFill="1" applyBorder="1" applyAlignment="1">
      <alignment horizontal="left" vertical="top"/>
    </xf>
    <xf numFmtId="49" fontId="11" fillId="5" borderId="22" xfId="0" applyNumberFormat="1" applyFont="1" applyFill="1" applyBorder="1" applyAlignment="1">
      <alignment horizontal="left" vertical="top"/>
    </xf>
    <xf numFmtId="49" fontId="11" fillId="5" borderId="68" xfId="0" applyNumberFormat="1" applyFont="1" applyFill="1" applyBorder="1" applyAlignment="1">
      <alignment horizontal="left" vertical="top"/>
    </xf>
    <xf numFmtId="0" fontId="1" fillId="0" borderId="31" xfId="0" applyFont="1" applyBorder="1" applyAlignment="1">
      <alignment vertical="top" wrapText="1"/>
    </xf>
    <xf numFmtId="0" fontId="10" fillId="0" borderId="40" xfId="0" applyFont="1" applyFill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textRotation="90" wrapText="1"/>
    </xf>
    <xf numFmtId="0" fontId="29" fillId="0" borderId="31" xfId="0" applyFont="1" applyBorder="1" applyAlignment="1">
      <alignment horizontal="center" vertical="center" textRotation="90" wrapText="1"/>
    </xf>
    <xf numFmtId="0" fontId="7" fillId="4" borderId="58" xfId="0" applyFont="1" applyFill="1" applyBorder="1" applyAlignment="1">
      <alignment horizontal="center" vertical="top" wrapText="1"/>
    </xf>
    <xf numFmtId="0" fontId="7" fillId="4" borderId="72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vertical="top"/>
    </xf>
    <xf numFmtId="0" fontId="11" fillId="4" borderId="71" xfId="4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vertical="top"/>
    </xf>
    <xf numFmtId="0" fontId="11" fillId="4" borderId="43" xfId="0" applyFont="1" applyFill="1" applyBorder="1" applyAlignment="1">
      <alignment vertical="top" wrapText="1"/>
    </xf>
    <xf numFmtId="0" fontId="11" fillId="0" borderId="52" xfId="4" applyNumberFormat="1" applyFont="1" applyBorder="1" applyAlignment="1">
      <alignment horizontal="center" vertical="top"/>
    </xf>
    <xf numFmtId="0" fontId="5" fillId="4" borderId="43" xfId="0" applyFont="1" applyFill="1" applyBorder="1" applyAlignment="1">
      <alignment horizontal="left" vertical="top" wrapText="1"/>
    </xf>
    <xf numFmtId="0" fontId="1" fillId="0" borderId="75" xfId="0" applyFont="1" applyBorder="1" applyAlignment="1">
      <alignment vertical="top"/>
    </xf>
    <xf numFmtId="49" fontId="7" fillId="0" borderId="76" xfId="0" applyNumberFormat="1" applyFont="1" applyFill="1" applyBorder="1" applyAlignment="1">
      <alignment horizontal="right" vertical="top"/>
    </xf>
    <xf numFmtId="0" fontId="1" fillId="0" borderId="31" xfId="0" applyFont="1" applyBorder="1" applyAlignment="1">
      <alignment horizontal="left" vertical="top" wrapText="1"/>
    </xf>
    <xf numFmtId="0" fontId="9" fillId="0" borderId="68" xfId="0" applyNumberFormat="1" applyFont="1" applyBorder="1" applyAlignment="1">
      <alignment horizontal="center" vertical="center" textRotation="90" shrinkToFit="1"/>
    </xf>
    <xf numFmtId="0" fontId="9" fillId="0" borderId="54" xfId="0" applyNumberFormat="1" applyFont="1" applyBorder="1" applyAlignment="1">
      <alignment horizontal="center" vertical="center" textRotation="90" shrinkToFit="1"/>
    </xf>
    <xf numFmtId="0" fontId="9" fillId="0" borderId="69" xfId="0" applyNumberFormat="1" applyFont="1" applyBorder="1" applyAlignment="1">
      <alignment horizontal="center" vertical="center" textRotation="90" shrinkToFit="1"/>
    </xf>
    <xf numFmtId="0" fontId="9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4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49" fontId="11" fillId="6" borderId="11" xfId="0" applyNumberFormat="1" applyFont="1" applyFill="1" applyBorder="1" applyAlignment="1">
      <alignment horizontal="left" vertical="top" wrapText="1"/>
    </xf>
    <xf numFmtId="49" fontId="11" fillId="6" borderId="46" xfId="0" applyNumberFormat="1" applyFont="1" applyFill="1" applyBorder="1" applyAlignment="1">
      <alignment horizontal="left" vertical="top" wrapText="1"/>
    </xf>
    <xf numFmtId="49" fontId="11" fillId="6" borderId="74" xfId="0" applyNumberFormat="1" applyFont="1" applyFill="1" applyBorder="1" applyAlignment="1">
      <alignment horizontal="left" vertical="top" wrapText="1"/>
    </xf>
    <xf numFmtId="0" fontId="11" fillId="7" borderId="6" xfId="0" applyFont="1" applyFill="1" applyBorder="1" applyAlignment="1">
      <alignment horizontal="left" vertical="top" wrapText="1"/>
    </xf>
    <xf numFmtId="0" fontId="11" fillId="7" borderId="65" xfId="0" applyFont="1" applyFill="1" applyBorder="1" applyAlignment="1">
      <alignment horizontal="left" vertical="top" wrapText="1"/>
    </xf>
    <xf numFmtId="0" fontId="11" fillId="7" borderId="59" xfId="0" applyFont="1" applyFill="1" applyBorder="1" applyAlignment="1">
      <alignment horizontal="left" vertical="top" wrapText="1"/>
    </xf>
    <xf numFmtId="0" fontId="11" fillId="5" borderId="49" xfId="0" applyFont="1" applyFill="1" applyBorder="1" applyAlignment="1">
      <alignment horizontal="left" vertical="top" wrapText="1"/>
    </xf>
    <xf numFmtId="0" fontId="11" fillId="5" borderId="57" xfId="0" applyFont="1" applyFill="1" applyBorder="1" applyAlignment="1">
      <alignment horizontal="left" vertical="top" wrapText="1"/>
    </xf>
    <xf numFmtId="0" fontId="11" fillId="5" borderId="73" xfId="0" applyFont="1" applyFill="1" applyBorder="1" applyAlignment="1">
      <alignment horizontal="left" vertical="top" wrapText="1"/>
    </xf>
    <xf numFmtId="49" fontId="9" fillId="0" borderId="64" xfId="0" applyNumberFormat="1" applyFont="1" applyBorder="1" applyAlignment="1">
      <alignment horizontal="center" vertical="top" textRotation="90" wrapText="1"/>
    </xf>
    <xf numFmtId="0" fontId="1" fillId="0" borderId="64" xfId="0" applyFont="1" applyBorder="1" applyAlignment="1">
      <alignment vertical="top" wrapText="1"/>
    </xf>
    <xf numFmtId="0" fontId="1" fillId="0" borderId="75" xfId="0" applyFont="1" applyBorder="1" applyAlignment="1">
      <alignment vertical="top" wrapText="1"/>
    </xf>
    <xf numFmtId="0" fontId="1" fillId="0" borderId="54" xfId="0" applyFont="1" applyBorder="1" applyAlignment="1">
      <alignment wrapText="1"/>
    </xf>
    <xf numFmtId="0" fontId="1" fillId="0" borderId="69" xfId="0" applyFont="1" applyBorder="1" applyAlignment="1">
      <alignment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0"/>
  <tableStyles count="0" defaultTableStyle="TableStyleMedium9" defaultPivotStyle="PivotStyleLight16"/>
  <colors>
    <mruColors>
      <color rgb="FFCCFFCC"/>
      <color rgb="FF99CCFF"/>
      <color rgb="FFFFFF99"/>
      <color rgb="FFFFCC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50" customWidth="1"/>
    <col min="2" max="2" width="60.7109375" style="50" customWidth="1"/>
    <col min="3" max="16384" width="9.140625" style="50"/>
  </cols>
  <sheetData>
    <row r="1" spans="1:2">
      <c r="A1" s="693" t="s">
        <v>64</v>
      </c>
      <c r="B1" s="693"/>
    </row>
    <row r="2" spans="1:2" ht="31.5">
      <c r="A2" s="51" t="s">
        <v>3</v>
      </c>
      <c r="B2" s="52" t="s">
        <v>65</v>
      </c>
    </row>
    <row r="3" spans="1:2">
      <c r="A3" s="51" t="s">
        <v>66</v>
      </c>
      <c r="B3" s="52" t="s">
        <v>67</v>
      </c>
    </row>
    <row r="4" spans="1:2">
      <c r="A4" s="51" t="s">
        <v>68</v>
      </c>
      <c r="B4" s="52" t="s">
        <v>69</v>
      </c>
    </row>
    <row r="5" spans="1:2">
      <c r="A5" s="51" t="s">
        <v>70</v>
      </c>
      <c r="B5" s="52" t="s">
        <v>71</v>
      </c>
    </row>
    <row r="6" spans="1:2">
      <c r="A6" s="51" t="s">
        <v>72</v>
      </c>
      <c r="B6" s="52" t="s">
        <v>73</v>
      </c>
    </row>
    <row r="7" spans="1:2">
      <c r="A7" s="51" t="s">
        <v>74</v>
      </c>
      <c r="B7" s="52" t="s">
        <v>75</v>
      </c>
    </row>
    <row r="8" spans="1:2">
      <c r="A8" s="51" t="s">
        <v>76</v>
      </c>
      <c r="B8" s="52" t="s">
        <v>77</v>
      </c>
    </row>
    <row r="9" spans="1:2" ht="15.75" customHeight="1"/>
    <row r="10" spans="1:2" ht="15.75" customHeight="1">
      <c r="A10" s="694" t="s">
        <v>78</v>
      </c>
      <c r="B10" s="694"/>
    </row>
  </sheetData>
  <mergeCells count="2">
    <mergeCell ref="A1:B1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7"/>
  <sheetViews>
    <sheetView tabSelected="1" zoomScaleNormal="100" zoomScaleSheetLayoutView="100" workbookViewId="0">
      <selection activeCell="H26" sqref="H26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26" customWidth="1"/>
    <col min="6" max="6" width="2.85546875" style="8" customWidth="1"/>
    <col min="7" max="7" width="7.28515625" style="1" customWidth="1"/>
    <col min="8" max="8" width="9.85546875" style="1" customWidth="1"/>
    <col min="9" max="9" width="10.5703125" style="1" customWidth="1"/>
    <col min="10" max="10" width="9.5703125" style="1" customWidth="1"/>
    <col min="11" max="11" width="35" style="1" customWidth="1"/>
    <col min="12" max="12" width="5.5703125" style="33" customWidth="1"/>
    <col min="13" max="13" width="4.7109375" style="33" customWidth="1"/>
    <col min="14" max="14" width="5" style="33" customWidth="1"/>
    <col min="15" max="15" width="5.28515625" style="1" customWidth="1"/>
    <col min="16" max="16384" width="9.140625" style="1"/>
  </cols>
  <sheetData>
    <row r="1" spans="1:14" s="2" customFormat="1" ht="15.75">
      <c r="A1" s="915" t="s">
        <v>200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</row>
    <row r="2" spans="1:14" s="2" customFormat="1" ht="15" customHeight="1">
      <c r="A2" s="723" t="s">
        <v>94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</row>
    <row r="3" spans="1:14" s="2" customFormat="1" ht="15.75">
      <c r="A3" s="915" t="s">
        <v>48</v>
      </c>
      <c r="B3" s="915"/>
      <c r="C3" s="915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1:14" s="2" customFormat="1" ht="13.5" thickBot="1">
      <c r="E4" s="26"/>
      <c r="F4" s="42"/>
      <c r="J4" s="331"/>
      <c r="K4" s="331"/>
      <c r="L4" s="725" t="s">
        <v>194</v>
      </c>
      <c r="M4" s="726"/>
      <c r="N4" s="726"/>
    </row>
    <row r="5" spans="1:14" s="11" customFormat="1" ht="22.5" customHeight="1">
      <c r="A5" s="916" t="s">
        <v>118</v>
      </c>
      <c r="B5" s="919" t="s">
        <v>0</v>
      </c>
      <c r="C5" s="919" t="s">
        <v>1</v>
      </c>
      <c r="D5" s="922" t="s">
        <v>17</v>
      </c>
      <c r="E5" s="925" t="s">
        <v>2</v>
      </c>
      <c r="F5" s="949" t="s">
        <v>3</v>
      </c>
      <c r="G5" s="952" t="s">
        <v>4</v>
      </c>
      <c r="H5" s="928" t="s">
        <v>119</v>
      </c>
      <c r="I5" s="939" t="s">
        <v>63</v>
      </c>
      <c r="J5" s="939" t="s">
        <v>120</v>
      </c>
      <c r="K5" s="942" t="s">
        <v>56</v>
      </c>
      <c r="L5" s="943"/>
      <c r="M5" s="943"/>
      <c r="N5" s="944"/>
    </row>
    <row r="6" spans="1:14" s="11" customFormat="1" ht="12.75" customHeight="1">
      <c r="A6" s="917"/>
      <c r="B6" s="920"/>
      <c r="C6" s="920"/>
      <c r="D6" s="923"/>
      <c r="E6" s="926"/>
      <c r="F6" s="950"/>
      <c r="G6" s="953"/>
      <c r="H6" s="929"/>
      <c r="I6" s="940"/>
      <c r="J6" s="940"/>
      <c r="K6" s="931" t="s">
        <v>17</v>
      </c>
      <c r="L6" s="933" t="s">
        <v>166</v>
      </c>
      <c r="M6" s="934"/>
      <c r="N6" s="935"/>
    </row>
    <row r="7" spans="1:14" s="11" customFormat="1" ht="83.25" customHeight="1" thickBot="1">
      <c r="A7" s="918"/>
      <c r="B7" s="921"/>
      <c r="C7" s="921"/>
      <c r="D7" s="924"/>
      <c r="E7" s="927"/>
      <c r="F7" s="951"/>
      <c r="G7" s="954"/>
      <c r="H7" s="930"/>
      <c r="I7" s="941"/>
      <c r="J7" s="941"/>
      <c r="K7" s="932"/>
      <c r="L7" s="194" t="s">
        <v>57</v>
      </c>
      <c r="M7" s="194" t="s">
        <v>81</v>
      </c>
      <c r="N7" s="195" t="s">
        <v>125</v>
      </c>
    </row>
    <row r="8" spans="1:14" s="2" customFormat="1" ht="16.5" customHeight="1">
      <c r="A8" s="936" t="s">
        <v>24</v>
      </c>
      <c r="B8" s="937"/>
      <c r="C8" s="937"/>
      <c r="D8" s="937"/>
      <c r="E8" s="937"/>
      <c r="F8" s="937"/>
      <c r="G8" s="937"/>
      <c r="H8" s="937"/>
      <c r="I8" s="937"/>
      <c r="J8" s="937"/>
      <c r="K8" s="937"/>
      <c r="L8" s="937"/>
      <c r="M8" s="937"/>
      <c r="N8" s="938"/>
    </row>
    <row r="9" spans="1:14" s="2" customFormat="1" ht="13.5" customHeight="1">
      <c r="A9" s="894" t="s">
        <v>51</v>
      </c>
      <c r="B9" s="895"/>
      <c r="C9" s="895"/>
      <c r="D9" s="895"/>
      <c r="E9" s="895"/>
      <c r="F9" s="895"/>
      <c r="G9" s="895"/>
      <c r="H9" s="895"/>
      <c r="I9" s="895"/>
      <c r="J9" s="895"/>
      <c r="K9" s="895"/>
      <c r="L9" s="895"/>
      <c r="M9" s="895"/>
      <c r="N9" s="896"/>
    </row>
    <row r="10" spans="1:14" s="2" customFormat="1" ht="12.75" customHeight="1">
      <c r="A10" s="128" t="s">
        <v>5</v>
      </c>
      <c r="B10" s="897" t="s">
        <v>39</v>
      </c>
      <c r="C10" s="897"/>
      <c r="D10" s="897"/>
      <c r="E10" s="897"/>
      <c r="F10" s="897"/>
      <c r="G10" s="897"/>
      <c r="H10" s="897"/>
      <c r="I10" s="897"/>
      <c r="J10" s="897"/>
      <c r="K10" s="897"/>
      <c r="L10" s="897"/>
      <c r="M10" s="897"/>
      <c r="N10" s="898"/>
    </row>
    <row r="11" spans="1:14" s="2" customFormat="1">
      <c r="A11" s="129" t="s">
        <v>5</v>
      </c>
      <c r="B11" s="91" t="s">
        <v>5</v>
      </c>
      <c r="C11" s="899" t="s">
        <v>41</v>
      </c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1"/>
    </row>
    <row r="12" spans="1:14" s="11" customFormat="1" ht="12" customHeight="1">
      <c r="A12" s="130" t="s">
        <v>5</v>
      </c>
      <c r="B12" s="41" t="s">
        <v>5</v>
      </c>
      <c r="C12" s="233" t="s">
        <v>5</v>
      </c>
      <c r="D12" s="902" t="s">
        <v>202</v>
      </c>
      <c r="E12" s="904" t="s">
        <v>150</v>
      </c>
      <c r="F12" s="907" t="s">
        <v>42</v>
      </c>
      <c r="G12" s="45" t="s">
        <v>9</v>
      </c>
      <c r="H12" s="348">
        <f>6129026+53403-3395</f>
        <v>6179034</v>
      </c>
      <c r="I12" s="327">
        <f>(19816.1-857.2)*1000/3.4528</f>
        <v>5490877</v>
      </c>
      <c r="J12" s="327">
        <f>18814.6*1000/3.4528</f>
        <v>5449085</v>
      </c>
      <c r="K12" s="144"/>
      <c r="L12" s="234"/>
      <c r="M12" s="234"/>
      <c r="N12" s="235"/>
    </row>
    <row r="13" spans="1:14" s="2" customFormat="1" ht="13.5" customHeight="1">
      <c r="A13" s="478"/>
      <c r="B13" s="480"/>
      <c r="C13" s="482"/>
      <c r="D13" s="760"/>
      <c r="E13" s="905"/>
      <c r="F13" s="908"/>
      <c r="G13" s="146" t="s">
        <v>50</v>
      </c>
      <c r="H13" s="341">
        <f>3360+1118</f>
        <v>4478</v>
      </c>
      <c r="I13" s="342">
        <f>11.6*1000/3.4528</f>
        <v>3360</v>
      </c>
      <c r="J13" s="343">
        <f>11.6*1000/3.4528</f>
        <v>3360</v>
      </c>
      <c r="K13" s="496"/>
      <c r="L13" s="82"/>
      <c r="M13" s="82"/>
      <c r="N13" s="83"/>
    </row>
    <row r="14" spans="1:14" s="2" customFormat="1" ht="14.25" customHeight="1">
      <c r="A14" s="696"/>
      <c r="B14" s="887"/>
      <c r="C14" s="702"/>
      <c r="D14" s="760"/>
      <c r="E14" s="905"/>
      <c r="F14" s="908"/>
      <c r="G14" s="18" t="s">
        <v>92</v>
      </c>
      <c r="H14" s="344">
        <f>23720+1965</f>
        <v>25685</v>
      </c>
      <c r="I14" s="345">
        <f>81*1000/3.4528</f>
        <v>23459</v>
      </c>
      <c r="J14" s="345">
        <f>81/3.4528*1000</f>
        <v>23459</v>
      </c>
      <c r="K14" s="332"/>
      <c r="L14" s="333"/>
      <c r="M14" s="333"/>
      <c r="N14" s="334"/>
    </row>
    <row r="15" spans="1:14" s="2" customFormat="1" ht="14.25" customHeight="1">
      <c r="A15" s="696"/>
      <c r="B15" s="887"/>
      <c r="C15" s="702"/>
      <c r="D15" s="760"/>
      <c r="E15" s="905"/>
      <c r="F15" s="908"/>
      <c r="G15" s="575" t="s">
        <v>36</v>
      </c>
      <c r="H15" s="574">
        <f>713867+1210-2460</f>
        <v>712617</v>
      </c>
      <c r="I15" s="506">
        <f>2524*1000/3.4528</f>
        <v>731001</v>
      </c>
      <c r="J15" s="345">
        <f>2524/3.4528*1000</f>
        <v>731001</v>
      </c>
      <c r="K15" s="515"/>
      <c r="L15" s="333"/>
      <c r="M15" s="333"/>
      <c r="N15" s="334"/>
    </row>
    <row r="16" spans="1:14" s="2" customFormat="1" ht="15.75" customHeight="1">
      <c r="A16" s="696"/>
      <c r="B16" s="887"/>
      <c r="C16" s="702"/>
      <c r="D16" s="760"/>
      <c r="E16" s="905"/>
      <c r="F16" s="908"/>
      <c r="G16" s="18" t="s">
        <v>123</v>
      </c>
      <c r="H16" s="344">
        <f>3181</f>
        <v>3181</v>
      </c>
      <c r="I16" s="345"/>
      <c r="J16" s="345"/>
      <c r="K16" s="512"/>
      <c r="L16" s="513"/>
      <c r="M16" s="513"/>
      <c r="N16" s="514"/>
    </row>
    <row r="17" spans="1:15" s="2" customFormat="1" ht="27" customHeight="1">
      <c r="A17" s="696"/>
      <c r="B17" s="887"/>
      <c r="C17" s="702"/>
      <c r="D17" s="760"/>
      <c r="E17" s="905"/>
      <c r="F17" s="908"/>
      <c r="G17" s="145" t="s">
        <v>207</v>
      </c>
      <c r="H17" s="346">
        <v>18</v>
      </c>
      <c r="I17" s="347"/>
      <c r="J17" s="347"/>
      <c r="K17" s="144" t="s">
        <v>163</v>
      </c>
      <c r="L17" s="502">
        <v>439.5</v>
      </c>
      <c r="M17" s="502">
        <v>439.5</v>
      </c>
      <c r="N17" s="503">
        <v>439.5</v>
      </c>
    </row>
    <row r="18" spans="1:15" s="2" customFormat="1" ht="30.75" customHeight="1">
      <c r="A18" s="696"/>
      <c r="B18" s="887"/>
      <c r="C18" s="702"/>
      <c r="D18" s="760"/>
      <c r="E18" s="905"/>
      <c r="F18" s="908"/>
      <c r="G18" s="145"/>
      <c r="H18" s="346"/>
      <c r="I18" s="347"/>
      <c r="J18" s="347"/>
      <c r="K18" s="280" t="s">
        <v>170</v>
      </c>
      <c r="L18" s="169" t="s">
        <v>127</v>
      </c>
      <c r="M18" s="169" t="s">
        <v>127</v>
      </c>
      <c r="N18" s="170" t="s">
        <v>128</v>
      </c>
    </row>
    <row r="19" spans="1:15" s="2" customFormat="1" ht="15" customHeight="1">
      <c r="A19" s="696"/>
      <c r="B19" s="887"/>
      <c r="C19" s="702"/>
      <c r="D19" s="760"/>
      <c r="E19" s="905"/>
      <c r="F19" s="908"/>
      <c r="G19" s="145"/>
      <c r="H19" s="346"/>
      <c r="I19" s="347"/>
      <c r="J19" s="347"/>
      <c r="K19" s="147" t="s">
        <v>126</v>
      </c>
      <c r="L19" s="148">
        <v>1</v>
      </c>
      <c r="M19" s="148">
        <v>2</v>
      </c>
      <c r="N19" s="149">
        <v>1</v>
      </c>
    </row>
    <row r="20" spans="1:15" s="2" customFormat="1" ht="15.75" customHeight="1">
      <c r="A20" s="696"/>
      <c r="B20" s="887"/>
      <c r="C20" s="702"/>
      <c r="D20" s="760"/>
      <c r="E20" s="905"/>
      <c r="F20" s="908"/>
      <c r="G20" s="145"/>
      <c r="H20" s="346"/>
      <c r="I20" s="347"/>
      <c r="J20" s="373"/>
      <c r="K20" s="213" t="s">
        <v>199</v>
      </c>
      <c r="L20" s="153">
        <v>70</v>
      </c>
      <c r="M20" s="153">
        <v>70</v>
      </c>
      <c r="N20" s="154">
        <v>70</v>
      </c>
    </row>
    <row r="21" spans="1:15" s="2" customFormat="1" ht="27" customHeight="1">
      <c r="A21" s="696"/>
      <c r="B21" s="887"/>
      <c r="C21" s="702"/>
      <c r="D21" s="760"/>
      <c r="E21" s="905"/>
      <c r="F21" s="908"/>
      <c r="G21" s="145"/>
      <c r="H21" s="346"/>
      <c r="I21" s="432"/>
      <c r="J21" s="373"/>
      <c r="K21" s="155" t="s">
        <v>198</v>
      </c>
      <c r="L21" s="153">
        <v>10</v>
      </c>
      <c r="M21" s="153">
        <v>10</v>
      </c>
      <c r="N21" s="154">
        <v>10</v>
      </c>
    </row>
    <row r="22" spans="1:15" s="2" customFormat="1" ht="25.5">
      <c r="A22" s="478"/>
      <c r="B22" s="488"/>
      <c r="C22" s="482"/>
      <c r="D22" s="760"/>
      <c r="E22" s="905"/>
      <c r="F22" s="908"/>
      <c r="G22" s="145"/>
      <c r="H22" s="346"/>
      <c r="I22" s="432"/>
      <c r="J22" s="373"/>
      <c r="K22" s="254" t="s">
        <v>164</v>
      </c>
      <c r="L22" s="385">
        <v>130</v>
      </c>
      <c r="M22" s="385">
        <v>130</v>
      </c>
      <c r="N22" s="386">
        <v>130</v>
      </c>
    </row>
    <row r="23" spans="1:15" s="2" customFormat="1" ht="24.75" customHeight="1">
      <c r="A23" s="131"/>
      <c r="B23" s="480"/>
      <c r="C23" s="482"/>
      <c r="D23" s="760"/>
      <c r="E23" s="905"/>
      <c r="F23" s="908"/>
      <c r="G23" s="294"/>
      <c r="H23" s="346"/>
      <c r="I23" s="433"/>
      <c r="J23" s="324"/>
      <c r="K23" s="281" t="s">
        <v>167</v>
      </c>
      <c r="L23" s="282" t="s">
        <v>131</v>
      </c>
      <c r="M23" s="282" t="s">
        <v>131</v>
      </c>
      <c r="N23" s="283" t="s">
        <v>131</v>
      </c>
    </row>
    <row r="24" spans="1:15" s="2" customFormat="1" ht="22.5" customHeight="1">
      <c r="A24" s="131"/>
      <c r="B24" s="480"/>
      <c r="C24" s="482"/>
      <c r="D24" s="760"/>
      <c r="E24" s="905"/>
      <c r="F24" s="908"/>
      <c r="G24" s="45"/>
      <c r="H24" s="348"/>
      <c r="I24" s="349"/>
      <c r="J24" s="326"/>
      <c r="K24" s="910" t="s">
        <v>181</v>
      </c>
      <c r="L24" s="293">
        <v>2</v>
      </c>
      <c r="M24" s="318" t="s">
        <v>151</v>
      </c>
      <c r="N24" s="319" t="s">
        <v>151</v>
      </c>
    </row>
    <row r="25" spans="1:15" s="2" customFormat="1" ht="20.25" customHeight="1" thickBot="1">
      <c r="A25" s="132"/>
      <c r="B25" s="481"/>
      <c r="C25" s="232"/>
      <c r="D25" s="903"/>
      <c r="E25" s="906"/>
      <c r="F25" s="909"/>
      <c r="G25" s="484" t="s">
        <v>12</v>
      </c>
      <c r="H25" s="350">
        <f>SUM(H12:H23)</f>
        <v>6925013</v>
      </c>
      <c r="I25" s="351">
        <f>SUM(I12:I23)</f>
        <v>6248697</v>
      </c>
      <c r="J25" s="350">
        <f>SUM(J12:J23)</f>
        <v>6206905</v>
      </c>
      <c r="K25" s="911"/>
      <c r="L25" s="63"/>
      <c r="M25" s="82"/>
      <c r="N25" s="83"/>
      <c r="O25" s="15"/>
    </row>
    <row r="26" spans="1:15" s="2" customFormat="1" ht="21" customHeight="1">
      <c r="A26" s="696" t="s">
        <v>5</v>
      </c>
      <c r="B26" s="887" t="s">
        <v>5</v>
      </c>
      <c r="C26" s="861" t="s">
        <v>6</v>
      </c>
      <c r="D26" s="889" t="s">
        <v>90</v>
      </c>
      <c r="E26" s="874"/>
      <c r="F26" s="871" t="s">
        <v>42</v>
      </c>
      <c r="G26" s="10" t="s">
        <v>9</v>
      </c>
      <c r="H26" s="352">
        <f>449.7/3.4528*1000</f>
        <v>130242</v>
      </c>
      <c r="I26" s="353">
        <f>450*1000/3.4528</f>
        <v>130329</v>
      </c>
      <c r="J26" s="354">
        <f>450*1000/3.4528</f>
        <v>130329</v>
      </c>
      <c r="K26" s="892" t="s">
        <v>101</v>
      </c>
      <c r="L26" s="947">
        <v>7</v>
      </c>
      <c r="M26" s="947">
        <v>8</v>
      </c>
      <c r="N26" s="945">
        <v>9</v>
      </c>
    </row>
    <row r="27" spans="1:15" s="2" customFormat="1" ht="17.25" customHeight="1" thickBot="1">
      <c r="A27" s="697"/>
      <c r="B27" s="888"/>
      <c r="C27" s="850"/>
      <c r="D27" s="885"/>
      <c r="E27" s="853"/>
      <c r="F27" s="890"/>
      <c r="G27" s="93" t="s">
        <v>12</v>
      </c>
      <c r="H27" s="355">
        <f t="shared" ref="H27:J27" si="0">H26</f>
        <v>130242</v>
      </c>
      <c r="I27" s="356">
        <f t="shared" si="0"/>
        <v>130329</v>
      </c>
      <c r="J27" s="350">
        <f t="shared" si="0"/>
        <v>130329</v>
      </c>
      <c r="K27" s="893"/>
      <c r="L27" s="948"/>
      <c r="M27" s="948"/>
      <c r="N27" s="946"/>
    </row>
    <row r="28" spans="1:15" s="2" customFormat="1" ht="12.75" customHeight="1">
      <c r="A28" s="696" t="s">
        <v>5</v>
      </c>
      <c r="B28" s="887" t="s">
        <v>5</v>
      </c>
      <c r="C28" s="861" t="s">
        <v>7</v>
      </c>
      <c r="D28" s="889" t="s">
        <v>37</v>
      </c>
      <c r="E28" s="874"/>
      <c r="F28" s="871" t="s">
        <v>42</v>
      </c>
      <c r="G28" s="12" t="s">
        <v>9</v>
      </c>
      <c r="H28" s="348">
        <f>244700+6477</f>
        <v>251177</v>
      </c>
      <c r="I28" s="353">
        <f>844/3.4528*1000</f>
        <v>244439</v>
      </c>
      <c r="J28" s="354">
        <f>844/3.4528*1000</f>
        <v>244439</v>
      </c>
      <c r="K28" s="891" t="s">
        <v>100</v>
      </c>
      <c r="L28" s="491">
        <v>31</v>
      </c>
      <c r="M28" s="491">
        <v>31</v>
      </c>
      <c r="N28" s="489">
        <v>31</v>
      </c>
    </row>
    <row r="29" spans="1:15" s="2" customFormat="1" ht="14.25" customHeight="1" thickBot="1">
      <c r="A29" s="697"/>
      <c r="B29" s="888"/>
      <c r="C29" s="850"/>
      <c r="D29" s="885"/>
      <c r="E29" s="853"/>
      <c r="F29" s="890"/>
      <c r="G29" s="93" t="s">
        <v>12</v>
      </c>
      <c r="H29" s="350">
        <f t="shared" ref="H29" si="1">H28</f>
        <v>251177</v>
      </c>
      <c r="I29" s="350">
        <f t="shared" ref="I29:J29" si="2">I28</f>
        <v>244439</v>
      </c>
      <c r="J29" s="350">
        <f t="shared" si="2"/>
        <v>244439</v>
      </c>
      <c r="K29" s="714"/>
      <c r="L29" s="492"/>
      <c r="M29" s="492"/>
      <c r="N29" s="490"/>
    </row>
    <row r="30" spans="1:15" s="2" customFormat="1" ht="18" customHeight="1">
      <c r="A30" s="695" t="s">
        <v>5</v>
      </c>
      <c r="B30" s="698" t="s">
        <v>5</v>
      </c>
      <c r="C30" s="849" t="s">
        <v>8</v>
      </c>
      <c r="D30" s="884" t="s">
        <v>97</v>
      </c>
      <c r="E30" s="852"/>
      <c r="F30" s="870" t="s">
        <v>42</v>
      </c>
      <c r="G30" s="17" t="s">
        <v>9</v>
      </c>
      <c r="H30" s="431">
        <f>93345+13403</f>
        <v>106748</v>
      </c>
      <c r="I30" s="357">
        <f>320/3.4528*1000</f>
        <v>92678</v>
      </c>
      <c r="J30" s="357">
        <f>320/3.4528*1000</f>
        <v>92678</v>
      </c>
      <c r="K30" s="892" t="s">
        <v>60</v>
      </c>
      <c r="L30" s="880">
        <v>7</v>
      </c>
      <c r="M30" s="880">
        <v>7</v>
      </c>
      <c r="N30" s="882">
        <v>7</v>
      </c>
    </row>
    <row r="31" spans="1:15" s="2" customFormat="1" ht="21.75" customHeight="1" thickBot="1">
      <c r="A31" s="697"/>
      <c r="B31" s="700"/>
      <c r="C31" s="850"/>
      <c r="D31" s="885"/>
      <c r="E31" s="853"/>
      <c r="F31" s="890"/>
      <c r="G31" s="92" t="s">
        <v>12</v>
      </c>
      <c r="H31" s="359">
        <f t="shared" ref="H31" si="3">H30</f>
        <v>106748</v>
      </c>
      <c r="I31" s="359">
        <f t="shared" ref="I31:J31" si="4">I30</f>
        <v>92678</v>
      </c>
      <c r="J31" s="359">
        <f t="shared" si="4"/>
        <v>92678</v>
      </c>
      <c r="K31" s="893"/>
      <c r="L31" s="881"/>
      <c r="M31" s="881"/>
      <c r="N31" s="883"/>
    </row>
    <row r="32" spans="1:15" s="2" customFormat="1" ht="19.5" customHeight="1">
      <c r="A32" s="695" t="s">
        <v>5</v>
      </c>
      <c r="B32" s="698" t="s">
        <v>5</v>
      </c>
      <c r="C32" s="849" t="s">
        <v>26</v>
      </c>
      <c r="D32" s="884" t="s">
        <v>110</v>
      </c>
      <c r="E32" s="852"/>
      <c r="F32" s="870" t="s">
        <v>42</v>
      </c>
      <c r="G32" s="12" t="s">
        <v>9</v>
      </c>
      <c r="H32" s="360">
        <f>42.4/3.4528*1000</f>
        <v>12280</v>
      </c>
      <c r="I32" s="361">
        <f>42/3.4528*1000</f>
        <v>12164</v>
      </c>
      <c r="J32" s="361">
        <f>42/3.4528*1000</f>
        <v>12164</v>
      </c>
      <c r="K32" s="30"/>
      <c r="L32" s="35"/>
      <c r="M32" s="35"/>
      <c r="N32" s="36"/>
    </row>
    <row r="33" spans="1:14" s="2" customFormat="1" ht="13.5" thickBot="1">
      <c r="A33" s="696"/>
      <c r="B33" s="699"/>
      <c r="C33" s="861"/>
      <c r="D33" s="886"/>
      <c r="E33" s="874"/>
      <c r="F33" s="871"/>
      <c r="G33" s="94" t="s">
        <v>12</v>
      </c>
      <c r="H33" s="362">
        <f>SUM(H32:H32)</f>
        <v>12280</v>
      </c>
      <c r="I33" s="362">
        <f>SUM(I32:I32)</f>
        <v>12164</v>
      </c>
      <c r="J33" s="362">
        <f>SUM(J32:J32)</f>
        <v>12164</v>
      </c>
      <c r="K33" s="31"/>
      <c r="L33" s="82"/>
      <c r="M33" s="82"/>
      <c r="N33" s="83"/>
    </row>
    <row r="34" spans="1:14" s="2" customFormat="1" ht="25.5">
      <c r="A34" s="485" t="s">
        <v>5</v>
      </c>
      <c r="B34" s="85" t="s">
        <v>5</v>
      </c>
      <c r="C34" s="236" t="s">
        <v>28</v>
      </c>
      <c r="D34" s="483" t="s">
        <v>99</v>
      </c>
      <c r="E34" s="284"/>
      <c r="F34" s="487"/>
      <c r="G34" s="10"/>
      <c r="H34" s="363"/>
      <c r="I34" s="354"/>
      <c r="J34" s="354"/>
      <c r="K34" s="30"/>
      <c r="L34" s="59"/>
      <c r="M34" s="35"/>
      <c r="N34" s="36"/>
    </row>
    <row r="35" spans="1:14" s="2" customFormat="1" ht="27" customHeight="1">
      <c r="A35" s="478"/>
      <c r="B35" s="84"/>
      <c r="C35" s="237"/>
      <c r="D35" s="486" t="s">
        <v>91</v>
      </c>
      <c r="E35" s="106"/>
      <c r="F35" s="248" t="s">
        <v>42</v>
      </c>
      <c r="G35" s="12" t="s">
        <v>9</v>
      </c>
      <c r="H35" s="344">
        <f>(117.8+10.6)/3.4528*1000</f>
        <v>37187</v>
      </c>
      <c r="I35" s="322">
        <f>117.8/3.4528*1000</f>
        <v>34117</v>
      </c>
      <c r="J35" s="322">
        <f>118/3.4528*1000</f>
        <v>34175</v>
      </c>
      <c r="K35" s="31"/>
      <c r="L35" s="61"/>
      <c r="M35" s="54"/>
      <c r="N35" s="53"/>
    </row>
    <row r="36" spans="1:14" s="2" customFormat="1" ht="90.75" customHeight="1">
      <c r="A36" s="478"/>
      <c r="B36" s="84"/>
      <c r="C36" s="237"/>
      <c r="D36" s="192" t="s">
        <v>190</v>
      </c>
      <c r="E36" s="285"/>
      <c r="F36" s="249" t="s">
        <v>43</v>
      </c>
      <c r="G36" s="190" t="s">
        <v>9</v>
      </c>
      <c r="H36" s="364">
        <f>107.8/3.4528*1000</f>
        <v>31221</v>
      </c>
      <c r="I36" s="323">
        <f>132/3.4528*1000</f>
        <v>38230</v>
      </c>
      <c r="J36" s="323">
        <f>132/3.4528*1000</f>
        <v>38230</v>
      </c>
      <c r="K36" s="191" t="s">
        <v>169</v>
      </c>
      <c r="L36" s="151">
        <v>7</v>
      </c>
      <c r="M36" s="179">
        <v>7</v>
      </c>
      <c r="N36" s="152">
        <v>7</v>
      </c>
    </row>
    <row r="37" spans="1:14" s="2" customFormat="1">
      <c r="A37" s="478"/>
      <c r="B37" s="84"/>
      <c r="C37" s="493"/>
      <c r="D37" s="875" t="s">
        <v>141</v>
      </c>
      <c r="E37" s="876"/>
      <c r="F37" s="878"/>
      <c r="G37" s="239"/>
      <c r="H37" s="382"/>
      <c r="I37" s="383"/>
      <c r="J37" s="383"/>
      <c r="K37" s="240" t="s">
        <v>168</v>
      </c>
      <c r="L37" s="241">
        <v>2</v>
      </c>
      <c r="M37" s="241">
        <v>5</v>
      </c>
      <c r="N37" s="242">
        <v>5</v>
      </c>
    </row>
    <row r="38" spans="1:14" s="2" customFormat="1" ht="27.75" customHeight="1" thickBot="1">
      <c r="A38" s="479"/>
      <c r="B38" s="481"/>
      <c r="C38" s="232"/>
      <c r="D38" s="773"/>
      <c r="E38" s="877"/>
      <c r="F38" s="879"/>
      <c r="G38" s="93" t="s">
        <v>12</v>
      </c>
      <c r="H38" s="384">
        <f>SUM(H35:H37)</f>
        <v>68408</v>
      </c>
      <c r="I38" s="384">
        <f t="shared" ref="I38:J38" si="5">SUM(I35:I37)</f>
        <v>72347</v>
      </c>
      <c r="J38" s="384">
        <f t="shared" si="5"/>
        <v>72405</v>
      </c>
      <c r="K38" s="243"/>
      <c r="L38" s="244"/>
      <c r="M38" s="244"/>
      <c r="N38" s="245"/>
    </row>
    <row r="39" spans="1:14" s="11" customFormat="1" ht="12.75" customHeight="1">
      <c r="A39" s="696" t="s">
        <v>5</v>
      </c>
      <c r="B39" s="699" t="s">
        <v>5</v>
      </c>
      <c r="C39" s="861" t="s">
        <v>29</v>
      </c>
      <c r="D39" s="872" t="s">
        <v>22</v>
      </c>
      <c r="E39" s="864"/>
      <c r="F39" s="873" t="s">
        <v>42</v>
      </c>
      <c r="G39" s="497" t="s">
        <v>9</v>
      </c>
      <c r="H39" s="431">
        <f>4439883-393070-93039</f>
        <v>3953774</v>
      </c>
      <c r="I39" s="441">
        <f>16139.8/3.4528*1000</f>
        <v>4674409</v>
      </c>
      <c r="J39" s="441">
        <f>13793.1/3.4528*1000</f>
        <v>3994758</v>
      </c>
      <c r="K39" s="891" t="s">
        <v>82</v>
      </c>
      <c r="L39" s="337">
        <v>6</v>
      </c>
      <c r="M39" s="337">
        <v>7</v>
      </c>
      <c r="N39" s="335">
        <v>8</v>
      </c>
    </row>
    <row r="40" spans="1:14" s="11" customFormat="1" ht="12.75" customHeight="1">
      <c r="A40" s="696"/>
      <c r="B40" s="699"/>
      <c r="C40" s="861"/>
      <c r="D40" s="872"/>
      <c r="E40" s="864"/>
      <c r="F40" s="873"/>
      <c r="G40" s="494" t="s">
        <v>124</v>
      </c>
      <c r="H40" s="346">
        <v>4792058</v>
      </c>
      <c r="I40" s="324"/>
      <c r="J40" s="469"/>
      <c r="K40" s="913"/>
      <c r="L40" s="82"/>
      <c r="M40" s="82"/>
      <c r="N40" s="83"/>
    </row>
    <row r="41" spans="1:14" s="11" customFormat="1" ht="13.5" thickBot="1">
      <c r="A41" s="697"/>
      <c r="B41" s="700"/>
      <c r="C41" s="850"/>
      <c r="D41" s="863"/>
      <c r="E41" s="865"/>
      <c r="F41" s="869"/>
      <c r="G41" s="95" t="s">
        <v>12</v>
      </c>
      <c r="H41" s="359">
        <f>H39+H40</f>
        <v>8745832</v>
      </c>
      <c r="I41" s="359">
        <f t="shared" ref="I41:J41" si="6">SUM(I39:I39)</f>
        <v>4674409</v>
      </c>
      <c r="J41" s="365">
        <f t="shared" si="6"/>
        <v>3994758</v>
      </c>
      <c r="K41" s="914"/>
      <c r="L41" s="338"/>
      <c r="M41" s="338"/>
      <c r="N41" s="336"/>
    </row>
    <row r="42" spans="1:14" s="11" customFormat="1" ht="12.75" customHeight="1">
      <c r="A42" s="695" t="s">
        <v>5</v>
      </c>
      <c r="B42" s="698" t="s">
        <v>5</v>
      </c>
      <c r="C42" s="861" t="s">
        <v>30</v>
      </c>
      <c r="D42" s="862" t="s">
        <v>62</v>
      </c>
      <c r="E42" s="864"/>
      <c r="F42" s="868" t="s">
        <v>42</v>
      </c>
      <c r="G42" s="73" t="s">
        <v>9</v>
      </c>
      <c r="H42" s="366">
        <f>100/3.4528*1000</f>
        <v>28962</v>
      </c>
      <c r="I42" s="367">
        <f>100/3.4528*1000</f>
        <v>28962</v>
      </c>
      <c r="J42" s="368">
        <f>100/3.4528*1000</f>
        <v>28962</v>
      </c>
      <c r="K42" s="28"/>
      <c r="L42" s="35"/>
      <c r="M42" s="35"/>
      <c r="N42" s="36"/>
    </row>
    <row r="43" spans="1:14" s="11" customFormat="1" ht="13.5" thickBot="1">
      <c r="A43" s="697"/>
      <c r="B43" s="700"/>
      <c r="C43" s="850"/>
      <c r="D43" s="863"/>
      <c r="E43" s="865"/>
      <c r="F43" s="869"/>
      <c r="G43" s="95" t="s">
        <v>12</v>
      </c>
      <c r="H43" s="369">
        <f>H42</f>
        <v>28962</v>
      </c>
      <c r="I43" s="359">
        <f t="shared" ref="I43:J43" si="7">SUM(I42:I42)</f>
        <v>28962</v>
      </c>
      <c r="J43" s="365">
        <f t="shared" si="7"/>
        <v>28962</v>
      </c>
      <c r="K43" s="29"/>
      <c r="L43" s="37"/>
      <c r="M43" s="37"/>
      <c r="N43" s="38"/>
    </row>
    <row r="44" spans="1:14" s="2" customFormat="1" ht="17.100000000000001" customHeight="1">
      <c r="A44" s="133" t="s">
        <v>5</v>
      </c>
      <c r="B44" s="40" t="s">
        <v>5</v>
      </c>
      <c r="C44" s="246" t="s">
        <v>31</v>
      </c>
      <c r="D44" s="837" t="s">
        <v>98</v>
      </c>
      <c r="E44" s="286"/>
      <c r="F44" s="571">
        <v>1</v>
      </c>
      <c r="G44" s="10" t="s">
        <v>9</v>
      </c>
      <c r="H44" s="431">
        <f>(809.5/3.4528*1000)+15000-5808</f>
        <v>243639</v>
      </c>
      <c r="I44" s="378">
        <f>(1316.6+25)/3.4528*1000</f>
        <v>388554</v>
      </c>
      <c r="J44" s="370">
        <f>(896.5+25)/3.4528*1000</f>
        <v>266885</v>
      </c>
      <c r="K44" s="109"/>
      <c r="L44" s="80"/>
      <c r="M44" s="110"/>
      <c r="N44" s="564"/>
    </row>
    <row r="45" spans="1:14" s="2" customFormat="1" ht="17.100000000000001" customHeight="1">
      <c r="A45" s="130"/>
      <c r="B45" s="41"/>
      <c r="C45" s="231"/>
      <c r="D45" s="760"/>
      <c r="E45" s="287"/>
      <c r="F45" s="113"/>
      <c r="G45" s="13" t="s">
        <v>211</v>
      </c>
      <c r="H45" s="371">
        <f>40/3.4528*1000</f>
        <v>11585</v>
      </c>
      <c r="I45" s="471">
        <f>30/3.4528*1000</f>
        <v>8689</v>
      </c>
      <c r="J45" s="322">
        <f>30/3.4528*1000</f>
        <v>8689</v>
      </c>
      <c r="K45" s="473"/>
      <c r="L45" s="81"/>
      <c r="M45" s="185"/>
      <c r="N45" s="83"/>
    </row>
    <row r="46" spans="1:14" s="2" customFormat="1" ht="17.100000000000001" customHeight="1">
      <c r="A46" s="130"/>
      <c r="B46" s="41"/>
      <c r="C46" s="231"/>
      <c r="D46" s="761"/>
      <c r="E46" s="287"/>
      <c r="F46" s="113"/>
      <c r="G46" s="13" t="s">
        <v>10</v>
      </c>
      <c r="H46" s="371">
        <f>14/3.4528*1000</f>
        <v>4055</v>
      </c>
      <c r="I46" s="471">
        <f>14/3.4528*1000</f>
        <v>4055</v>
      </c>
      <c r="J46" s="322">
        <f>5/3.4528*1000</f>
        <v>1448</v>
      </c>
      <c r="K46" s="57"/>
      <c r="L46" s="61"/>
      <c r="M46" s="67"/>
      <c r="N46" s="53"/>
    </row>
    <row r="47" spans="1:14" s="2" customFormat="1" ht="16.5" customHeight="1">
      <c r="A47" s="130"/>
      <c r="B47" s="41"/>
      <c r="C47" s="231"/>
      <c r="D47" s="854" t="s">
        <v>111</v>
      </c>
      <c r="E47" s="460"/>
      <c r="F47" s="456"/>
      <c r="G47" s="434"/>
      <c r="H47" s="366"/>
      <c r="I47" s="469"/>
      <c r="J47" s="324"/>
      <c r="K47" s="186" t="s">
        <v>171</v>
      </c>
      <c r="L47" s="81">
        <v>100</v>
      </c>
      <c r="M47" s="185">
        <v>100</v>
      </c>
      <c r="N47" s="83">
        <v>100</v>
      </c>
    </row>
    <row r="48" spans="1:14" s="2" customFormat="1" ht="15.75" customHeight="1">
      <c r="A48" s="130"/>
      <c r="B48" s="41"/>
      <c r="C48" s="231"/>
      <c r="D48" s="854"/>
      <c r="E48" s="460"/>
      <c r="F48" s="456"/>
      <c r="G48" s="434"/>
      <c r="H48" s="366"/>
      <c r="I48" s="469"/>
      <c r="J48" s="324"/>
      <c r="K48" s="187" t="s">
        <v>79</v>
      </c>
      <c r="L48" s="188">
        <v>38</v>
      </c>
      <c r="M48" s="270">
        <v>95</v>
      </c>
      <c r="N48" s="189">
        <v>95</v>
      </c>
    </row>
    <row r="49" spans="1:17" s="2" customFormat="1" ht="13.5" customHeight="1">
      <c r="A49" s="130"/>
      <c r="B49" s="41"/>
      <c r="C49" s="231"/>
      <c r="D49" s="854"/>
      <c r="E49" s="460"/>
      <c r="F49" s="456"/>
      <c r="G49" s="434"/>
      <c r="H49" s="366"/>
      <c r="I49" s="469"/>
      <c r="J49" s="324"/>
      <c r="K49" s="108" t="s">
        <v>172</v>
      </c>
      <c r="L49" s="61">
        <v>65</v>
      </c>
      <c r="M49" s="67">
        <v>40</v>
      </c>
      <c r="N49" s="53">
        <v>40</v>
      </c>
    </row>
    <row r="50" spans="1:17" s="2" customFormat="1" ht="16.5" customHeight="1">
      <c r="A50" s="130"/>
      <c r="B50" s="41"/>
      <c r="C50" s="231"/>
      <c r="D50" s="855" t="s">
        <v>40</v>
      </c>
      <c r="E50" s="457"/>
      <c r="F50" s="456"/>
      <c r="G50" s="434"/>
      <c r="H50" s="366"/>
      <c r="I50" s="469"/>
      <c r="J50" s="324"/>
      <c r="K50" s="150" t="s">
        <v>173</v>
      </c>
      <c r="L50" s="151">
        <v>19</v>
      </c>
      <c r="M50" s="271">
        <v>12</v>
      </c>
      <c r="N50" s="152">
        <v>12</v>
      </c>
    </row>
    <row r="51" spans="1:17" s="2" customFormat="1" ht="15.75" customHeight="1">
      <c r="A51" s="130"/>
      <c r="B51" s="41"/>
      <c r="C51" s="231"/>
      <c r="D51" s="856"/>
      <c r="E51" s="457"/>
      <c r="F51" s="456"/>
      <c r="G51" s="434"/>
      <c r="H51" s="366"/>
      <c r="I51" s="472"/>
      <c r="J51" s="373"/>
      <c r="K51" s="176"/>
      <c r="L51" s="272"/>
      <c r="M51" s="272"/>
      <c r="N51" s="273"/>
    </row>
    <row r="52" spans="1:17" s="2" customFormat="1" ht="51.75" thickBot="1">
      <c r="A52" s="134"/>
      <c r="B52" s="576"/>
      <c r="C52" s="252"/>
      <c r="D52" s="577" t="s">
        <v>61</v>
      </c>
      <c r="E52" s="578"/>
      <c r="F52" s="572"/>
      <c r="G52" s="579"/>
      <c r="H52" s="580"/>
      <c r="I52" s="581"/>
      <c r="J52" s="582"/>
      <c r="K52" s="583" t="s">
        <v>133</v>
      </c>
      <c r="L52" s="584">
        <v>5</v>
      </c>
      <c r="M52" s="584">
        <v>7</v>
      </c>
      <c r="N52" s="585">
        <v>5</v>
      </c>
    </row>
    <row r="53" spans="1:17" s="2" customFormat="1" ht="41.25" customHeight="1">
      <c r="A53" s="133"/>
      <c r="B53" s="40"/>
      <c r="C53" s="246"/>
      <c r="D53" s="586" t="s">
        <v>134</v>
      </c>
      <c r="E53" s="587"/>
      <c r="F53" s="588"/>
      <c r="G53" s="589"/>
      <c r="H53" s="590"/>
      <c r="I53" s="368"/>
      <c r="J53" s="591"/>
      <c r="K53" s="592" t="s">
        <v>80</v>
      </c>
      <c r="L53" s="59">
        <v>48</v>
      </c>
      <c r="M53" s="593">
        <v>10</v>
      </c>
      <c r="N53" s="594">
        <v>10</v>
      </c>
      <c r="O53" s="177"/>
    </row>
    <row r="54" spans="1:17" s="2" customFormat="1" ht="54" customHeight="1">
      <c r="A54" s="130"/>
      <c r="B54" s="87"/>
      <c r="C54" s="247"/>
      <c r="D54" s="570" t="s">
        <v>112</v>
      </c>
      <c r="E54" s="458"/>
      <c r="F54" s="456"/>
      <c r="G54" s="434"/>
      <c r="H54" s="366"/>
      <c r="I54" s="472"/>
      <c r="J54" s="373"/>
      <c r="K54" s="60" t="s">
        <v>174</v>
      </c>
      <c r="L54" s="58">
        <v>116</v>
      </c>
      <c r="M54" s="174">
        <v>116</v>
      </c>
      <c r="N54" s="175">
        <v>116</v>
      </c>
      <c r="O54" s="177"/>
    </row>
    <row r="55" spans="1:17" s="2" customFormat="1" ht="14.25" customHeight="1">
      <c r="A55" s="130"/>
      <c r="B55" s="87"/>
      <c r="C55" s="247"/>
      <c r="D55" s="857" t="s">
        <v>55</v>
      </c>
      <c r="E55" s="458"/>
      <c r="F55" s="456"/>
      <c r="G55" s="434"/>
      <c r="H55" s="437"/>
      <c r="I55" s="435"/>
      <c r="J55" s="436"/>
      <c r="K55" s="459" t="s">
        <v>135</v>
      </c>
      <c r="L55" s="320">
        <v>31</v>
      </c>
      <c r="M55" s="320">
        <v>28</v>
      </c>
      <c r="N55" s="321">
        <v>20</v>
      </c>
      <c r="O55" s="177"/>
    </row>
    <row r="56" spans="1:17" s="2" customFormat="1" ht="23.25" customHeight="1">
      <c r="A56" s="130"/>
      <c r="B56" s="87"/>
      <c r="C56" s="247"/>
      <c r="D56" s="854"/>
      <c r="E56" s="458"/>
      <c r="F56" s="456"/>
      <c r="G56" s="434"/>
      <c r="H56" s="437"/>
      <c r="I56" s="435"/>
      <c r="J56" s="436"/>
      <c r="K56" s="455" t="s">
        <v>136</v>
      </c>
      <c r="L56" s="274" t="s">
        <v>34</v>
      </c>
      <c r="M56" s="274" t="s">
        <v>34</v>
      </c>
      <c r="N56" s="275" t="s">
        <v>27</v>
      </c>
    </row>
    <row r="57" spans="1:17" s="2" customFormat="1" ht="39.75" customHeight="1">
      <c r="A57" s="130"/>
      <c r="B57" s="87"/>
      <c r="C57" s="247"/>
      <c r="D57" s="570" t="s">
        <v>191</v>
      </c>
      <c r="E57" s="458"/>
      <c r="F57" s="456"/>
      <c r="G57" s="434"/>
      <c r="H57" s="366"/>
      <c r="I57" s="472"/>
      <c r="J57" s="373"/>
      <c r="K57" s="136" t="s">
        <v>142</v>
      </c>
      <c r="L57" s="58">
        <v>30</v>
      </c>
      <c r="M57" s="174">
        <v>30</v>
      </c>
      <c r="N57" s="175">
        <v>30</v>
      </c>
      <c r="O57" s="15"/>
      <c r="P57" s="15"/>
    </row>
    <row r="58" spans="1:17" s="2" customFormat="1" ht="28.5" customHeight="1">
      <c r="A58" s="130"/>
      <c r="B58" s="87"/>
      <c r="C58" s="247"/>
      <c r="D58" s="759" t="s">
        <v>138</v>
      </c>
      <c r="E58" s="458"/>
      <c r="F58" s="456"/>
      <c r="G58" s="434"/>
      <c r="H58" s="366"/>
      <c r="I58" s="469"/>
      <c r="J58" s="324"/>
      <c r="K58" s="178" t="s">
        <v>175</v>
      </c>
      <c r="L58" s="151">
        <v>1</v>
      </c>
      <c r="M58" s="179"/>
      <c r="N58" s="152"/>
      <c r="O58" s="15"/>
    </row>
    <row r="59" spans="1:17" s="2" customFormat="1" ht="27" customHeight="1">
      <c r="A59" s="130"/>
      <c r="B59" s="87"/>
      <c r="C59" s="247"/>
      <c r="D59" s="761"/>
      <c r="E59" s="458"/>
      <c r="F59" s="456"/>
      <c r="G59" s="434"/>
      <c r="H59" s="366"/>
      <c r="I59" s="469"/>
      <c r="J59" s="324"/>
      <c r="K59" s="57" t="s">
        <v>165</v>
      </c>
      <c r="L59" s="61">
        <v>1</v>
      </c>
      <c r="M59" s="54"/>
      <c r="N59" s="53"/>
      <c r="O59" s="15"/>
    </row>
    <row r="60" spans="1:17" s="2" customFormat="1" ht="27" customHeight="1">
      <c r="A60" s="130"/>
      <c r="B60" s="87"/>
      <c r="C60" s="247"/>
      <c r="D60" s="866" t="s">
        <v>137</v>
      </c>
      <c r="E60" s="458"/>
      <c r="F60" s="456"/>
      <c r="G60" s="434"/>
      <c r="H60" s="366"/>
      <c r="I60" s="469"/>
      <c r="J60" s="324"/>
      <c r="K60" s="178" t="s">
        <v>176</v>
      </c>
      <c r="L60" s="151">
        <v>2</v>
      </c>
      <c r="M60" s="179"/>
      <c r="N60" s="152"/>
      <c r="O60" s="15"/>
    </row>
    <row r="61" spans="1:17" s="2" customFormat="1" ht="16.5" customHeight="1">
      <c r="A61" s="130"/>
      <c r="B61" s="87"/>
      <c r="C61" s="247"/>
      <c r="D61" s="867"/>
      <c r="E61" s="458"/>
      <c r="F61" s="456"/>
      <c r="G61" s="434"/>
      <c r="H61" s="366"/>
      <c r="I61" s="469"/>
      <c r="J61" s="324"/>
      <c r="K61" s="280" t="s">
        <v>201</v>
      </c>
      <c r="L61" s="468">
        <v>1</v>
      </c>
      <c r="M61" s="169"/>
      <c r="N61" s="170"/>
      <c r="O61" s="15"/>
    </row>
    <row r="62" spans="1:17" s="2" customFormat="1" ht="27" customHeight="1">
      <c r="A62" s="130"/>
      <c r="B62" s="87"/>
      <c r="C62" s="247"/>
      <c r="D62" s="761"/>
      <c r="E62" s="458"/>
      <c r="F62" s="456"/>
      <c r="G62" s="434"/>
      <c r="H62" s="366"/>
      <c r="I62" s="469"/>
      <c r="J62" s="324"/>
      <c r="K62" s="138" t="s">
        <v>205</v>
      </c>
      <c r="L62" s="137">
        <v>60</v>
      </c>
      <c r="M62" s="54"/>
      <c r="N62" s="53"/>
      <c r="O62" s="15"/>
    </row>
    <row r="63" spans="1:17" s="2" customFormat="1" ht="28.5" customHeight="1">
      <c r="A63" s="130"/>
      <c r="B63" s="87"/>
      <c r="C63" s="247"/>
      <c r="D63" s="569" t="s">
        <v>140</v>
      </c>
      <c r="E63" s="112"/>
      <c r="F63" s="113"/>
      <c r="G63" s="434"/>
      <c r="H63" s="366"/>
      <c r="I63" s="472"/>
      <c r="J63" s="373"/>
      <c r="K63" s="57" t="s">
        <v>139</v>
      </c>
      <c r="L63" s="61"/>
      <c r="M63" s="54">
        <v>2</v>
      </c>
      <c r="N63" s="53"/>
      <c r="O63" s="15"/>
    </row>
    <row r="64" spans="1:17" s="2" customFormat="1" ht="53.25" customHeight="1">
      <c r="A64" s="130"/>
      <c r="B64" s="87"/>
      <c r="C64" s="89"/>
      <c r="D64" s="569" t="s">
        <v>192</v>
      </c>
      <c r="E64" s="858"/>
      <c r="F64" s="912"/>
      <c r="G64" s="434"/>
      <c r="H64" s="413"/>
      <c r="I64" s="469"/>
      <c r="J64" s="324"/>
      <c r="K64" s="138" t="s">
        <v>177</v>
      </c>
      <c r="L64" s="184" t="s">
        <v>146</v>
      </c>
      <c r="M64" s="259" t="s">
        <v>147</v>
      </c>
      <c r="N64" s="276" t="s">
        <v>147</v>
      </c>
      <c r="O64" s="15"/>
      <c r="P64" s="15"/>
      <c r="Q64" s="15"/>
    </row>
    <row r="65" spans="1:17" s="2" customFormat="1" ht="36" customHeight="1">
      <c r="A65" s="130"/>
      <c r="B65" s="87"/>
      <c r="C65" s="89"/>
      <c r="D65" s="772" t="s">
        <v>203</v>
      </c>
      <c r="E65" s="859"/>
      <c r="F65" s="912"/>
      <c r="G65" s="434"/>
      <c r="H65" s="413"/>
      <c r="I65" s="469"/>
      <c r="J65" s="324"/>
      <c r="K65" s="476" t="s">
        <v>212</v>
      </c>
      <c r="L65" s="475" t="s">
        <v>204</v>
      </c>
      <c r="M65" s="168" t="s">
        <v>204</v>
      </c>
      <c r="N65" s="470" t="s">
        <v>204</v>
      </c>
      <c r="O65" s="15"/>
      <c r="P65" s="15"/>
      <c r="Q65" s="15"/>
    </row>
    <row r="66" spans="1:17" s="2" customFormat="1" ht="13.5" thickBot="1">
      <c r="A66" s="134"/>
      <c r="B66" s="88"/>
      <c r="C66" s="238"/>
      <c r="D66" s="773"/>
      <c r="E66" s="860"/>
      <c r="F66" s="879"/>
      <c r="G66" s="107" t="s">
        <v>12</v>
      </c>
      <c r="H66" s="410">
        <f>H44+H45+H46</f>
        <v>259279</v>
      </c>
      <c r="I66" s="365">
        <f>I44+I45+I46</f>
        <v>401298</v>
      </c>
      <c r="J66" s="359">
        <f>J44+J45+J46</f>
        <v>277022</v>
      </c>
      <c r="K66" s="474"/>
      <c r="L66" s="244"/>
      <c r="M66" s="244"/>
      <c r="N66" s="245"/>
    </row>
    <row r="67" spans="1:17" s="2" customFormat="1" ht="24" customHeight="1">
      <c r="A67" s="695" t="s">
        <v>5</v>
      </c>
      <c r="B67" s="698" t="s">
        <v>5</v>
      </c>
      <c r="C67" s="849" t="s">
        <v>27</v>
      </c>
      <c r="D67" s="837" t="s">
        <v>44</v>
      </c>
      <c r="E67" s="852"/>
      <c r="F67" s="838">
        <v>1</v>
      </c>
      <c r="G67" s="44" t="s">
        <v>9</v>
      </c>
      <c r="H67" s="344">
        <f>30/3.4528*1000+5808</f>
        <v>14497</v>
      </c>
      <c r="I67" s="367">
        <f>30/3.4528*1000</f>
        <v>8689</v>
      </c>
      <c r="J67" s="377">
        <f>30/3.4528*1000</f>
        <v>8689</v>
      </c>
      <c r="K67" s="100" t="s">
        <v>178</v>
      </c>
      <c r="L67" s="80">
        <v>5</v>
      </c>
      <c r="M67" s="337">
        <v>5</v>
      </c>
      <c r="N67" s="335">
        <v>5</v>
      </c>
    </row>
    <row r="68" spans="1:17" s="2" customFormat="1" ht="15" customHeight="1" thickBot="1">
      <c r="A68" s="697"/>
      <c r="B68" s="700"/>
      <c r="C68" s="850"/>
      <c r="D68" s="851"/>
      <c r="E68" s="853"/>
      <c r="F68" s="839"/>
      <c r="G68" s="107" t="s">
        <v>12</v>
      </c>
      <c r="H68" s="365">
        <f t="shared" ref="H68" si="8">SUM(H67)</f>
        <v>14497</v>
      </c>
      <c r="I68" s="359">
        <f>I67</f>
        <v>8689</v>
      </c>
      <c r="J68" s="359">
        <f>J67</f>
        <v>8689</v>
      </c>
      <c r="K68" s="139"/>
      <c r="L68" s="70"/>
      <c r="M68" s="258"/>
      <c r="N68" s="257"/>
    </row>
    <row r="69" spans="1:17" s="20" customFormat="1" ht="15" customHeight="1">
      <c r="A69" s="695" t="s">
        <v>5</v>
      </c>
      <c r="B69" s="698" t="s">
        <v>5</v>
      </c>
      <c r="C69" s="750" t="s">
        <v>32</v>
      </c>
      <c r="D69" s="463" t="s">
        <v>105</v>
      </c>
      <c r="E69" s="841"/>
      <c r="F69" s="845" t="s">
        <v>43</v>
      </c>
      <c r="G69" s="126"/>
      <c r="H69" s="431"/>
      <c r="I69" s="378"/>
      <c r="J69" s="370"/>
      <c r="K69" s="123"/>
      <c r="L69" s="59"/>
      <c r="M69" s="35"/>
      <c r="N69" s="36"/>
    </row>
    <row r="70" spans="1:17" s="20" customFormat="1" ht="25.5" customHeight="1">
      <c r="A70" s="696"/>
      <c r="B70" s="699"/>
      <c r="C70" s="751"/>
      <c r="D70" s="464" t="s">
        <v>107</v>
      </c>
      <c r="E70" s="842"/>
      <c r="F70" s="846"/>
      <c r="G70" s="461" t="s">
        <v>36</v>
      </c>
      <c r="H70" s="348">
        <f>988.793/3.4528*1000</f>
        <v>286374</v>
      </c>
      <c r="I70" s="462">
        <f>947/3.4528*1000</f>
        <v>274270</v>
      </c>
      <c r="J70" s="374">
        <f>947/3.4528*1000</f>
        <v>274270</v>
      </c>
      <c r="K70" s="138" t="s">
        <v>109</v>
      </c>
      <c r="L70" s="61">
        <v>780</v>
      </c>
      <c r="M70" s="54">
        <v>780</v>
      </c>
      <c r="N70" s="53">
        <v>780</v>
      </c>
    </row>
    <row r="71" spans="1:17" s="20" customFormat="1" ht="18.75" customHeight="1">
      <c r="A71" s="696"/>
      <c r="B71" s="699"/>
      <c r="C71" s="840"/>
      <c r="D71" s="122" t="s">
        <v>106</v>
      </c>
      <c r="E71" s="843"/>
      <c r="F71" s="847"/>
      <c r="G71" s="127" t="s">
        <v>36</v>
      </c>
      <c r="H71" s="346">
        <v>7820</v>
      </c>
      <c r="I71" s="379">
        <f>33/3.4528*1000</f>
        <v>9557</v>
      </c>
      <c r="J71" s="376">
        <f>33/3.4528*1000</f>
        <v>9557</v>
      </c>
      <c r="K71" s="831" t="s">
        <v>108</v>
      </c>
      <c r="L71" s="81">
        <v>1</v>
      </c>
      <c r="M71" s="82">
        <v>1</v>
      </c>
      <c r="N71" s="83">
        <v>1</v>
      </c>
    </row>
    <row r="72" spans="1:17" s="20" customFormat="1" ht="13.5" customHeight="1" thickBot="1">
      <c r="A72" s="697"/>
      <c r="B72" s="700"/>
      <c r="C72" s="752"/>
      <c r="D72" s="125"/>
      <c r="E72" s="844"/>
      <c r="F72" s="848"/>
      <c r="G72" s="107" t="s">
        <v>12</v>
      </c>
      <c r="H72" s="380">
        <f>H71+H70</f>
        <v>294194</v>
      </c>
      <c r="I72" s="380">
        <f t="shared" ref="I72:J72" si="9">I71+I70</f>
        <v>283827</v>
      </c>
      <c r="J72" s="380">
        <f t="shared" si="9"/>
        <v>283827</v>
      </c>
      <c r="K72" s="832"/>
      <c r="L72" s="70"/>
      <c r="M72" s="101"/>
      <c r="N72" s="102"/>
    </row>
    <row r="73" spans="1:17" s="2" customFormat="1" ht="13.5" thickBot="1">
      <c r="A73" s="215" t="s">
        <v>5</v>
      </c>
      <c r="B73" s="217" t="s">
        <v>5</v>
      </c>
      <c r="C73" s="833" t="s">
        <v>13</v>
      </c>
      <c r="D73" s="739"/>
      <c r="E73" s="739"/>
      <c r="F73" s="739"/>
      <c r="G73" s="834"/>
      <c r="H73" s="381">
        <f>H72+H68+H66+H43+H41+H38+H33+H31+H29+H27+H25</f>
        <v>16836632</v>
      </c>
      <c r="I73" s="381">
        <f>I72+I68+I66+I43+I41+I38+I33+I31+I29+I27+I25</f>
        <v>12197839</v>
      </c>
      <c r="J73" s="381">
        <f>J72+J68+J66+J43+J41+J38+J33+J31+J29+J27+J25</f>
        <v>11352178</v>
      </c>
      <c r="K73" s="103"/>
      <c r="L73" s="124"/>
      <c r="M73" s="124"/>
      <c r="N73" s="104"/>
    </row>
    <row r="74" spans="1:17" s="2" customFormat="1" ht="13.5" thickBot="1">
      <c r="A74" s="135" t="s">
        <v>5</v>
      </c>
      <c r="B74" s="21" t="s">
        <v>6</v>
      </c>
      <c r="C74" s="740" t="s">
        <v>54</v>
      </c>
      <c r="D74" s="741"/>
      <c r="E74" s="741"/>
      <c r="F74" s="741"/>
      <c r="G74" s="741"/>
      <c r="H74" s="741"/>
      <c r="I74" s="741"/>
      <c r="J74" s="741"/>
      <c r="K74" s="741"/>
      <c r="L74" s="741"/>
      <c r="M74" s="741"/>
      <c r="N74" s="743"/>
    </row>
    <row r="75" spans="1:17" s="2" customFormat="1" ht="14.25" customHeight="1">
      <c r="A75" s="260" t="s">
        <v>5</v>
      </c>
      <c r="B75" s="262" t="s">
        <v>6</v>
      </c>
      <c r="C75" s="264" t="s">
        <v>5</v>
      </c>
      <c r="D75" s="837" t="s">
        <v>154</v>
      </c>
      <c r="E75" s="835" t="s">
        <v>89</v>
      </c>
      <c r="F75" s="141" t="s">
        <v>42</v>
      </c>
      <c r="G75" s="522" t="s">
        <v>9</v>
      </c>
      <c r="H75" s="523">
        <f>1268.3/3.4528*1000</f>
        <v>367325</v>
      </c>
      <c r="I75" s="524">
        <f>973.5/3.4528*1000</f>
        <v>281945</v>
      </c>
      <c r="J75" s="525">
        <f>1173.5/3.4528*1000</f>
        <v>339869</v>
      </c>
      <c r="K75" s="306" t="s">
        <v>179</v>
      </c>
      <c r="L75" s="307" t="s">
        <v>157</v>
      </c>
      <c r="M75" s="308" t="s">
        <v>158</v>
      </c>
      <c r="N75" s="309" t="s">
        <v>159</v>
      </c>
    </row>
    <row r="76" spans="1:17" s="2" customFormat="1" ht="14.25" customHeight="1">
      <c r="A76" s="517"/>
      <c r="B76" s="518"/>
      <c r="C76" s="519"/>
      <c r="D76" s="761"/>
      <c r="E76" s="719"/>
      <c r="F76" s="68"/>
      <c r="G76" s="526" t="s">
        <v>36</v>
      </c>
      <c r="H76" s="531">
        <f>29860+16137+4836</f>
        <v>50833</v>
      </c>
      <c r="I76" s="527"/>
      <c r="J76" s="528"/>
      <c r="K76" s="520"/>
      <c r="L76" s="521"/>
      <c r="M76" s="212"/>
      <c r="N76" s="511"/>
    </row>
    <row r="77" spans="1:17" s="2" customFormat="1" ht="14.25" customHeight="1">
      <c r="A77" s="266"/>
      <c r="B77" s="267"/>
      <c r="C77" s="265"/>
      <c r="D77" s="759" t="s">
        <v>155</v>
      </c>
      <c r="E77" s="836"/>
      <c r="F77" s="68"/>
      <c r="G77" s="295"/>
      <c r="H77" s="387"/>
      <c r="I77" s="324"/>
      <c r="J77" s="325"/>
      <c r="K77" s="155" t="s">
        <v>102</v>
      </c>
      <c r="L77" s="299">
        <v>439</v>
      </c>
      <c r="M77" s="298">
        <v>439</v>
      </c>
      <c r="N77" s="300">
        <v>439</v>
      </c>
    </row>
    <row r="78" spans="1:17" s="2" customFormat="1" ht="15.75" customHeight="1">
      <c r="A78" s="304"/>
      <c r="B78" s="303"/>
      <c r="C78" s="302"/>
      <c r="D78" s="761"/>
      <c r="E78" s="836"/>
      <c r="F78" s="68"/>
      <c r="G78" s="295"/>
      <c r="H78" s="387"/>
      <c r="I78" s="324"/>
      <c r="J78" s="325"/>
      <c r="K78" s="310" t="s">
        <v>152</v>
      </c>
      <c r="L78" s="311">
        <v>1</v>
      </c>
      <c r="M78" s="312"/>
      <c r="N78" s="313"/>
    </row>
    <row r="79" spans="1:17" s="2" customFormat="1" ht="25.5">
      <c r="A79" s="266"/>
      <c r="B79" s="267"/>
      <c r="C79" s="265"/>
      <c r="D79" s="268" t="s">
        <v>156</v>
      </c>
      <c r="E79" s="836"/>
      <c r="F79" s="68"/>
      <c r="G79" s="295"/>
      <c r="H79" s="366"/>
      <c r="I79" s="324"/>
      <c r="J79" s="325"/>
      <c r="K79" s="65" t="s">
        <v>153</v>
      </c>
      <c r="L79" s="314">
        <v>439</v>
      </c>
      <c r="M79" s="315"/>
      <c r="N79" s="316"/>
    </row>
    <row r="80" spans="1:17" s="2" customFormat="1" ht="54" customHeight="1">
      <c r="A80" s="266"/>
      <c r="B80" s="267"/>
      <c r="C80" s="265"/>
      <c r="D80" s="772" t="s">
        <v>160</v>
      </c>
      <c r="E80" s="836"/>
      <c r="F80" s="68"/>
      <c r="G80" s="301"/>
      <c r="H80" s="360"/>
      <c r="I80" s="326"/>
      <c r="J80" s="327"/>
      <c r="K80" s="305"/>
      <c r="L80" s="165"/>
      <c r="M80" s="296"/>
      <c r="N80" s="297"/>
    </row>
    <row r="81" spans="1:14" s="2" customFormat="1" ht="13.5" thickBot="1">
      <c r="A81" s="261"/>
      <c r="B81" s="263"/>
      <c r="C81" s="269"/>
      <c r="D81" s="773"/>
      <c r="E81" s="251"/>
      <c r="F81" s="253"/>
      <c r="G81" s="317" t="s">
        <v>12</v>
      </c>
      <c r="H81" s="355">
        <f>SUM(H75:H80)</f>
        <v>418158</v>
      </c>
      <c r="I81" s="350">
        <f>SUM(I75:I80)</f>
        <v>281945</v>
      </c>
      <c r="J81" s="351">
        <f>SUM(J75:J80)</f>
        <v>339869</v>
      </c>
      <c r="K81" s="243"/>
      <c r="L81" s="244"/>
      <c r="M81" s="244"/>
      <c r="N81" s="245"/>
    </row>
    <row r="82" spans="1:14" s="11" customFormat="1" ht="18.75" customHeight="1">
      <c r="A82" s="218" t="s">
        <v>5</v>
      </c>
      <c r="B82" s="219" t="s">
        <v>6</v>
      </c>
      <c r="C82" s="77" t="s">
        <v>6</v>
      </c>
      <c r="D82" s="821" t="s">
        <v>113</v>
      </c>
      <c r="E82" s="824"/>
      <c r="F82" s="827" t="s">
        <v>43</v>
      </c>
      <c r="G82" s="71" t="s">
        <v>9</v>
      </c>
      <c r="H82" s="562">
        <f>24415-4146-16025</f>
        <v>4244</v>
      </c>
      <c r="I82" s="388"/>
      <c r="J82" s="389"/>
      <c r="K82" s="197" t="s">
        <v>117</v>
      </c>
      <c r="L82" s="158">
        <v>3</v>
      </c>
      <c r="M82" s="159"/>
      <c r="N82" s="160"/>
    </row>
    <row r="83" spans="1:14" s="11" customFormat="1">
      <c r="A83" s="218"/>
      <c r="B83" s="219"/>
      <c r="C83" s="77"/>
      <c r="D83" s="821"/>
      <c r="E83" s="824"/>
      <c r="F83" s="827"/>
      <c r="G83" s="71" t="s">
        <v>87</v>
      </c>
      <c r="H83" s="406">
        <f>172324</f>
        <v>172324</v>
      </c>
      <c r="I83" s="390"/>
      <c r="J83" s="389"/>
      <c r="K83" s="830" t="s">
        <v>162</v>
      </c>
      <c r="L83" s="200" t="s">
        <v>42</v>
      </c>
      <c r="M83" s="198"/>
      <c r="N83" s="199"/>
    </row>
    <row r="84" spans="1:14" s="11" customFormat="1" ht="13.5" thickBot="1">
      <c r="A84" s="215"/>
      <c r="B84" s="217"/>
      <c r="C84" s="78"/>
      <c r="D84" s="822"/>
      <c r="E84" s="825"/>
      <c r="F84" s="828"/>
      <c r="G84" s="142" t="s">
        <v>12</v>
      </c>
      <c r="H84" s="391">
        <f>H83+H82</f>
        <v>176568</v>
      </c>
      <c r="I84" s="392">
        <f t="shared" ref="I84:J84" si="10">I83+I82</f>
        <v>0</v>
      </c>
      <c r="J84" s="393">
        <f t="shared" si="10"/>
        <v>0</v>
      </c>
      <c r="K84" s="771"/>
      <c r="L84" s="161"/>
      <c r="M84" s="162"/>
      <c r="N84" s="163"/>
    </row>
    <row r="85" spans="1:14" s="11" customFormat="1" ht="17.25" customHeight="1">
      <c r="A85" s="214" t="s">
        <v>5</v>
      </c>
      <c r="B85" s="216" t="s">
        <v>6</v>
      </c>
      <c r="C85" s="76" t="s">
        <v>7</v>
      </c>
      <c r="D85" s="820" t="s">
        <v>114</v>
      </c>
      <c r="E85" s="823" t="s">
        <v>84</v>
      </c>
      <c r="F85" s="826" t="s">
        <v>42</v>
      </c>
      <c r="G85" s="62" t="s">
        <v>86</v>
      </c>
      <c r="H85" s="394">
        <f>2.1/3.4528*1000</f>
        <v>608</v>
      </c>
      <c r="I85" s="388"/>
      <c r="J85" s="395"/>
      <c r="K85" s="735" t="s">
        <v>161</v>
      </c>
      <c r="L85" s="117">
        <v>30</v>
      </c>
      <c r="M85" s="118"/>
      <c r="N85" s="119"/>
    </row>
    <row r="86" spans="1:14" s="11" customFormat="1">
      <c r="A86" s="218"/>
      <c r="B86" s="219"/>
      <c r="C86" s="77"/>
      <c r="D86" s="821"/>
      <c r="E86" s="824"/>
      <c r="F86" s="827"/>
      <c r="G86" s="71" t="s">
        <v>11</v>
      </c>
      <c r="H86" s="396">
        <f>12/3.4528*1000</f>
        <v>3475</v>
      </c>
      <c r="I86" s="397"/>
      <c r="J86" s="389"/>
      <c r="K86" s="829"/>
      <c r="L86" s="203"/>
      <c r="M86" s="204"/>
      <c r="N86" s="205"/>
    </row>
    <row r="87" spans="1:14" s="11" customFormat="1" ht="13.5" thickBot="1">
      <c r="A87" s="215"/>
      <c r="B87" s="217"/>
      <c r="C87" s="78"/>
      <c r="D87" s="822"/>
      <c r="E87" s="825"/>
      <c r="F87" s="828"/>
      <c r="G87" s="96" t="s">
        <v>12</v>
      </c>
      <c r="H87" s="398">
        <f>H86+H85</f>
        <v>4083</v>
      </c>
      <c r="I87" s="399">
        <f t="shared" ref="I87:J87" si="11">SUM(I85)</f>
        <v>0</v>
      </c>
      <c r="J87" s="400">
        <f t="shared" si="11"/>
        <v>0</v>
      </c>
      <c r="K87" s="207"/>
      <c r="L87" s="161"/>
      <c r="M87" s="162"/>
      <c r="N87" s="208"/>
    </row>
    <row r="88" spans="1:14" s="2" customFormat="1" ht="24" customHeight="1">
      <c r="A88" s="744" t="s">
        <v>5</v>
      </c>
      <c r="B88" s="747" t="s">
        <v>6</v>
      </c>
      <c r="C88" s="750" t="s">
        <v>8</v>
      </c>
      <c r="D88" s="732" t="s">
        <v>23</v>
      </c>
      <c r="E88" s="817" t="s">
        <v>95</v>
      </c>
      <c r="F88" s="710" t="s">
        <v>42</v>
      </c>
      <c r="G88" s="10" t="s">
        <v>9</v>
      </c>
      <c r="H88" s="495">
        <f>33972+68039</f>
        <v>102011</v>
      </c>
      <c r="I88" s="354"/>
      <c r="J88" s="401"/>
      <c r="K88" s="735" t="s">
        <v>132</v>
      </c>
      <c r="L88" s="117">
        <v>1</v>
      </c>
      <c r="M88" s="221"/>
      <c r="N88" s="223"/>
    </row>
    <row r="89" spans="1:14" s="2" customFormat="1" ht="19.5" customHeight="1">
      <c r="A89" s="745"/>
      <c r="B89" s="748"/>
      <c r="C89" s="751"/>
      <c r="D89" s="816"/>
      <c r="E89" s="818"/>
      <c r="F89" s="721"/>
      <c r="G89" s="13" t="s">
        <v>11</v>
      </c>
      <c r="H89" s="371">
        <f>665.1/3.4528*1000</f>
        <v>192626</v>
      </c>
      <c r="I89" s="322"/>
      <c r="J89" s="402"/>
      <c r="K89" s="736"/>
      <c r="L89" s="206"/>
      <c r="M89" s="82"/>
      <c r="N89" s="83"/>
    </row>
    <row r="90" spans="1:14" s="2" customFormat="1" ht="20.25" customHeight="1" thickBot="1">
      <c r="A90" s="746"/>
      <c r="B90" s="749"/>
      <c r="C90" s="752"/>
      <c r="D90" s="734"/>
      <c r="E90" s="819"/>
      <c r="F90" s="712"/>
      <c r="G90" s="143" t="s">
        <v>12</v>
      </c>
      <c r="H90" s="358">
        <f>SUM(H88:H89)</f>
        <v>294637</v>
      </c>
      <c r="I90" s="359"/>
      <c r="J90" s="380"/>
      <c r="K90" s="209"/>
      <c r="L90" s="228"/>
      <c r="M90" s="228"/>
      <c r="N90" s="210"/>
    </row>
    <row r="91" spans="1:14" s="2" customFormat="1" ht="13.5" thickBot="1">
      <c r="A91" s="135" t="s">
        <v>5</v>
      </c>
      <c r="B91" s="9" t="s">
        <v>6</v>
      </c>
      <c r="C91" s="737" t="s">
        <v>13</v>
      </c>
      <c r="D91" s="738"/>
      <c r="E91" s="738"/>
      <c r="F91" s="738"/>
      <c r="G91" s="739"/>
      <c r="H91" s="328">
        <f>H90+H81+H84+H87</f>
        <v>893446</v>
      </c>
      <c r="I91" s="329">
        <f t="shared" ref="I91" si="12">I90+I81+I84+I87</f>
        <v>281945</v>
      </c>
      <c r="J91" s="330">
        <f>J90+J81+J84+J87</f>
        <v>339869</v>
      </c>
      <c r="K91" s="97"/>
      <c r="L91" s="98"/>
      <c r="M91" s="98"/>
      <c r="N91" s="99"/>
    </row>
    <row r="92" spans="1:14" s="2" customFormat="1" ht="13.5" thickBot="1">
      <c r="A92" s="214" t="s">
        <v>5</v>
      </c>
      <c r="B92" s="72" t="s">
        <v>7</v>
      </c>
      <c r="C92" s="740" t="s">
        <v>33</v>
      </c>
      <c r="D92" s="741"/>
      <c r="E92" s="741"/>
      <c r="F92" s="741"/>
      <c r="G92" s="741"/>
      <c r="H92" s="742"/>
      <c r="I92" s="741"/>
      <c r="J92" s="741"/>
      <c r="K92" s="741"/>
      <c r="L92" s="741"/>
      <c r="M92" s="741"/>
      <c r="N92" s="743"/>
    </row>
    <row r="93" spans="1:14" s="11" customFormat="1" ht="21" customHeight="1">
      <c r="A93" s="695" t="s">
        <v>5</v>
      </c>
      <c r="B93" s="698" t="s">
        <v>7</v>
      </c>
      <c r="C93" s="701" t="s">
        <v>5</v>
      </c>
      <c r="D93" s="732" t="s">
        <v>52</v>
      </c>
      <c r="E93" s="707" t="s">
        <v>83</v>
      </c>
      <c r="F93" s="710" t="s">
        <v>42</v>
      </c>
      <c r="G93" s="10" t="s">
        <v>9</v>
      </c>
      <c r="H93" s="403">
        <f>16.5/3.4528*1000</f>
        <v>4779</v>
      </c>
      <c r="I93" s="404"/>
      <c r="J93" s="405"/>
      <c r="K93" s="225" t="s">
        <v>58</v>
      </c>
      <c r="L93" s="221">
        <v>220</v>
      </c>
      <c r="M93" s="221"/>
      <c r="N93" s="223"/>
    </row>
    <row r="94" spans="1:14" s="11" customFormat="1" ht="18" customHeight="1">
      <c r="A94" s="696"/>
      <c r="B94" s="699"/>
      <c r="C94" s="702"/>
      <c r="D94" s="733"/>
      <c r="E94" s="708"/>
      <c r="F94" s="711"/>
      <c r="G94" s="19" t="s">
        <v>11</v>
      </c>
      <c r="H94" s="406">
        <f>93.1/3.4528*1000</f>
        <v>26964</v>
      </c>
      <c r="I94" s="407"/>
      <c r="J94" s="408"/>
      <c r="K94" s="193"/>
      <c r="L94" s="212"/>
      <c r="M94" s="64"/>
      <c r="N94" s="105"/>
    </row>
    <row r="95" spans="1:14" s="11" customFormat="1" ht="15" customHeight="1" thickBot="1">
      <c r="A95" s="697"/>
      <c r="B95" s="700"/>
      <c r="C95" s="703"/>
      <c r="D95" s="734"/>
      <c r="E95" s="709"/>
      <c r="F95" s="712"/>
      <c r="G95" s="107" t="s">
        <v>12</v>
      </c>
      <c r="H95" s="359">
        <f>H94+H93</f>
        <v>31743</v>
      </c>
      <c r="I95" s="380">
        <f t="shared" ref="I95:J95" si="13">I94+I93</f>
        <v>0</v>
      </c>
      <c r="J95" s="365">
        <f t="shared" si="13"/>
        <v>0</v>
      </c>
      <c r="K95" s="211"/>
      <c r="L95" s="222"/>
      <c r="M95" s="222"/>
      <c r="N95" s="224"/>
    </row>
    <row r="96" spans="1:14" s="11" customFormat="1" ht="42.75" customHeight="1">
      <c r="A96" s="695" t="s">
        <v>5</v>
      </c>
      <c r="B96" s="698" t="s">
        <v>7</v>
      </c>
      <c r="C96" s="701" t="s">
        <v>6</v>
      </c>
      <c r="D96" s="704" t="s">
        <v>223</v>
      </c>
      <c r="E96" s="707" t="s">
        <v>83</v>
      </c>
      <c r="F96" s="710" t="s">
        <v>42</v>
      </c>
      <c r="G96" s="10" t="s">
        <v>9</v>
      </c>
      <c r="H96" s="615">
        <v>3395</v>
      </c>
      <c r="I96" s="378">
        <v>563</v>
      </c>
      <c r="J96" s="405"/>
      <c r="K96" s="30" t="s">
        <v>58</v>
      </c>
      <c r="L96" s="69"/>
      <c r="M96" s="69">
        <v>20</v>
      </c>
      <c r="N96" s="75"/>
    </row>
    <row r="97" spans="1:19" s="11" customFormat="1" ht="29.25" customHeight="1">
      <c r="A97" s="696"/>
      <c r="B97" s="699"/>
      <c r="C97" s="702"/>
      <c r="D97" s="705"/>
      <c r="E97" s="708"/>
      <c r="F97" s="711"/>
      <c r="G97" s="19" t="s">
        <v>220</v>
      </c>
      <c r="H97" s="616"/>
      <c r="I97" s="617">
        <v>3190</v>
      </c>
      <c r="J97" s="408"/>
      <c r="K97" s="713" t="s">
        <v>219</v>
      </c>
      <c r="L97" s="611"/>
      <c r="M97" s="611">
        <v>1</v>
      </c>
      <c r="N97" s="105"/>
    </row>
    <row r="98" spans="1:19" s="11" customFormat="1" ht="45.75" customHeight="1" thickBot="1">
      <c r="A98" s="697"/>
      <c r="B98" s="700"/>
      <c r="C98" s="703"/>
      <c r="D98" s="706"/>
      <c r="E98" s="709"/>
      <c r="F98" s="712"/>
      <c r="G98" s="107" t="s">
        <v>12</v>
      </c>
      <c r="H98" s="359">
        <f>H97+H96</f>
        <v>3395</v>
      </c>
      <c r="I98" s="380">
        <f>I97+I96</f>
        <v>3753</v>
      </c>
      <c r="J98" s="365">
        <f t="shared" ref="J98" si="14">J97+J96</f>
        <v>0</v>
      </c>
      <c r="K98" s="714"/>
      <c r="L98" s="612"/>
      <c r="M98" s="612"/>
      <c r="N98" s="604"/>
    </row>
    <row r="99" spans="1:19" s="2" customFormat="1" ht="24" customHeight="1">
      <c r="A99" s="695" t="s">
        <v>5</v>
      </c>
      <c r="B99" s="698" t="s">
        <v>7</v>
      </c>
      <c r="C99" s="701" t="s">
        <v>7</v>
      </c>
      <c r="D99" s="730" t="s">
        <v>115</v>
      </c>
      <c r="E99" s="731"/>
      <c r="F99" s="710" t="s">
        <v>42</v>
      </c>
      <c r="G99" s="44" t="s">
        <v>11</v>
      </c>
      <c r="H99" s="431">
        <f>3/3.4528*1000</f>
        <v>869</v>
      </c>
      <c r="I99" s="595"/>
      <c r="J99" s="353"/>
      <c r="K99" s="563" t="s">
        <v>180</v>
      </c>
      <c r="L99" s="565">
        <v>1</v>
      </c>
      <c r="M99" s="565"/>
      <c r="N99" s="564"/>
    </row>
    <row r="100" spans="1:19" s="2" customFormat="1" ht="15" customHeight="1" thickBot="1">
      <c r="A100" s="697"/>
      <c r="B100" s="700"/>
      <c r="C100" s="703"/>
      <c r="D100" s="717"/>
      <c r="E100" s="720"/>
      <c r="F100" s="712"/>
      <c r="G100" s="92" t="s">
        <v>12</v>
      </c>
      <c r="H100" s="359">
        <f>H99</f>
        <v>869</v>
      </c>
      <c r="I100" s="410"/>
      <c r="J100" s="365"/>
      <c r="K100" s="566"/>
      <c r="L100" s="567"/>
      <c r="M100" s="567"/>
      <c r="N100" s="568"/>
    </row>
    <row r="101" spans="1:19" s="2" customFormat="1" ht="15" customHeight="1">
      <c r="A101" s="696" t="s">
        <v>5</v>
      </c>
      <c r="B101" s="699" t="s">
        <v>7</v>
      </c>
      <c r="C101" s="702" t="s">
        <v>8</v>
      </c>
      <c r="D101" s="715" t="s">
        <v>214</v>
      </c>
      <c r="E101" s="718"/>
      <c r="F101" s="721" t="s">
        <v>42</v>
      </c>
      <c r="G101" s="19" t="s">
        <v>9</v>
      </c>
      <c r="H101" s="344">
        <v>4146</v>
      </c>
      <c r="I101" s="401"/>
      <c r="J101" s="409"/>
      <c r="K101" s="546" t="s">
        <v>215</v>
      </c>
      <c r="L101" s="549">
        <v>1</v>
      </c>
      <c r="M101" s="549"/>
      <c r="N101" s="548"/>
      <c r="S101" s="11"/>
    </row>
    <row r="102" spans="1:19" s="2" customFormat="1" ht="15" customHeight="1">
      <c r="A102" s="696"/>
      <c r="B102" s="699"/>
      <c r="C102" s="702"/>
      <c r="D102" s="716"/>
      <c r="E102" s="719"/>
      <c r="F102" s="722"/>
      <c r="G102" s="19"/>
      <c r="H102" s="550"/>
      <c r="I102" s="432"/>
      <c r="J102" s="551"/>
      <c r="K102" s="254" t="s">
        <v>217</v>
      </c>
      <c r="L102" s="169">
        <v>1</v>
      </c>
      <c r="M102" s="169"/>
      <c r="N102" s="170"/>
    </row>
    <row r="103" spans="1:19" s="2" customFormat="1" ht="15" customHeight="1">
      <c r="A103" s="696"/>
      <c r="B103" s="699"/>
      <c r="C103" s="702"/>
      <c r="D103" s="716"/>
      <c r="E103" s="719"/>
      <c r="F103" s="722"/>
      <c r="G103" s="19" t="s">
        <v>11</v>
      </c>
      <c r="H103" s="550">
        <v>3996</v>
      </c>
      <c r="I103" s="560"/>
      <c r="J103" s="322"/>
      <c r="K103" s="193" t="s">
        <v>216</v>
      </c>
      <c r="L103" s="561">
        <v>1</v>
      </c>
      <c r="M103" s="82"/>
      <c r="N103" s="83"/>
    </row>
    <row r="104" spans="1:19" s="2" customFormat="1" ht="15" customHeight="1" thickBot="1">
      <c r="A104" s="697"/>
      <c r="B104" s="700"/>
      <c r="C104" s="703"/>
      <c r="D104" s="717"/>
      <c r="E104" s="720"/>
      <c r="F104" s="712"/>
      <c r="G104" s="92" t="s">
        <v>12</v>
      </c>
      <c r="H104" s="359">
        <f>SUM(H101:H103)</f>
        <v>8142</v>
      </c>
      <c r="I104" s="410"/>
      <c r="J104" s="365"/>
      <c r="K104" s="547"/>
      <c r="L104" s="544"/>
      <c r="M104" s="544"/>
      <c r="N104" s="545"/>
    </row>
    <row r="105" spans="1:19" s="2" customFormat="1" ht="13.5" thickBot="1">
      <c r="A105" s="135" t="s">
        <v>5</v>
      </c>
      <c r="B105" s="9" t="s">
        <v>7</v>
      </c>
      <c r="C105" s="737" t="s">
        <v>13</v>
      </c>
      <c r="D105" s="738"/>
      <c r="E105" s="738"/>
      <c r="F105" s="738"/>
      <c r="G105" s="738"/>
      <c r="H105" s="411">
        <f>H100+H95+H104+H98</f>
        <v>44149</v>
      </c>
      <c r="I105" s="411">
        <f>I100+I95+I104+I98</f>
        <v>3753</v>
      </c>
      <c r="J105" s="412">
        <f>J100+J95</f>
        <v>0</v>
      </c>
      <c r="K105" s="756"/>
      <c r="L105" s="757"/>
      <c r="M105" s="757"/>
      <c r="N105" s="758"/>
    </row>
    <row r="106" spans="1:19" s="2" customFormat="1" ht="15" customHeight="1" thickBot="1">
      <c r="A106" s="135" t="s">
        <v>5</v>
      </c>
      <c r="B106" s="21" t="s">
        <v>8</v>
      </c>
      <c r="C106" s="740" t="s">
        <v>53</v>
      </c>
      <c r="D106" s="741"/>
      <c r="E106" s="741"/>
      <c r="F106" s="741"/>
      <c r="G106" s="741"/>
      <c r="H106" s="741"/>
      <c r="I106" s="741"/>
      <c r="J106" s="741"/>
      <c r="K106" s="741"/>
      <c r="L106" s="741"/>
      <c r="M106" s="741"/>
      <c r="N106" s="743"/>
    </row>
    <row r="107" spans="1:19" s="2" customFormat="1" ht="38.25">
      <c r="A107" s="214" t="s">
        <v>5</v>
      </c>
      <c r="B107" s="216" t="s">
        <v>8</v>
      </c>
      <c r="C107" s="230" t="s">
        <v>5</v>
      </c>
      <c r="D107" s="140" t="s">
        <v>96</v>
      </c>
      <c r="E107" s="180"/>
      <c r="F107" s="182" t="s">
        <v>42</v>
      </c>
      <c r="G107" s="44" t="s">
        <v>9</v>
      </c>
      <c r="H107" s="467">
        <f>1454.2/3.4528*1000</f>
        <v>421165</v>
      </c>
      <c r="I107" s="367"/>
      <c r="J107" s="438"/>
      <c r="K107" s="156"/>
      <c r="L107" s="157"/>
      <c r="M107" s="69"/>
      <c r="N107" s="75"/>
    </row>
    <row r="108" spans="1:19" s="2" customFormat="1" ht="25.5">
      <c r="A108" s="218"/>
      <c r="B108" s="219"/>
      <c r="C108" s="229"/>
      <c r="D108" s="227" t="s">
        <v>129</v>
      </c>
      <c r="E108" s="181"/>
      <c r="F108" s="183"/>
      <c r="G108" s="164"/>
      <c r="H108" s="439"/>
      <c r="I108" s="372"/>
      <c r="J108" s="373"/>
      <c r="K108" s="172" t="s">
        <v>183</v>
      </c>
      <c r="L108" s="115">
        <v>542.25</v>
      </c>
      <c r="M108" s="173"/>
      <c r="N108" s="116"/>
    </row>
    <row r="109" spans="1:19" s="2" customFormat="1">
      <c r="A109" s="218"/>
      <c r="B109" s="219"/>
      <c r="C109" s="229"/>
      <c r="D109" s="227" t="s">
        <v>145</v>
      </c>
      <c r="E109" s="181"/>
      <c r="F109" s="183"/>
      <c r="G109" s="164"/>
      <c r="H109" s="439"/>
      <c r="I109" s="372"/>
      <c r="J109" s="373"/>
      <c r="K109" s="65" t="s">
        <v>182</v>
      </c>
      <c r="L109" s="90">
        <v>268</v>
      </c>
      <c r="M109" s="66"/>
      <c r="N109" s="79"/>
    </row>
    <row r="110" spans="1:19" s="2" customFormat="1" ht="15.75" customHeight="1">
      <c r="A110" s="218"/>
      <c r="B110" s="219"/>
      <c r="C110" s="229"/>
      <c r="D110" s="226" t="s">
        <v>130</v>
      </c>
      <c r="E110" s="181"/>
      <c r="F110" s="183"/>
      <c r="G110" s="164"/>
      <c r="H110" s="439"/>
      <c r="I110" s="372"/>
      <c r="J110" s="373"/>
      <c r="K110" s="65" t="s">
        <v>184</v>
      </c>
      <c r="L110" s="90">
        <v>691</v>
      </c>
      <c r="M110" s="47"/>
      <c r="N110" s="48"/>
    </row>
    <row r="111" spans="1:19" s="2" customFormat="1">
      <c r="A111" s="218"/>
      <c r="B111" s="219"/>
      <c r="C111" s="229"/>
      <c r="D111" s="759" t="s">
        <v>213</v>
      </c>
      <c r="E111" s="181"/>
      <c r="F111" s="183"/>
      <c r="G111" s="164"/>
      <c r="H111" s="413"/>
      <c r="I111" s="372"/>
      <c r="J111" s="373"/>
      <c r="K111" s="144" t="s">
        <v>185</v>
      </c>
      <c r="L111" s="165">
        <v>245</v>
      </c>
      <c r="M111" s="47"/>
      <c r="N111" s="48"/>
    </row>
    <row r="112" spans="1:19" s="2" customFormat="1" ht="25.5">
      <c r="A112" s="218"/>
      <c r="B112" s="219"/>
      <c r="C112" s="229"/>
      <c r="D112" s="760"/>
      <c r="E112" s="181"/>
      <c r="F112" s="183"/>
      <c r="G112" s="164"/>
      <c r="H112" s="413"/>
      <c r="I112" s="372"/>
      <c r="J112" s="373"/>
      <c r="K112" s="155" t="s">
        <v>186</v>
      </c>
      <c r="L112" s="153">
        <v>300</v>
      </c>
      <c r="M112" s="166"/>
      <c r="N112" s="167"/>
    </row>
    <row r="113" spans="1:16" s="2" customFormat="1" ht="24" customHeight="1">
      <c r="A113" s="218"/>
      <c r="B113" s="219"/>
      <c r="C113" s="229"/>
      <c r="D113" s="761"/>
      <c r="E113" s="181"/>
      <c r="F113" s="183"/>
      <c r="G113" s="164"/>
      <c r="H113" s="413"/>
      <c r="I113" s="372"/>
      <c r="J113" s="373"/>
      <c r="K113" s="172" t="s">
        <v>187</v>
      </c>
      <c r="L113" s="115">
        <v>700</v>
      </c>
      <c r="M113" s="173"/>
      <c r="N113" s="116"/>
    </row>
    <row r="114" spans="1:16" s="2" customFormat="1" ht="38.25">
      <c r="A114" s="218"/>
      <c r="B114" s="219"/>
      <c r="C114" s="229"/>
      <c r="D114" s="171" t="s">
        <v>193</v>
      </c>
      <c r="E114" s="181"/>
      <c r="F114" s="183"/>
      <c r="G114" s="164"/>
      <c r="H114" s="439"/>
      <c r="I114" s="372"/>
      <c r="J114" s="373"/>
      <c r="K114" s="172" t="s">
        <v>188</v>
      </c>
      <c r="L114" s="115">
        <v>431</v>
      </c>
      <c r="M114" s="173"/>
      <c r="N114" s="116"/>
    </row>
    <row r="115" spans="1:16" s="2" customFormat="1" ht="19.5" customHeight="1">
      <c r="A115" s="218"/>
      <c r="B115" s="219"/>
      <c r="C115" s="229"/>
      <c r="D115" s="772" t="s">
        <v>116</v>
      </c>
      <c r="E115" s="181"/>
      <c r="F115" s="183"/>
      <c r="G115" s="12"/>
      <c r="H115" s="414"/>
      <c r="I115" s="374"/>
      <c r="J115" s="409"/>
      <c r="K115" s="770" t="s">
        <v>189</v>
      </c>
      <c r="L115" s="201">
        <v>309</v>
      </c>
      <c r="M115" s="47"/>
      <c r="N115" s="48"/>
    </row>
    <row r="116" spans="1:16" s="2" customFormat="1" ht="15.75" customHeight="1" thickBot="1">
      <c r="A116" s="134"/>
      <c r="B116" s="88"/>
      <c r="C116" s="238"/>
      <c r="D116" s="773"/>
      <c r="E116" s="252"/>
      <c r="F116" s="253"/>
      <c r="G116" s="92" t="s">
        <v>12</v>
      </c>
      <c r="H116" s="356">
        <f>H107</f>
        <v>421165</v>
      </c>
      <c r="I116" s="350">
        <f>I107</f>
        <v>0</v>
      </c>
      <c r="J116" s="355">
        <f>J107</f>
        <v>0</v>
      </c>
      <c r="K116" s="771"/>
      <c r="L116" s="244"/>
      <c r="M116" s="244"/>
      <c r="N116" s="245"/>
    </row>
    <row r="117" spans="1:16" s="2" customFormat="1" ht="12.75" customHeight="1">
      <c r="A117" s="696" t="s">
        <v>5</v>
      </c>
      <c r="B117" s="699" t="s">
        <v>8</v>
      </c>
      <c r="C117" s="702" t="s">
        <v>6</v>
      </c>
      <c r="D117" s="762" t="s">
        <v>85</v>
      </c>
      <c r="E117" s="765" t="s">
        <v>59</v>
      </c>
      <c r="F117" s="722" t="s">
        <v>43</v>
      </c>
      <c r="G117" s="56" t="s">
        <v>9</v>
      </c>
      <c r="H117" s="431">
        <v>41693</v>
      </c>
      <c r="I117" s="370"/>
      <c r="J117" s="401"/>
      <c r="K117" s="121" t="s">
        <v>104</v>
      </c>
      <c r="L117" s="277">
        <v>1</v>
      </c>
      <c r="M117" s="339"/>
      <c r="N117" s="120"/>
    </row>
    <row r="118" spans="1:16" s="2" customFormat="1">
      <c r="A118" s="696"/>
      <c r="B118" s="699"/>
      <c r="C118" s="702"/>
      <c r="D118" s="763"/>
      <c r="E118" s="765"/>
      <c r="F118" s="722"/>
      <c r="G118" s="56" t="s">
        <v>86</v>
      </c>
      <c r="H118" s="375">
        <v>0</v>
      </c>
      <c r="I118" s="415"/>
      <c r="J118" s="401"/>
      <c r="K118" s="768" t="s">
        <v>143</v>
      </c>
      <c r="L118" s="278">
        <v>40</v>
      </c>
      <c r="M118" s="202">
        <v>100</v>
      </c>
      <c r="N118" s="196"/>
      <c r="P118" s="466"/>
    </row>
    <row r="119" spans="1:16" s="2" customFormat="1" ht="15" customHeight="1" thickBot="1">
      <c r="A119" s="697"/>
      <c r="B119" s="700"/>
      <c r="C119" s="703"/>
      <c r="D119" s="764"/>
      <c r="E119" s="766"/>
      <c r="F119" s="767"/>
      <c r="G119" s="92" t="s">
        <v>12</v>
      </c>
      <c r="H119" s="365">
        <f>H118+H117</f>
        <v>41693</v>
      </c>
      <c r="I119" s="359">
        <f>I118+I117</f>
        <v>0</v>
      </c>
      <c r="J119" s="380">
        <f t="shared" ref="J119" si="15">J118+J117</f>
        <v>0</v>
      </c>
      <c r="K119" s="769"/>
      <c r="L119" s="111"/>
      <c r="M119" s="111"/>
      <c r="N119" s="340"/>
    </row>
    <row r="120" spans="1:16" s="2" customFormat="1" ht="13.5" thickBot="1">
      <c r="A120" s="135" t="s">
        <v>5</v>
      </c>
      <c r="B120" s="9" t="s">
        <v>8</v>
      </c>
      <c r="C120" s="737" t="s">
        <v>13</v>
      </c>
      <c r="D120" s="738"/>
      <c r="E120" s="738"/>
      <c r="F120" s="738"/>
      <c r="G120" s="738"/>
      <c r="H120" s="416">
        <f>H119+H116</f>
        <v>462858</v>
      </c>
      <c r="I120" s="411">
        <f>I119+I116</f>
        <v>0</v>
      </c>
      <c r="J120" s="412">
        <f t="shared" ref="J120" si="16">J119+J116</f>
        <v>0</v>
      </c>
      <c r="K120" s="756"/>
      <c r="L120" s="757"/>
      <c r="M120" s="757"/>
      <c r="N120" s="758"/>
    </row>
    <row r="121" spans="1:16" s="11" customFormat="1" ht="13.5" thickBot="1">
      <c r="A121" s="135" t="s">
        <v>5</v>
      </c>
      <c r="B121" s="788" t="s">
        <v>15</v>
      </c>
      <c r="C121" s="789"/>
      <c r="D121" s="789"/>
      <c r="E121" s="789"/>
      <c r="F121" s="789"/>
      <c r="G121" s="790"/>
      <c r="H121" s="417">
        <f>H120+H105+H73+H91</f>
        <v>18237085</v>
      </c>
      <c r="I121" s="418">
        <f>I120+I105+I73+I91</f>
        <v>12483537</v>
      </c>
      <c r="J121" s="419">
        <f>J120+J105+J73+J91</f>
        <v>11692047</v>
      </c>
      <c r="K121" s="791"/>
      <c r="L121" s="792"/>
      <c r="M121" s="792"/>
      <c r="N121" s="793"/>
    </row>
    <row r="122" spans="1:16" s="11" customFormat="1" ht="13.5" thickBot="1">
      <c r="A122" s="49" t="s">
        <v>7</v>
      </c>
      <c r="B122" s="794" t="s">
        <v>14</v>
      </c>
      <c r="C122" s="794"/>
      <c r="D122" s="794"/>
      <c r="E122" s="794"/>
      <c r="F122" s="794"/>
      <c r="G122" s="795"/>
      <c r="H122" s="420">
        <f>H121</f>
        <v>18237085</v>
      </c>
      <c r="I122" s="420">
        <f>I121</f>
        <v>12483537</v>
      </c>
      <c r="J122" s="421">
        <f t="shared" ref="J122" si="17">J121</f>
        <v>11692047</v>
      </c>
      <c r="K122" s="796"/>
      <c r="L122" s="797"/>
      <c r="M122" s="797"/>
      <c r="N122" s="798"/>
    </row>
    <row r="123" spans="1:16" s="55" customFormat="1">
      <c r="A123" s="805"/>
      <c r="B123" s="805"/>
      <c r="C123" s="805"/>
      <c r="D123" s="805"/>
      <c r="E123" s="805"/>
      <c r="F123" s="805"/>
      <c r="G123" s="805"/>
      <c r="H123" s="805"/>
      <c r="I123" s="805"/>
      <c r="J123" s="805"/>
      <c r="K123" s="805"/>
      <c r="L123" s="805"/>
      <c r="M123" s="805"/>
      <c r="N123" s="805"/>
    </row>
    <row r="124" spans="1:16" s="11" customFormat="1">
      <c r="A124" s="23"/>
      <c r="B124" s="7"/>
      <c r="C124" s="806" t="s">
        <v>18</v>
      </c>
      <c r="D124" s="806"/>
      <c r="E124" s="806"/>
      <c r="F124" s="806"/>
      <c r="G124" s="806"/>
      <c r="H124" s="806"/>
      <c r="I124" s="806"/>
      <c r="J124" s="806"/>
      <c r="K124" s="16"/>
      <c r="L124" s="39"/>
      <c r="M124" s="39"/>
      <c r="N124" s="39"/>
    </row>
    <row r="125" spans="1:16" s="11" customFormat="1" ht="13.5" thickBot="1">
      <c r="A125" s="23"/>
      <c r="B125" s="22"/>
      <c r="C125" s="22"/>
      <c r="D125" s="22"/>
      <c r="E125" s="27"/>
      <c r="F125" s="43"/>
      <c r="I125" s="14"/>
      <c r="J125" s="14"/>
      <c r="K125" s="16"/>
      <c r="L125" s="39"/>
      <c r="M125" s="39"/>
      <c r="N125" s="39"/>
    </row>
    <row r="126" spans="1:16" s="11" customFormat="1" ht="57" customHeight="1" thickBot="1">
      <c r="A126" s="2"/>
      <c r="B126" s="2"/>
      <c r="C126" s="807" t="s">
        <v>16</v>
      </c>
      <c r="D126" s="808"/>
      <c r="E126" s="808"/>
      <c r="F126" s="808"/>
      <c r="G126" s="809"/>
      <c r="H126" s="255" t="s">
        <v>149</v>
      </c>
      <c r="I126" s="256" t="s">
        <v>121</v>
      </c>
      <c r="J126" s="256" t="s">
        <v>122</v>
      </c>
      <c r="K126" s="498"/>
      <c r="L126" s="499"/>
      <c r="M126" s="499"/>
      <c r="N126" s="499"/>
    </row>
    <row r="127" spans="1:16" s="11" customFormat="1">
      <c r="A127" s="2"/>
      <c r="B127" s="2"/>
      <c r="C127" s="799" t="s">
        <v>19</v>
      </c>
      <c r="D127" s="800"/>
      <c r="E127" s="800"/>
      <c r="F127" s="800"/>
      <c r="G127" s="801"/>
      <c r="H127" s="422">
        <f ca="1">H128+H138+H137+H136</f>
        <v>18008547</v>
      </c>
      <c r="I127" s="422">
        <f t="shared" ref="I127:J127" si="18">I128+I138+I137+I136</f>
        <v>12480347</v>
      </c>
      <c r="J127" s="516">
        <f t="shared" si="18"/>
        <v>11692047</v>
      </c>
      <c r="K127" s="14"/>
      <c r="L127" s="500"/>
      <c r="M127" s="500"/>
      <c r="N127" s="500"/>
    </row>
    <row r="128" spans="1:16" s="11" customFormat="1">
      <c r="A128" s="2"/>
      <c r="B128" s="2"/>
      <c r="C128" s="802" t="s">
        <v>25</v>
      </c>
      <c r="D128" s="803"/>
      <c r="E128" s="803"/>
      <c r="F128" s="803"/>
      <c r="G128" s="804"/>
      <c r="H128" s="423">
        <f ca="1">H129+H130+H131+H132+H133+H134+H135</f>
        <v>18001293</v>
      </c>
      <c r="I128" s="423">
        <f t="shared" ref="I128:J128" si="19">I129+I130+I131+I132+I133+I134+I135</f>
        <v>12476292</v>
      </c>
      <c r="J128" s="424">
        <f t="shared" si="19"/>
        <v>11690599</v>
      </c>
      <c r="K128" s="14"/>
      <c r="L128" s="500"/>
      <c r="M128" s="500"/>
      <c r="N128" s="500"/>
    </row>
    <row r="129" spans="1:14" s="11" customFormat="1">
      <c r="A129" s="2"/>
      <c r="B129" s="2"/>
      <c r="C129" s="779" t="s">
        <v>45</v>
      </c>
      <c r="D129" s="780"/>
      <c r="E129" s="780"/>
      <c r="F129" s="780"/>
      <c r="G129" s="781"/>
      <c r="H129" s="425">
        <f>SUMIF(G12:G122,"sb",H12:H122)</f>
        <v>11937519</v>
      </c>
      <c r="I129" s="425">
        <f>SUMIF(G12:G122,"sb",I12:I122)</f>
        <v>11425956</v>
      </c>
      <c r="J129" s="426">
        <f>SUMIF(G12:G122,"sb",J12:J122)</f>
        <v>10640263</v>
      </c>
      <c r="K129" s="501"/>
      <c r="L129" s="499"/>
      <c r="M129" s="499"/>
      <c r="N129" s="499"/>
    </row>
    <row r="130" spans="1:14" s="11" customFormat="1">
      <c r="A130" s="2"/>
      <c r="B130" s="2"/>
      <c r="C130" s="813" t="s">
        <v>93</v>
      </c>
      <c r="D130" s="814"/>
      <c r="E130" s="814"/>
      <c r="F130" s="814"/>
      <c r="G130" s="815"/>
      <c r="H130" s="425">
        <f>SUMIF(G12:G122,"sb(VR)",H12:H122)</f>
        <v>25685</v>
      </c>
      <c r="I130" s="425">
        <f>SUMIF(G12:G122,"sb(VR)",I12:I122)</f>
        <v>23459</v>
      </c>
      <c r="J130" s="426">
        <f>SUMIF(G12:G120,"sb(VR)",J12:J120)</f>
        <v>23459</v>
      </c>
      <c r="K130" s="501"/>
      <c r="L130" s="499"/>
      <c r="M130" s="499"/>
      <c r="N130" s="499"/>
    </row>
    <row r="131" spans="1:14" s="11" customFormat="1" ht="25.5" customHeight="1">
      <c r="A131" s="2"/>
      <c r="B131" s="2"/>
      <c r="C131" s="753" t="s">
        <v>38</v>
      </c>
      <c r="D131" s="754"/>
      <c r="E131" s="754"/>
      <c r="F131" s="754"/>
      <c r="G131" s="755"/>
      <c r="H131" s="425">
        <f>SUMIF(G13:G122,"sb(Vb)",H13:H122)</f>
        <v>1057644</v>
      </c>
      <c r="I131" s="425">
        <f>SUMIF(G13:G119,"SB(VB)",I13:I119)</f>
        <v>1014828</v>
      </c>
      <c r="J131" s="426">
        <f>SUMIF(G13:G119,"SB(VB)",J13:J119)</f>
        <v>1014828</v>
      </c>
      <c r="K131" s="498"/>
      <c r="L131" s="499"/>
      <c r="M131" s="499"/>
      <c r="N131" s="499"/>
    </row>
    <row r="132" spans="1:14" s="11" customFormat="1">
      <c r="A132" s="2"/>
      <c r="B132" s="2"/>
      <c r="C132" s="753" t="s">
        <v>88</v>
      </c>
      <c r="D132" s="754"/>
      <c r="E132" s="754"/>
      <c r="F132" s="754"/>
      <c r="G132" s="755"/>
      <c r="H132" s="425">
        <f ca="1">SUMIF(G12:G122,"sb(P)",H12:H120)</f>
        <v>172324</v>
      </c>
      <c r="I132" s="425">
        <f>SUMIF(G12:G122,"sb(P)",I12:I122)</f>
        <v>0</v>
      </c>
      <c r="J132" s="426">
        <f>SUMIF(G13:G120,"sb(P)",J13:J120)</f>
        <v>0</v>
      </c>
      <c r="K132" s="501"/>
      <c r="L132" s="499"/>
      <c r="M132" s="499"/>
      <c r="N132" s="499"/>
    </row>
    <row r="133" spans="1:14" s="2" customFormat="1">
      <c r="C133" s="727" t="s">
        <v>49</v>
      </c>
      <c r="D133" s="728"/>
      <c r="E133" s="728"/>
      <c r="F133" s="728"/>
      <c r="G133" s="729"/>
      <c r="H133" s="425">
        <f>SUMIF(G12:G122,"SB(SP)",H12:H122)</f>
        <v>4478</v>
      </c>
      <c r="I133" s="425">
        <f>SUMIF(G13:G119,"SB(SP)",I13:I119)</f>
        <v>3360</v>
      </c>
      <c r="J133" s="426">
        <f>SUMIF(G13:G119,"SB(sP)",J13:J119)</f>
        <v>3360</v>
      </c>
      <c r="L133" s="34"/>
      <c r="M133" s="34"/>
      <c r="N133" s="34"/>
    </row>
    <row r="134" spans="1:14" s="2" customFormat="1">
      <c r="C134" s="810" t="s">
        <v>144</v>
      </c>
      <c r="D134" s="811"/>
      <c r="E134" s="811"/>
      <c r="F134" s="811"/>
      <c r="G134" s="812"/>
      <c r="H134" s="510">
        <f>SUMIF(G12:G122,"sb(L)",H12:H122)</f>
        <v>4792058</v>
      </c>
      <c r="I134" s="510">
        <f t="shared" ref="I134:J134" si="20">SUMIF(H12:H122,"sb(L)",I12:I122)</f>
        <v>0</v>
      </c>
      <c r="J134" s="415">
        <f t="shared" si="20"/>
        <v>0</v>
      </c>
      <c r="K134" s="466"/>
      <c r="L134" s="34"/>
      <c r="M134" s="34"/>
      <c r="N134" s="34"/>
    </row>
    <row r="135" spans="1:14" s="2" customFormat="1">
      <c r="C135" s="753" t="s">
        <v>210</v>
      </c>
      <c r="D135" s="754"/>
      <c r="E135" s="754"/>
      <c r="F135" s="754"/>
      <c r="G135" s="755"/>
      <c r="H135" s="425">
        <f>SUMIF(G5:G114,"SB(KPP)",H5:H114)</f>
        <v>11585</v>
      </c>
      <c r="I135" s="425">
        <f>SUMIF(G6:G112,"SB(KPP)",I6:I112)</f>
        <v>8689</v>
      </c>
      <c r="J135" s="426">
        <f>SUMIF(G6:G112,"SB(KPP)",J6:J112)</f>
        <v>8689</v>
      </c>
      <c r="K135" s="86"/>
      <c r="L135" s="34"/>
      <c r="M135" s="34"/>
      <c r="N135" s="34"/>
    </row>
    <row r="136" spans="1:14" s="2" customFormat="1" ht="12.75" customHeight="1">
      <c r="C136" s="782" t="s">
        <v>209</v>
      </c>
      <c r="D136" s="783"/>
      <c r="E136" s="783"/>
      <c r="F136" s="783"/>
      <c r="G136" s="784"/>
      <c r="H136" s="423">
        <f>SUMIF(G13:G123,"sb(SPL)",H13:H123)</f>
        <v>3181</v>
      </c>
      <c r="I136" s="423">
        <f>SUMIF(H13:H123,"sb(SPL)",I13:I123)</f>
        <v>0</v>
      </c>
      <c r="J136" s="424">
        <f>SUMIF(I13:I123,"sb(SPL)",J13:J123)</f>
        <v>0</v>
      </c>
      <c r="K136" s="466"/>
      <c r="L136" s="34"/>
      <c r="M136" s="34"/>
      <c r="N136" s="34"/>
    </row>
    <row r="137" spans="1:14" s="2" customFormat="1" ht="12.75" customHeight="1">
      <c r="C137" s="782" t="s">
        <v>208</v>
      </c>
      <c r="D137" s="783"/>
      <c r="E137" s="783"/>
      <c r="F137" s="783"/>
      <c r="G137" s="784"/>
      <c r="H137" s="423">
        <f>SUMIF(G13:G123,"sb(VRL)",H13:H123)</f>
        <v>18</v>
      </c>
      <c r="I137" s="423">
        <f>SUMIF(H13:H123,"sb(VRL)",I13:I123)</f>
        <v>0</v>
      </c>
      <c r="J137" s="424">
        <f>SUMIF(I13:I123,"sb(VRL)",J13:J123)</f>
        <v>0</v>
      </c>
      <c r="K137" s="466"/>
      <c r="L137" s="34"/>
      <c r="M137" s="34"/>
      <c r="N137" s="34"/>
    </row>
    <row r="138" spans="1:14" s="2" customFormat="1">
      <c r="C138" s="782" t="s">
        <v>103</v>
      </c>
      <c r="D138" s="783"/>
      <c r="E138" s="783"/>
      <c r="F138" s="783"/>
      <c r="G138" s="784"/>
      <c r="H138" s="423">
        <f>SUMIF(G13:G122,"pf",H13:H122)</f>
        <v>4055</v>
      </c>
      <c r="I138" s="423">
        <f>SUMIF(G13:G119,"pf",I13:I119)</f>
        <v>4055</v>
      </c>
      <c r="J138" s="424">
        <f>SUMIF(G13:G119,"pf",J13:J119)</f>
        <v>1448</v>
      </c>
      <c r="K138" s="15"/>
      <c r="L138" s="34"/>
      <c r="M138" s="34"/>
      <c r="N138" s="34"/>
    </row>
    <row r="139" spans="1:14" s="2" customFormat="1">
      <c r="C139" s="785" t="s">
        <v>20</v>
      </c>
      <c r="D139" s="786"/>
      <c r="E139" s="786"/>
      <c r="F139" s="786"/>
      <c r="G139" s="787"/>
      <c r="H139" s="427">
        <f>SUM(H140:H142)</f>
        <v>228538</v>
      </c>
      <c r="I139" s="427">
        <f>SUM(I140:I142)</f>
        <v>3190</v>
      </c>
      <c r="J139" s="428">
        <f>SUM(J140:J142)</f>
        <v>0</v>
      </c>
      <c r="K139" s="15"/>
      <c r="L139" s="34"/>
      <c r="M139" s="34"/>
      <c r="N139" s="34"/>
    </row>
    <row r="140" spans="1:14" s="2" customFormat="1">
      <c r="C140" s="777" t="s">
        <v>46</v>
      </c>
      <c r="D140" s="778"/>
      <c r="E140" s="778"/>
      <c r="F140" s="778"/>
      <c r="G140" s="778"/>
      <c r="H140" s="425">
        <f>SUMIF(G12:G122,"es",H12:H122)</f>
        <v>227930</v>
      </c>
      <c r="I140" s="425">
        <f>SUMIF(G13:G119,"es",I13:I119)</f>
        <v>0</v>
      </c>
      <c r="J140" s="426">
        <f>SUMIF(G13:G119,"es",J13:J119)</f>
        <v>0</v>
      </c>
      <c r="L140" s="34"/>
      <c r="M140" s="34"/>
      <c r="N140" s="34"/>
    </row>
    <row r="141" spans="1:14" s="2" customFormat="1">
      <c r="C141" s="779" t="s">
        <v>47</v>
      </c>
      <c r="D141" s="780"/>
      <c r="E141" s="780"/>
      <c r="F141" s="780"/>
      <c r="G141" s="781"/>
      <c r="H141" s="425">
        <f>SUMIF(G12:G122,"lrvb",H12:H122)</f>
        <v>608</v>
      </c>
      <c r="I141" s="425">
        <f>SUMIF(G13:G119,"lrvb",I13:I119)</f>
        <v>0</v>
      </c>
      <c r="J141" s="426">
        <f>SUMIF(G13:G119,"lrvb",J13:J119)</f>
        <v>0</v>
      </c>
      <c r="K141" s="466"/>
      <c r="L141" s="34"/>
      <c r="M141" s="34"/>
      <c r="N141" s="34"/>
    </row>
    <row r="142" spans="1:14" s="2" customFormat="1">
      <c r="C142" s="753" t="s">
        <v>148</v>
      </c>
      <c r="D142" s="754"/>
      <c r="E142" s="754"/>
      <c r="F142" s="754"/>
      <c r="G142" s="755"/>
      <c r="H142" s="425">
        <f>SUMIF(G12:G122,"kt",H12:H122)</f>
        <v>0</v>
      </c>
      <c r="I142" s="425">
        <f>SUMIF(G13:G119,"kt",I13:I119)</f>
        <v>3190</v>
      </c>
      <c r="J142" s="426">
        <f>SUMIF(G13:G119,"kt",J13:J119)</f>
        <v>0</v>
      </c>
      <c r="K142" s="86"/>
      <c r="L142" s="34"/>
      <c r="M142" s="34"/>
      <c r="N142" s="34"/>
    </row>
    <row r="143" spans="1:14" s="2" customFormat="1" ht="13.5" thickBot="1">
      <c r="C143" s="774" t="s">
        <v>21</v>
      </c>
      <c r="D143" s="775"/>
      <c r="E143" s="775"/>
      <c r="F143" s="775"/>
      <c r="G143" s="776"/>
      <c r="H143" s="429">
        <f ca="1">H127+H139</f>
        <v>18237085</v>
      </c>
      <c r="I143" s="429">
        <f>I127+I139</f>
        <v>12483537</v>
      </c>
      <c r="J143" s="430">
        <f>J139+J127</f>
        <v>11692047</v>
      </c>
      <c r="K143" s="86"/>
      <c r="L143" s="34"/>
      <c r="M143" s="34"/>
      <c r="N143" s="34"/>
    </row>
    <row r="144" spans="1:14" ht="12">
      <c r="C144" s="24"/>
      <c r="D144" s="74"/>
      <c r="E144" s="74"/>
      <c r="F144" s="220"/>
      <c r="G144" s="74"/>
      <c r="H144" s="25"/>
      <c r="I144" s="25"/>
      <c r="J144" s="25"/>
    </row>
    <row r="145" spans="4:14" ht="11.25">
      <c r="D145" s="1"/>
      <c r="E145" s="1"/>
      <c r="F145" s="1"/>
      <c r="H145" s="6"/>
      <c r="J145" s="5"/>
      <c r="L145" s="1"/>
      <c r="M145" s="1"/>
      <c r="N145" s="1"/>
    </row>
    <row r="146" spans="4:14" ht="11.25">
      <c r="D146" s="1"/>
      <c r="E146" s="1"/>
      <c r="F146" s="1"/>
      <c r="G146" s="5"/>
      <c r="H146" s="6"/>
      <c r="I146" s="5"/>
      <c r="J146" s="5"/>
      <c r="L146" s="1"/>
      <c r="M146" s="1"/>
      <c r="N146" s="1"/>
    </row>
    <row r="147" spans="4:14">
      <c r="H147" s="5"/>
    </row>
    <row r="148" spans="4:14">
      <c r="H148" s="5"/>
    </row>
    <row r="149" spans="4:14" ht="11.25">
      <c r="D149" s="1"/>
      <c r="E149" s="1"/>
      <c r="F149" s="1"/>
      <c r="G149" s="4"/>
      <c r="H149" s="3"/>
      <c r="L149" s="1"/>
      <c r="M149" s="1"/>
      <c r="N149" s="1"/>
    </row>
    <row r="150" spans="4:14" ht="11.25">
      <c r="D150" s="1"/>
      <c r="E150" s="1"/>
      <c r="F150" s="1"/>
      <c r="G150" s="5"/>
      <c r="H150" s="6"/>
      <c r="L150" s="1"/>
      <c r="M150" s="1"/>
      <c r="N150" s="1"/>
    </row>
    <row r="151" spans="4:14" ht="11.25">
      <c r="D151" s="1"/>
      <c r="E151" s="1"/>
      <c r="F151" s="1"/>
      <c r="H151" s="6"/>
      <c r="L151" s="1"/>
      <c r="M151" s="1"/>
      <c r="N151" s="1"/>
    </row>
    <row r="152" spans="4:14" ht="11.25">
      <c r="D152" s="1"/>
      <c r="E152" s="1"/>
      <c r="F152" s="1"/>
      <c r="G152" s="5"/>
      <c r="H152" s="6"/>
      <c r="L152" s="1"/>
      <c r="M152" s="1"/>
      <c r="N152" s="1"/>
    </row>
    <row r="154" spans="4:14" ht="11.25">
      <c r="D154" s="1"/>
      <c r="E154" s="1"/>
      <c r="F154" s="1"/>
      <c r="G154" s="4"/>
      <c r="L154" s="1"/>
      <c r="M154" s="1"/>
      <c r="N154" s="1"/>
    </row>
    <row r="155" spans="4:14" ht="11.25">
      <c r="D155" s="1"/>
      <c r="E155" s="1"/>
      <c r="F155" s="1"/>
      <c r="G155" s="5"/>
      <c r="L155" s="1"/>
      <c r="M155" s="1"/>
      <c r="N155" s="1"/>
    </row>
    <row r="157" spans="4:14" ht="11.25">
      <c r="D157" s="1"/>
      <c r="E157" s="1"/>
      <c r="F157" s="1"/>
      <c r="G157" s="5"/>
      <c r="L157" s="1"/>
      <c r="M157" s="1"/>
      <c r="N157" s="1"/>
    </row>
  </sheetData>
  <mergeCells count="185">
    <mergeCell ref="F64:F66"/>
    <mergeCell ref="F30:F31"/>
    <mergeCell ref="K30:K31"/>
    <mergeCell ref="K39:K41"/>
    <mergeCell ref="D58:D59"/>
    <mergeCell ref="A1:N1"/>
    <mergeCell ref="A3:N3"/>
    <mergeCell ref="A5:A7"/>
    <mergeCell ref="B5:B7"/>
    <mergeCell ref="C5:C7"/>
    <mergeCell ref="D5:D7"/>
    <mergeCell ref="E5:E7"/>
    <mergeCell ref="H5:H7"/>
    <mergeCell ref="K6:K7"/>
    <mergeCell ref="L6:N6"/>
    <mergeCell ref="A8:N8"/>
    <mergeCell ref="I5:I7"/>
    <mergeCell ref="J5:J7"/>
    <mergeCell ref="K5:N5"/>
    <mergeCell ref="N26:N27"/>
    <mergeCell ref="L26:L27"/>
    <mergeCell ref="M26:M27"/>
    <mergeCell ref="F5:F7"/>
    <mergeCell ref="G5:G7"/>
    <mergeCell ref="A9:N9"/>
    <mergeCell ref="B10:N10"/>
    <mergeCell ref="C11:N11"/>
    <mergeCell ref="A14:A21"/>
    <mergeCell ref="B14:B21"/>
    <mergeCell ref="C14:C21"/>
    <mergeCell ref="D12:D25"/>
    <mergeCell ref="E12:E25"/>
    <mergeCell ref="F12:F25"/>
    <mergeCell ref="K24:K25"/>
    <mergeCell ref="A28:A29"/>
    <mergeCell ref="B28:B29"/>
    <mergeCell ref="C28:C29"/>
    <mergeCell ref="D28:D29"/>
    <mergeCell ref="E28:E29"/>
    <mergeCell ref="F28:F29"/>
    <mergeCell ref="K28:K29"/>
    <mergeCell ref="F26:F27"/>
    <mergeCell ref="K26:K27"/>
    <mergeCell ref="A26:A27"/>
    <mergeCell ref="B26:B27"/>
    <mergeCell ref="C26:C27"/>
    <mergeCell ref="D26:D27"/>
    <mergeCell ref="E26:E27"/>
    <mergeCell ref="L30:L31"/>
    <mergeCell ref="M30:M31"/>
    <mergeCell ref="N30:N31"/>
    <mergeCell ref="A30:A31"/>
    <mergeCell ref="B30:B31"/>
    <mergeCell ref="C30:C31"/>
    <mergeCell ref="D30:D31"/>
    <mergeCell ref="E30:E31"/>
    <mergeCell ref="D32:D33"/>
    <mergeCell ref="F42:F43"/>
    <mergeCell ref="F32:F33"/>
    <mergeCell ref="A39:A41"/>
    <mergeCell ref="B39:B41"/>
    <mergeCell ref="C39:C41"/>
    <mergeCell ref="D39:D41"/>
    <mergeCell ref="E39:E41"/>
    <mergeCell ref="F39:F41"/>
    <mergeCell ref="A32:A33"/>
    <mergeCell ref="B32:B33"/>
    <mergeCell ref="C32:C33"/>
    <mergeCell ref="E32:E33"/>
    <mergeCell ref="D37:D38"/>
    <mergeCell ref="E37:E38"/>
    <mergeCell ref="F37:F38"/>
    <mergeCell ref="D44:D46"/>
    <mergeCell ref="D47:D49"/>
    <mergeCell ref="D50:D51"/>
    <mergeCell ref="D55:D56"/>
    <mergeCell ref="E64:E66"/>
    <mergeCell ref="A42:A43"/>
    <mergeCell ref="B42:B43"/>
    <mergeCell ref="C42:C43"/>
    <mergeCell ref="D42:D43"/>
    <mergeCell ref="E42:E43"/>
    <mergeCell ref="D60:D62"/>
    <mergeCell ref="D65:D66"/>
    <mergeCell ref="K71:K72"/>
    <mergeCell ref="C73:G73"/>
    <mergeCell ref="C74:N74"/>
    <mergeCell ref="E75:E80"/>
    <mergeCell ref="D80:D81"/>
    <mergeCell ref="D77:D78"/>
    <mergeCell ref="D75:D76"/>
    <mergeCell ref="F67:F68"/>
    <mergeCell ref="A69:A72"/>
    <mergeCell ref="B69:B72"/>
    <mergeCell ref="C69:C72"/>
    <mergeCell ref="E69:E72"/>
    <mergeCell ref="F69:F72"/>
    <mergeCell ref="A67:A68"/>
    <mergeCell ref="B67:B68"/>
    <mergeCell ref="C67:C68"/>
    <mergeCell ref="D67:D68"/>
    <mergeCell ref="E67:E68"/>
    <mergeCell ref="D88:D90"/>
    <mergeCell ref="E88:E90"/>
    <mergeCell ref="D85:D87"/>
    <mergeCell ref="E85:E87"/>
    <mergeCell ref="F85:F87"/>
    <mergeCell ref="K85:K86"/>
    <mergeCell ref="D82:D84"/>
    <mergeCell ref="E82:E84"/>
    <mergeCell ref="F82:F84"/>
    <mergeCell ref="K83:K84"/>
    <mergeCell ref="C143:G143"/>
    <mergeCell ref="C140:G140"/>
    <mergeCell ref="C141:G141"/>
    <mergeCell ref="C138:G138"/>
    <mergeCell ref="C139:G139"/>
    <mergeCell ref="C120:G120"/>
    <mergeCell ref="K120:N120"/>
    <mergeCell ref="B121:G121"/>
    <mergeCell ref="K121:N121"/>
    <mergeCell ref="B122:G122"/>
    <mergeCell ref="K122:N122"/>
    <mergeCell ref="C127:G127"/>
    <mergeCell ref="C128:G128"/>
    <mergeCell ref="A123:N123"/>
    <mergeCell ref="C124:J124"/>
    <mergeCell ref="C126:G126"/>
    <mergeCell ref="C137:G137"/>
    <mergeCell ref="C136:G136"/>
    <mergeCell ref="C135:G135"/>
    <mergeCell ref="C134:G134"/>
    <mergeCell ref="C131:G131"/>
    <mergeCell ref="C132:G132"/>
    <mergeCell ref="C129:G129"/>
    <mergeCell ref="C130:G130"/>
    <mergeCell ref="C142:G142"/>
    <mergeCell ref="C105:G105"/>
    <mergeCell ref="K105:N105"/>
    <mergeCell ref="C106:N106"/>
    <mergeCell ref="D111:D113"/>
    <mergeCell ref="C117:C119"/>
    <mergeCell ref="D117:D119"/>
    <mergeCell ref="E117:E119"/>
    <mergeCell ref="F117:F119"/>
    <mergeCell ref="K118:K119"/>
    <mergeCell ref="K115:K116"/>
    <mergeCell ref="D115:D116"/>
    <mergeCell ref="A2:N2"/>
    <mergeCell ref="L4:N4"/>
    <mergeCell ref="C133:G133"/>
    <mergeCell ref="A117:A119"/>
    <mergeCell ref="B117:B119"/>
    <mergeCell ref="F93:F95"/>
    <mergeCell ref="A99:A100"/>
    <mergeCell ref="B99:B100"/>
    <mergeCell ref="C99:C100"/>
    <mergeCell ref="D99:D100"/>
    <mergeCell ref="E99:E100"/>
    <mergeCell ref="F99:F100"/>
    <mergeCell ref="A93:A95"/>
    <mergeCell ref="B93:B95"/>
    <mergeCell ref="C93:C95"/>
    <mergeCell ref="D93:D95"/>
    <mergeCell ref="E93:E95"/>
    <mergeCell ref="F88:F90"/>
    <mergeCell ref="K88:K89"/>
    <mergeCell ref="C91:G91"/>
    <mergeCell ref="C92:N92"/>
    <mergeCell ref="A88:A90"/>
    <mergeCell ref="B88:B90"/>
    <mergeCell ref="C88:C90"/>
    <mergeCell ref="A96:A98"/>
    <mergeCell ref="B96:B98"/>
    <mergeCell ref="C96:C98"/>
    <mergeCell ref="D96:D98"/>
    <mergeCell ref="E96:E98"/>
    <mergeCell ref="F96:F98"/>
    <mergeCell ref="K97:K98"/>
    <mergeCell ref="A101:A104"/>
    <mergeCell ref="B101:B104"/>
    <mergeCell ref="C101:C104"/>
    <mergeCell ref="D101:D104"/>
    <mergeCell ref="E101:E104"/>
    <mergeCell ref="F101:F104"/>
  </mergeCells>
  <pageMargins left="0.78740157480314965" right="0.19685039370078741" top="0.78740157480314965" bottom="0.39370078740157483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5"/>
  <sheetViews>
    <sheetView topLeftCell="A2" zoomScaleNormal="100" zoomScaleSheetLayoutView="100" workbookViewId="0">
      <selection activeCell="N54" sqref="N54"/>
    </sheetView>
  </sheetViews>
  <sheetFormatPr defaultRowHeight="12.75"/>
  <cols>
    <col min="1" max="3" width="2.85546875" style="1" customWidth="1"/>
    <col min="4" max="4" width="33.140625" style="2" customWidth="1"/>
    <col min="5" max="5" width="3.28515625" style="26" customWidth="1"/>
    <col min="6" max="6" width="2.85546875" style="8" customWidth="1"/>
    <col min="7" max="7" width="7.28515625" style="1" customWidth="1"/>
    <col min="8" max="8" width="10.5703125" style="1" customWidth="1"/>
    <col min="9" max="9" width="10.28515625" style="1" customWidth="1"/>
    <col min="10" max="10" width="9.5703125" style="1" customWidth="1"/>
    <col min="11" max="11" width="11.28515625" style="1" customWidth="1"/>
    <col min="12" max="25" width="9.140625" style="1"/>
    <col min="26" max="26" width="9.28515625" style="1" customWidth="1"/>
    <col min="27" max="16384" width="9.140625" style="1"/>
  </cols>
  <sheetData>
    <row r="1" spans="1:11" ht="15.75">
      <c r="G1" s="996" t="s">
        <v>195</v>
      </c>
      <c r="H1" s="997"/>
      <c r="I1" s="997"/>
      <c r="J1" s="997"/>
      <c r="K1" s="998"/>
    </row>
    <row r="2" spans="1:11" s="2" customFormat="1" ht="15.75">
      <c r="A2" s="915" t="s">
        <v>200</v>
      </c>
      <c r="B2" s="915"/>
      <c r="C2" s="915"/>
      <c r="D2" s="915"/>
      <c r="E2" s="915"/>
      <c r="F2" s="915"/>
      <c r="G2" s="915"/>
      <c r="H2" s="915"/>
      <c r="I2" s="915"/>
      <c r="J2" s="915"/>
    </row>
    <row r="3" spans="1:11" s="2" customFormat="1" ht="15" customHeight="1">
      <c r="A3" s="723" t="s">
        <v>94</v>
      </c>
      <c r="B3" s="724"/>
      <c r="C3" s="724"/>
      <c r="D3" s="724"/>
      <c r="E3" s="724"/>
      <c r="F3" s="724"/>
      <c r="G3" s="724"/>
      <c r="H3" s="724"/>
      <c r="I3" s="724"/>
      <c r="J3" s="724"/>
    </row>
    <row r="4" spans="1:11" s="2" customFormat="1" ht="15.75">
      <c r="A4" s="915" t="s">
        <v>48</v>
      </c>
      <c r="B4" s="915"/>
      <c r="C4" s="915"/>
      <c r="D4" s="915"/>
      <c r="E4" s="915"/>
      <c r="F4" s="915"/>
      <c r="G4" s="915"/>
      <c r="H4" s="915"/>
      <c r="I4" s="915"/>
      <c r="J4" s="915"/>
    </row>
    <row r="5" spans="1:11" s="2" customFormat="1" ht="13.5" thickBot="1">
      <c r="E5" s="26"/>
      <c r="F5" s="42"/>
      <c r="J5" s="598" t="s">
        <v>194</v>
      </c>
    </row>
    <row r="6" spans="1:11" s="11" customFormat="1" ht="42" customHeight="1">
      <c r="A6" s="916" t="s">
        <v>118</v>
      </c>
      <c r="B6" s="919" t="s">
        <v>0</v>
      </c>
      <c r="C6" s="919" t="s">
        <v>1</v>
      </c>
      <c r="D6" s="922" t="s">
        <v>17</v>
      </c>
      <c r="E6" s="925" t="s">
        <v>2</v>
      </c>
      <c r="F6" s="991" t="s">
        <v>3</v>
      </c>
      <c r="G6" s="952" t="s">
        <v>4</v>
      </c>
      <c r="H6" s="928" t="s">
        <v>119</v>
      </c>
      <c r="I6" s="928" t="s">
        <v>196</v>
      </c>
      <c r="J6" s="952" t="s">
        <v>197</v>
      </c>
      <c r="K6" s="928" t="s">
        <v>222</v>
      </c>
    </row>
    <row r="7" spans="1:11" s="11" customFormat="1" ht="21" customHeight="1">
      <c r="A7" s="917"/>
      <c r="B7" s="920"/>
      <c r="C7" s="920"/>
      <c r="D7" s="923"/>
      <c r="E7" s="926"/>
      <c r="F7" s="992"/>
      <c r="G7" s="953"/>
      <c r="H7" s="955"/>
      <c r="I7" s="955"/>
      <c r="J7" s="953"/>
      <c r="K7" s="955"/>
    </row>
    <row r="8" spans="1:11" s="11" customFormat="1" ht="61.5" customHeight="1" thickBot="1">
      <c r="A8" s="918"/>
      <c r="B8" s="921"/>
      <c r="C8" s="921"/>
      <c r="D8" s="924"/>
      <c r="E8" s="927"/>
      <c r="F8" s="993"/>
      <c r="G8" s="954"/>
      <c r="H8" s="956"/>
      <c r="I8" s="956"/>
      <c r="J8" s="954"/>
      <c r="K8" s="956"/>
    </row>
    <row r="9" spans="1:11" s="2" customFormat="1">
      <c r="A9" s="999" t="s">
        <v>24</v>
      </c>
      <c r="B9" s="1000"/>
      <c r="C9" s="1000"/>
      <c r="D9" s="1000"/>
      <c r="E9" s="1000"/>
      <c r="F9" s="1000"/>
      <c r="G9" s="1000"/>
      <c r="H9" s="1000"/>
      <c r="I9" s="1000"/>
      <c r="J9" s="1001"/>
      <c r="K9" s="677"/>
    </row>
    <row r="10" spans="1:11" s="2" customFormat="1" ht="13.5" customHeight="1">
      <c r="A10" s="1002" t="s">
        <v>51</v>
      </c>
      <c r="B10" s="1003"/>
      <c r="C10" s="1003"/>
      <c r="D10" s="1003"/>
      <c r="E10" s="1003"/>
      <c r="F10" s="1003"/>
      <c r="G10" s="1003"/>
      <c r="H10" s="1003"/>
      <c r="I10" s="1003"/>
      <c r="J10" s="1004"/>
      <c r="K10" s="677"/>
    </row>
    <row r="11" spans="1:11" s="2" customFormat="1" ht="12.75" customHeight="1">
      <c r="A11" s="128" t="s">
        <v>5</v>
      </c>
      <c r="B11" s="897" t="s">
        <v>39</v>
      </c>
      <c r="C11" s="897"/>
      <c r="D11" s="897"/>
      <c r="E11" s="897"/>
      <c r="F11" s="897"/>
      <c r="G11" s="897"/>
      <c r="H11" s="897"/>
      <c r="I11" s="897"/>
      <c r="J11" s="898"/>
      <c r="K11" s="677"/>
    </row>
    <row r="12" spans="1:11" s="2" customFormat="1">
      <c r="A12" s="534" t="s">
        <v>5</v>
      </c>
      <c r="B12" s="535" t="s">
        <v>5</v>
      </c>
      <c r="C12" s="1005" t="s">
        <v>41</v>
      </c>
      <c r="D12" s="1006"/>
      <c r="E12" s="1006"/>
      <c r="F12" s="1006"/>
      <c r="G12" s="1006"/>
      <c r="H12" s="1006"/>
      <c r="I12" s="1006"/>
      <c r="J12" s="1007"/>
      <c r="K12" s="677"/>
    </row>
    <row r="13" spans="1:11" s="11" customFormat="1" ht="12" customHeight="1">
      <c r="A13" s="130" t="s">
        <v>5</v>
      </c>
      <c r="B13" s="41" t="s">
        <v>5</v>
      </c>
      <c r="C13" s="233" t="s">
        <v>5</v>
      </c>
      <c r="D13" s="763" t="s">
        <v>202</v>
      </c>
      <c r="E13" s="1008" t="s">
        <v>150</v>
      </c>
      <c r="F13" s="907" t="s">
        <v>42</v>
      </c>
      <c r="G13" s="45" t="s">
        <v>9</v>
      </c>
      <c r="H13" s="348">
        <f>6129026+53403</f>
        <v>6182429</v>
      </c>
      <c r="I13" s="326">
        <f>6129026+53403-3395</f>
        <v>6179034</v>
      </c>
      <c r="J13" s="618">
        <f t="shared" ref="J13:J18" si="0">I13-H13</f>
        <v>-3395</v>
      </c>
      <c r="K13" s="677"/>
    </row>
    <row r="14" spans="1:11" s="2" customFormat="1" ht="13.5" customHeight="1">
      <c r="A14" s="659"/>
      <c r="B14" s="666"/>
      <c r="C14" s="661"/>
      <c r="D14" s="957"/>
      <c r="E14" s="1009"/>
      <c r="F14" s="1011"/>
      <c r="G14" s="146" t="s">
        <v>50</v>
      </c>
      <c r="H14" s="341">
        <f>11.6*1000/3.4528</f>
        <v>3360</v>
      </c>
      <c r="I14" s="440">
        <f>3360+1118</f>
        <v>4478</v>
      </c>
      <c r="J14" s="635">
        <f t="shared" si="0"/>
        <v>1118</v>
      </c>
      <c r="K14" s="677"/>
    </row>
    <row r="15" spans="1:11" s="2" customFormat="1" ht="14.25" customHeight="1">
      <c r="A15" s="696"/>
      <c r="B15" s="887"/>
      <c r="C15" s="702"/>
      <c r="D15" s="957"/>
      <c r="E15" s="1009"/>
      <c r="F15" s="1011"/>
      <c r="G15" s="18" t="s">
        <v>92</v>
      </c>
      <c r="H15" s="344">
        <f>23720+1965</f>
        <v>25685</v>
      </c>
      <c r="I15" s="376">
        <f>23720+1965</f>
        <v>25685</v>
      </c>
      <c r="J15" s="345">
        <f t="shared" si="0"/>
        <v>0</v>
      </c>
      <c r="K15" s="677"/>
    </row>
    <row r="16" spans="1:11" s="2" customFormat="1" ht="14.25" customHeight="1">
      <c r="A16" s="696"/>
      <c r="B16" s="887"/>
      <c r="C16" s="702"/>
      <c r="D16" s="957"/>
      <c r="E16" s="1009"/>
      <c r="F16" s="1011"/>
      <c r="G16" s="575" t="s">
        <v>36</v>
      </c>
      <c r="H16" s="574">
        <f>713867+1210</f>
        <v>715077</v>
      </c>
      <c r="I16" s="573">
        <f>713867+1210-2460</f>
        <v>712617</v>
      </c>
      <c r="J16" s="634">
        <f t="shared" si="0"/>
        <v>-2460</v>
      </c>
      <c r="K16" s="677"/>
    </row>
    <row r="17" spans="1:11" s="2" customFormat="1" ht="15" customHeight="1">
      <c r="A17" s="696"/>
      <c r="B17" s="887"/>
      <c r="C17" s="702"/>
      <c r="D17" s="957"/>
      <c r="E17" s="1009"/>
      <c r="F17" s="1011"/>
      <c r="G17" s="18" t="s">
        <v>123</v>
      </c>
      <c r="H17" s="344">
        <f>3181</f>
        <v>3181</v>
      </c>
      <c r="I17" s="376">
        <f>3181</f>
        <v>3181</v>
      </c>
      <c r="J17" s="345">
        <f t="shared" si="0"/>
        <v>0</v>
      </c>
      <c r="K17" s="677"/>
    </row>
    <row r="18" spans="1:11" s="2" customFormat="1" ht="30.75" customHeight="1">
      <c r="A18" s="696"/>
      <c r="B18" s="887"/>
      <c r="C18" s="702"/>
      <c r="D18" s="957"/>
      <c r="E18" s="1009"/>
      <c r="F18" s="1011"/>
      <c r="G18" s="145" t="s">
        <v>207</v>
      </c>
      <c r="H18" s="346">
        <v>18</v>
      </c>
      <c r="I18" s="324">
        <v>18</v>
      </c>
      <c r="J18" s="347">
        <f t="shared" si="0"/>
        <v>0</v>
      </c>
      <c r="K18" s="677"/>
    </row>
    <row r="19" spans="1:11" s="2" customFormat="1" ht="15" customHeight="1">
      <c r="A19" s="696"/>
      <c r="B19" s="887"/>
      <c r="C19" s="702"/>
      <c r="D19" s="957"/>
      <c r="E19" s="1009"/>
      <c r="F19" s="1011"/>
      <c r="G19" s="145"/>
      <c r="H19" s="346"/>
      <c r="I19" s="324"/>
      <c r="J19" s="347"/>
      <c r="K19" s="677"/>
    </row>
    <row r="20" spans="1:11" s="2" customFormat="1" ht="27" customHeight="1">
      <c r="A20" s="696"/>
      <c r="B20" s="887"/>
      <c r="C20" s="702"/>
      <c r="D20" s="957"/>
      <c r="E20" s="1009"/>
      <c r="F20" s="1011"/>
      <c r="G20" s="145"/>
      <c r="H20" s="346"/>
      <c r="I20" s="324"/>
      <c r="J20" s="373"/>
      <c r="K20" s="677"/>
    </row>
    <row r="21" spans="1:11" s="2" customFormat="1">
      <c r="A21" s="696"/>
      <c r="B21" s="887"/>
      <c r="C21" s="702"/>
      <c r="D21" s="957"/>
      <c r="E21" s="1009"/>
      <c r="F21" s="1011"/>
      <c r="G21" s="145"/>
      <c r="H21" s="346"/>
      <c r="I21" s="324"/>
      <c r="J21" s="373"/>
      <c r="K21" s="677"/>
    </row>
    <row r="22" spans="1:11" s="2" customFormat="1">
      <c r="A22" s="659"/>
      <c r="B22" s="660"/>
      <c r="C22" s="661"/>
      <c r="D22" s="957"/>
      <c r="E22" s="1009"/>
      <c r="F22" s="1011"/>
      <c r="G22" s="145"/>
      <c r="H22" s="346"/>
      <c r="I22" s="324"/>
      <c r="J22" s="373"/>
      <c r="K22" s="677"/>
    </row>
    <row r="23" spans="1:11" s="2" customFormat="1" ht="24.75" customHeight="1">
      <c r="A23" s="131"/>
      <c r="B23" s="666"/>
      <c r="C23" s="661"/>
      <c r="D23" s="957"/>
      <c r="E23" s="1009"/>
      <c r="F23" s="1011"/>
      <c r="G23" s="294"/>
      <c r="H23" s="346"/>
      <c r="I23" s="324"/>
      <c r="J23" s="324"/>
      <c r="K23" s="677"/>
    </row>
    <row r="24" spans="1:11" s="2" customFormat="1" ht="22.5" customHeight="1">
      <c r="A24" s="131"/>
      <c r="B24" s="666"/>
      <c r="C24" s="661"/>
      <c r="D24" s="957"/>
      <c r="E24" s="1009"/>
      <c r="F24" s="1011"/>
      <c r="G24" s="45"/>
      <c r="H24" s="348"/>
      <c r="I24" s="326"/>
      <c r="J24" s="326"/>
      <c r="K24" s="677"/>
    </row>
    <row r="25" spans="1:11" s="2" customFormat="1" ht="20.25" customHeight="1" thickBot="1">
      <c r="A25" s="132"/>
      <c r="B25" s="664"/>
      <c r="C25" s="232"/>
      <c r="D25" s="976"/>
      <c r="E25" s="1010"/>
      <c r="F25" s="1012"/>
      <c r="G25" s="671" t="s">
        <v>12</v>
      </c>
      <c r="H25" s="350">
        <f t="shared" ref="H25:J25" si="1">SUM(H13:H23)</f>
        <v>6929750</v>
      </c>
      <c r="I25" s="350">
        <f t="shared" si="1"/>
        <v>6925013</v>
      </c>
      <c r="J25" s="619">
        <f t="shared" si="1"/>
        <v>-4737</v>
      </c>
      <c r="K25" s="677"/>
    </row>
    <row r="26" spans="1:11" s="2" customFormat="1" ht="21" customHeight="1">
      <c r="A26" s="696" t="s">
        <v>5</v>
      </c>
      <c r="B26" s="887" t="s">
        <v>5</v>
      </c>
      <c r="C26" s="861" t="s">
        <v>6</v>
      </c>
      <c r="D26" s="889" t="s">
        <v>90</v>
      </c>
      <c r="E26" s="874"/>
      <c r="F26" s="871" t="s">
        <v>42</v>
      </c>
      <c r="G26" s="10" t="s">
        <v>9</v>
      </c>
      <c r="H26" s="451">
        <f>449.7/3.4528*1000</f>
        <v>130242</v>
      </c>
      <c r="I26" s="441">
        <f>449.7/3.4528*1000</f>
        <v>130242</v>
      </c>
      <c r="J26" s="354"/>
      <c r="K26" s="677"/>
    </row>
    <row r="27" spans="1:11" s="2" customFormat="1" ht="17.25" customHeight="1" thickBot="1">
      <c r="A27" s="697"/>
      <c r="B27" s="888"/>
      <c r="C27" s="850"/>
      <c r="D27" s="885"/>
      <c r="E27" s="853"/>
      <c r="F27" s="890"/>
      <c r="G27" s="93" t="s">
        <v>12</v>
      </c>
      <c r="H27" s="356">
        <f t="shared" ref="H27" si="2">H26</f>
        <v>130242</v>
      </c>
      <c r="I27" s="350">
        <f t="shared" ref="I27" si="3">I26</f>
        <v>130242</v>
      </c>
      <c r="J27" s="350"/>
      <c r="K27" s="677"/>
    </row>
    <row r="28" spans="1:11" s="2" customFormat="1" ht="12.75" customHeight="1">
      <c r="A28" s="696" t="s">
        <v>5</v>
      </c>
      <c r="B28" s="887" t="s">
        <v>5</v>
      </c>
      <c r="C28" s="861" t="s">
        <v>7</v>
      </c>
      <c r="D28" s="889" t="s">
        <v>37</v>
      </c>
      <c r="E28" s="874"/>
      <c r="F28" s="871" t="s">
        <v>42</v>
      </c>
      <c r="G28" s="12" t="s">
        <v>9</v>
      </c>
      <c r="H28" s="326">
        <f>244700+6477</f>
        <v>251177</v>
      </c>
      <c r="I28" s="326">
        <f>244700+6477</f>
        <v>251177</v>
      </c>
      <c r="J28" s="326">
        <f>I28-H28</f>
        <v>0</v>
      </c>
      <c r="K28" s="677"/>
    </row>
    <row r="29" spans="1:11" s="2" customFormat="1" ht="14.25" customHeight="1" thickBot="1">
      <c r="A29" s="697"/>
      <c r="B29" s="888"/>
      <c r="C29" s="850"/>
      <c r="D29" s="885"/>
      <c r="E29" s="853"/>
      <c r="F29" s="890"/>
      <c r="G29" s="93" t="s">
        <v>12</v>
      </c>
      <c r="H29" s="350">
        <f t="shared" ref="H29:I29" si="4">H28</f>
        <v>251177</v>
      </c>
      <c r="I29" s="350">
        <f t="shared" si="4"/>
        <v>251177</v>
      </c>
      <c r="J29" s="350">
        <f>SUM(J28)</f>
        <v>0</v>
      </c>
      <c r="K29" s="677"/>
    </row>
    <row r="30" spans="1:11" s="2" customFormat="1" ht="18" customHeight="1">
      <c r="A30" s="695" t="s">
        <v>5</v>
      </c>
      <c r="B30" s="698" t="s">
        <v>5</v>
      </c>
      <c r="C30" s="849" t="s">
        <v>8</v>
      </c>
      <c r="D30" s="884" t="s">
        <v>97</v>
      </c>
      <c r="E30" s="852"/>
      <c r="F30" s="870" t="s">
        <v>42</v>
      </c>
      <c r="G30" s="17" t="s">
        <v>9</v>
      </c>
      <c r="H30" s="441">
        <f>93345+13403</f>
        <v>106748</v>
      </c>
      <c r="I30" s="441">
        <f>93345+13403</f>
        <v>106748</v>
      </c>
      <c r="J30" s="441">
        <f>I30-H30</f>
        <v>0</v>
      </c>
      <c r="K30" s="677"/>
    </row>
    <row r="31" spans="1:11" s="2" customFormat="1" ht="21.75" customHeight="1" thickBot="1">
      <c r="A31" s="697"/>
      <c r="B31" s="700"/>
      <c r="C31" s="850"/>
      <c r="D31" s="885"/>
      <c r="E31" s="853"/>
      <c r="F31" s="890"/>
      <c r="G31" s="92" t="s">
        <v>12</v>
      </c>
      <c r="H31" s="359">
        <f t="shared" ref="H31" si="5">H30</f>
        <v>106748</v>
      </c>
      <c r="I31" s="359">
        <f t="shared" ref="I31" si="6">I30</f>
        <v>106748</v>
      </c>
      <c r="J31" s="359">
        <f>SUM(J30)</f>
        <v>0</v>
      </c>
      <c r="K31" s="677"/>
    </row>
    <row r="32" spans="1:11" s="2" customFormat="1" ht="19.5" customHeight="1">
      <c r="A32" s="695" t="s">
        <v>5</v>
      </c>
      <c r="B32" s="698" t="s">
        <v>5</v>
      </c>
      <c r="C32" s="849" t="s">
        <v>26</v>
      </c>
      <c r="D32" s="884" t="s">
        <v>110</v>
      </c>
      <c r="E32" s="852"/>
      <c r="F32" s="870" t="s">
        <v>42</v>
      </c>
      <c r="G32" s="12" t="s">
        <v>9</v>
      </c>
      <c r="H32" s="375">
        <f>42.4/3.4528*1000</f>
        <v>12280</v>
      </c>
      <c r="I32" s="326">
        <f>42.4/3.4528*1000</f>
        <v>12280</v>
      </c>
      <c r="J32" s="361"/>
      <c r="K32" s="677"/>
    </row>
    <row r="33" spans="1:11" s="2" customFormat="1" ht="13.5" thickBot="1">
      <c r="A33" s="696"/>
      <c r="B33" s="699"/>
      <c r="C33" s="861"/>
      <c r="D33" s="990"/>
      <c r="E33" s="874"/>
      <c r="F33" s="871"/>
      <c r="G33" s="94" t="s">
        <v>12</v>
      </c>
      <c r="H33" s="452">
        <f>SUM(H32:H32)</f>
        <v>12280</v>
      </c>
      <c r="I33" s="454">
        <f>SUM(I32:I32)</f>
        <v>12280</v>
      </c>
      <c r="J33" s="454"/>
      <c r="K33" s="677"/>
    </row>
    <row r="34" spans="1:11" s="2" customFormat="1" ht="25.5">
      <c r="A34" s="663" t="s">
        <v>5</v>
      </c>
      <c r="B34" s="85" t="s">
        <v>5</v>
      </c>
      <c r="C34" s="236" t="s">
        <v>28</v>
      </c>
      <c r="D34" s="674" t="s">
        <v>99</v>
      </c>
      <c r="E34" s="284"/>
      <c r="F34" s="665"/>
      <c r="G34" s="10"/>
      <c r="H34" s="394"/>
      <c r="I34" s="441"/>
      <c r="J34" s="354"/>
      <c r="K34" s="677"/>
    </row>
    <row r="35" spans="1:11" s="2" customFormat="1" ht="28.5" customHeight="1">
      <c r="A35" s="659"/>
      <c r="B35" s="84"/>
      <c r="C35" s="237"/>
      <c r="D35" s="667" t="s">
        <v>91</v>
      </c>
      <c r="E35" s="106"/>
      <c r="F35" s="248" t="s">
        <v>42</v>
      </c>
      <c r="G35" s="12" t="s">
        <v>9</v>
      </c>
      <c r="H35" s="344">
        <f>(117.8+10.6)/3.4528*1000</f>
        <v>37187</v>
      </c>
      <c r="I35" s="376">
        <f>(117.8+10.6)/3.4528*1000</f>
        <v>37187</v>
      </c>
      <c r="J35" s="322">
        <f>I35-H35</f>
        <v>0</v>
      </c>
      <c r="K35" s="677"/>
    </row>
    <row r="36" spans="1:11" s="2" customFormat="1" ht="90.75" customHeight="1">
      <c r="A36" s="659"/>
      <c r="B36" s="84"/>
      <c r="C36" s="237"/>
      <c r="D36" s="669" t="s">
        <v>190</v>
      </c>
      <c r="E36" s="285"/>
      <c r="F36" s="249" t="s">
        <v>43</v>
      </c>
      <c r="G36" s="19" t="s">
        <v>9</v>
      </c>
      <c r="H36" s="682">
        <f>107.8/3.4528*1000</f>
        <v>31221</v>
      </c>
      <c r="I36" s="606">
        <f>107.8/3.4528*1000</f>
        <v>31221</v>
      </c>
      <c r="J36" s="683"/>
      <c r="K36" s="677"/>
    </row>
    <row r="37" spans="1:11" s="2" customFormat="1">
      <c r="A37" s="659"/>
      <c r="B37" s="84"/>
      <c r="C37" s="537"/>
      <c r="D37" s="987" t="s">
        <v>141</v>
      </c>
      <c r="E37" s="876"/>
      <c r="F37" s="878"/>
      <c r="G37" s="71"/>
      <c r="H37" s="453"/>
      <c r="I37" s="444"/>
      <c r="J37" s="383"/>
      <c r="K37" s="677"/>
    </row>
    <row r="38" spans="1:11" s="2" customFormat="1" ht="27.75" customHeight="1" thickBot="1">
      <c r="A38" s="662"/>
      <c r="B38" s="664"/>
      <c r="C38" s="232"/>
      <c r="D38" s="959"/>
      <c r="E38" s="988"/>
      <c r="F38" s="984"/>
      <c r="G38" s="93" t="s">
        <v>12</v>
      </c>
      <c r="H38" s="684">
        <f>SUM(H35:H37)</f>
        <v>68408</v>
      </c>
      <c r="I38" s="685">
        <f>SUM(I35:I37)</f>
        <v>68408</v>
      </c>
      <c r="J38" s="685">
        <f>J35</f>
        <v>0</v>
      </c>
      <c r="K38" s="680"/>
    </row>
    <row r="39" spans="1:11" s="11" customFormat="1" ht="12.75" customHeight="1">
      <c r="A39" s="695" t="s">
        <v>5</v>
      </c>
      <c r="B39" s="698" t="s">
        <v>5</v>
      </c>
      <c r="C39" s="849" t="s">
        <v>29</v>
      </c>
      <c r="D39" s="862" t="s">
        <v>22</v>
      </c>
      <c r="E39" s="989"/>
      <c r="F39" s="868" t="s">
        <v>42</v>
      </c>
      <c r="G39" s="497" t="s">
        <v>9</v>
      </c>
      <c r="H39" s="431">
        <f>4439883-393070</f>
        <v>4046813</v>
      </c>
      <c r="I39" s="441">
        <f>4439883-393070-93039</f>
        <v>3953774</v>
      </c>
      <c r="J39" s="636">
        <f>I39-H39</f>
        <v>-93039</v>
      </c>
      <c r="K39" s="688"/>
    </row>
    <row r="40" spans="1:11" s="11" customFormat="1" ht="12.75" customHeight="1">
      <c r="A40" s="696"/>
      <c r="B40" s="699"/>
      <c r="C40" s="861"/>
      <c r="D40" s="872"/>
      <c r="E40" s="864"/>
      <c r="F40" s="873"/>
      <c r="G40" s="494" t="s">
        <v>124</v>
      </c>
      <c r="H40" s="346">
        <v>4792058</v>
      </c>
      <c r="I40" s="324">
        <v>4792058</v>
      </c>
      <c r="J40" s="637">
        <f>I40-H40</f>
        <v>0</v>
      </c>
      <c r="K40" s="614"/>
    </row>
    <row r="41" spans="1:11" s="11" customFormat="1" ht="13.5" thickBot="1">
      <c r="A41" s="697"/>
      <c r="B41" s="700"/>
      <c r="C41" s="850"/>
      <c r="D41" s="863"/>
      <c r="E41" s="865"/>
      <c r="F41" s="869"/>
      <c r="G41" s="95" t="s">
        <v>12</v>
      </c>
      <c r="H41" s="365">
        <f>H39+H40</f>
        <v>8838871</v>
      </c>
      <c r="I41" s="359">
        <f>I39+I40</f>
        <v>8745832</v>
      </c>
      <c r="J41" s="638">
        <f>SUM(J39:J40)</f>
        <v>-93039</v>
      </c>
      <c r="K41" s="614"/>
    </row>
    <row r="42" spans="1:11" s="11" customFormat="1" ht="12.75" customHeight="1">
      <c r="A42" s="695" t="s">
        <v>5</v>
      </c>
      <c r="B42" s="698" t="s">
        <v>5</v>
      </c>
      <c r="C42" s="861" t="s">
        <v>30</v>
      </c>
      <c r="D42" s="862" t="s">
        <v>62</v>
      </c>
      <c r="E42" s="864"/>
      <c r="F42" s="868" t="s">
        <v>42</v>
      </c>
      <c r="G42" s="73" t="s">
        <v>9</v>
      </c>
      <c r="H42" s="413">
        <f>100/3.4528*1000</f>
        <v>28962</v>
      </c>
      <c r="I42" s="324">
        <f>100/3.4528*1000</f>
        <v>28962</v>
      </c>
      <c r="J42" s="504"/>
      <c r="K42" s="614"/>
    </row>
    <row r="43" spans="1:11" s="11" customFormat="1" ht="13.5" thickBot="1">
      <c r="A43" s="697"/>
      <c r="B43" s="700"/>
      <c r="C43" s="850"/>
      <c r="D43" s="863"/>
      <c r="E43" s="865"/>
      <c r="F43" s="869"/>
      <c r="G43" s="599" t="s">
        <v>12</v>
      </c>
      <c r="H43" s="365">
        <f>H42</f>
        <v>28962</v>
      </c>
      <c r="I43" s="359">
        <f>I42</f>
        <v>28962</v>
      </c>
      <c r="J43" s="449">
        <f t="shared" ref="J43" si="7">SUM(J42:J42)</f>
        <v>0</v>
      </c>
      <c r="K43" s="614"/>
    </row>
    <row r="44" spans="1:11" s="2" customFormat="1" ht="12.75" customHeight="1">
      <c r="A44" s="133" t="s">
        <v>5</v>
      </c>
      <c r="B44" s="40" t="s">
        <v>5</v>
      </c>
      <c r="C44" s="246" t="s">
        <v>31</v>
      </c>
      <c r="D44" s="837" t="s">
        <v>98</v>
      </c>
      <c r="E44" s="286"/>
      <c r="F44" s="670">
        <v>1</v>
      </c>
      <c r="G44" s="10" t="s">
        <v>9</v>
      </c>
      <c r="H44" s="431">
        <f>(809.5/3.4528*1000)+15000</f>
        <v>249447</v>
      </c>
      <c r="I44" s="441">
        <f>(809.5/3.4528*1000)+15000-5808</f>
        <v>243639</v>
      </c>
      <c r="J44" s="641">
        <f>I44-H44</f>
        <v>-5808</v>
      </c>
      <c r="K44" s="677"/>
    </row>
    <row r="45" spans="1:11" s="2" customFormat="1">
      <c r="A45" s="130"/>
      <c r="B45" s="41"/>
      <c r="C45" s="231"/>
      <c r="D45" s="957"/>
      <c r="E45" s="287"/>
      <c r="F45" s="675"/>
      <c r="G45" s="13" t="s">
        <v>211</v>
      </c>
      <c r="H45" s="396">
        <f>40/3.4528*1000</f>
        <v>11585</v>
      </c>
      <c r="I45" s="376">
        <f>40/3.4528*1000</f>
        <v>11585</v>
      </c>
      <c r="J45" s="345"/>
      <c r="K45" s="677"/>
    </row>
    <row r="46" spans="1:11" s="2" customFormat="1" ht="24.75" customHeight="1">
      <c r="A46" s="130"/>
      <c r="B46" s="41"/>
      <c r="C46" s="231"/>
      <c r="D46" s="958"/>
      <c r="E46" s="287"/>
      <c r="F46" s="675"/>
      <c r="G46" s="164" t="s">
        <v>10</v>
      </c>
      <c r="H46" s="413">
        <f>14/3.4528*1000</f>
        <v>4055</v>
      </c>
      <c r="I46" s="324">
        <f>14/3.4528*1000</f>
        <v>4055</v>
      </c>
      <c r="J46" s="347"/>
      <c r="K46" s="677"/>
    </row>
    <row r="47" spans="1:11" s="2" customFormat="1" ht="16.5" customHeight="1">
      <c r="A47" s="130"/>
      <c r="B47" s="41"/>
      <c r="C47" s="231"/>
      <c r="D47" s="854" t="s">
        <v>111</v>
      </c>
      <c r="E47" s="287"/>
      <c r="F47" s="675"/>
      <c r="G47" s="164"/>
      <c r="H47" s="413"/>
      <c r="I47" s="324"/>
      <c r="J47" s="347"/>
      <c r="K47" s="677"/>
    </row>
    <row r="48" spans="1:11" s="2" customFormat="1" ht="15.75" customHeight="1">
      <c r="A48" s="130"/>
      <c r="B48" s="41"/>
      <c r="C48" s="231"/>
      <c r="D48" s="854"/>
      <c r="E48" s="287"/>
      <c r="F48" s="675"/>
      <c r="G48" s="164"/>
      <c r="H48" s="413"/>
      <c r="I48" s="324"/>
      <c r="J48" s="347"/>
      <c r="K48" s="677"/>
    </row>
    <row r="49" spans="1:14" s="2" customFormat="1" ht="13.5" customHeight="1">
      <c r="A49" s="130"/>
      <c r="B49" s="41"/>
      <c r="C49" s="231"/>
      <c r="D49" s="854"/>
      <c r="E49" s="288"/>
      <c r="F49" s="114"/>
      <c r="G49" s="164"/>
      <c r="H49" s="413"/>
      <c r="I49" s="324"/>
      <c r="J49" s="347"/>
      <c r="K49" s="677"/>
    </row>
    <row r="50" spans="1:14" s="2" customFormat="1" ht="16.5" customHeight="1">
      <c r="A50" s="130"/>
      <c r="B50" s="41"/>
      <c r="C50" s="231"/>
      <c r="D50" s="855" t="s">
        <v>40</v>
      </c>
      <c r="E50" s="289"/>
      <c r="F50" s="279"/>
      <c r="G50" s="434"/>
      <c r="H50" s="413"/>
      <c r="I50" s="324"/>
      <c r="J50" s="347"/>
      <c r="K50" s="677"/>
    </row>
    <row r="51" spans="1:14" s="2" customFormat="1" ht="15.75" customHeight="1">
      <c r="A51" s="130"/>
      <c r="B51" s="41"/>
      <c r="C51" s="231"/>
      <c r="D51" s="856"/>
      <c r="E51" s="597"/>
      <c r="F51" s="114"/>
      <c r="G51" s="434"/>
      <c r="H51" s="413"/>
      <c r="I51" s="324"/>
      <c r="J51" s="347"/>
      <c r="K51" s="677"/>
    </row>
    <row r="52" spans="1:14" s="2" customFormat="1" ht="51">
      <c r="A52" s="130"/>
      <c r="B52" s="41"/>
      <c r="C52" s="231"/>
      <c r="D52" s="673" t="s">
        <v>61</v>
      </c>
      <c r="E52" s="46"/>
      <c r="F52" s="675"/>
      <c r="G52" s="434"/>
      <c r="H52" s="413"/>
      <c r="I52" s="324"/>
      <c r="J52" s="448"/>
      <c r="K52" s="677"/>
    </row>
    <row r="53" spans="1:14" s="2" customFormat="1" ht="41.25" customHeight="1">
      <c r="A53" s="130"/>
      <c r="B53" s="41"/>
      <c r="C53" s="231"/>
      <c r="D53" s="536" t="s">
        <v>134</v>
      </c>
      <c r="E53" s="46"/>
      <c r="F53" s="675"/>
      <c r="G53" s="434"/>
      <c r="H53" s="413"/>
      <c r="I53" s="324"/>
      <c r="J53" s="347"/>
      <c r="K53" s="677"/>
    </row>
    <row r="54" spans="1:14" s="2" customFormat="1" ht="54" customHeight="1">
      <c r="A54" s="130"/>
      <c r="B54" s="87"/>
      <c r="C54" s="247"/>
      <c r="D54" s="668" t="s">
        <v>112</v>
      </c>
      <c r="E54" s="112"/>
      <c r="F54" s="675"/>
      <c r="G54" s="434"/>
      <c r="H54" s="413"/>
      <c r="I54" s="324"/>
      <c r="J54" s="347"/>
      <c r="K54" s="677"/>
      <c r="N54" s="292"/>
    </row>
    <row r="55" spans="1:14" s="2" customFormat="1" ht="14.25" customHeight="1">
      <c r="A55" s="130"/>
      <c r="B55" s="87"/>
      <c r="C55" s="247"/>
      <c r="D55" s="857" t="s">
        <v>55</v>
      </c>
      <c r="E55" s="290"/>
      <c r="F55" s="675"/>
      <c r="G55" s="434"/>
      <c r="H55" s="439"/>
      <c r="I55" s="436"/>
      <c r="J55" s="448"/>
      <c r="K55" s="677"/>
    </row>
    <row r="56" spans="1:14" s="2" customFormat="1" ht="23.25" customHeight="1">
      <c r="A56" s="130"/>
      <c r="B56" s="87"/>
      <c r="C56" s="247"/>
      <c r="D56" s="854"/>
      <c r="E56" s="290"/>
      <c r="F56" s="675"/>
      <c r="G56" s="434"/>
      <c r="H56" s="439"/>
      <c r="I56" s="436"/>
      <c r="J56" s="448"/>
      <c r="K56" s="677"/>
    </row>
    <row r="57" spans="1:14" s="2" customFormat="1" ht="39.75" customHeight="1">
      <c r="A57" s="130"/>
      <c r="B57" s="87"/>
      <c r="C57" s="247"/>
      <c r="D57" s="668" t="s">
        <v>191</v>
      </c>
      <c r="E57" s="290"/>
      <c r="F57" s="675"/>
      <c r="G57" s="434"/>
      <c r="H57" s="413"/>
      <c r="I57" s="324"/>
      <c r="J57" s="347"/>
      <c r="K57" s="677"/>
    </row>
    <row r="58" spans="1:14" s="2" customFormat="1" ht="28.5" customHeight="1">
      <c r="A58" s="130"/>
      <c r="B58" s="87"/>
      <c r="C58" s="247"/>
      <c r="D58" s="759" t="s">
        <v>138</v>
      </c>
      <c r="E58" s="290"/>
      <c r="F58" s="675"/>
      <c r="G58" s="434"/>
      <c r="H58" s="413"/>
      <c r="I58" s="324"/>
      <c r="J58" s="347"/>
      <c r="K58" s="677"/>
    </row>
    <row r="59" spans="1:14" s="2" customFormat="1" ht="10.5" customHeight="1">
      <c r="A59" s="130"/>
      <c r="B59" s="87"/>
      <c r="C59" s="247"/>
      <c r="D59" s="958"/>
      <c r="E59" s="291"/>
      <c r="F59" s="114"/>
      <c r="G59" s="434"/>
      <c r="H59" s="413"/>
      <c r="I59" s="324"/>
      <c r="J59" s="347"/>
      <c r="K59" s="677"/>
    </row>
    <row r="60" spans="1:14" s="2" customFormat="1" ht="30.75" customHeight="1">
      <c r="A60" s="130"/>
      <c r="B60" s="87"/>
      <c r="C60" s="247"/>
      <c r="D60" s="672" t="s">
        <v>137</v>
      </c>
      <c r="E60" s="291"/>
      <c r="F60" s="114"/>
      <c r="G60" s="434"/>
      <c r="H60" s="413"/>
      <c r="I60" s="324"/>
      <c r="J60" s="347"/>
      <c r="K60" s="677"/>
    </row>
    <row r="61" spans="1:14" s="2" customFormat="1" ht="28.5" customHeight="1">
      <c r="A61" s="130"/>
      <c r="B61" s="87"/>
      <c r="C61" s="247"/>
      <c r="D61" s="667" t="s">
        <v>140</v>
      </c>
      <c r="E61" s="291"/>
      <c r="F61" s="114"/>
      <c r="G61" s="434"/>
      <c r="H61" s="413"/>
      <c r="I61" s="324"/>
      <c r="J61" s="347"/>
      <c r="K61" s="677"/>
    </row>
    <row r="62" spans="1:14" s="2" customFormat="1" ht="54" customHeight="1">
      <c r="A62" s="130"/>
      <c r="B62" s="87"/>
      <c r="C62" s="89"/>
      <c r="D62" s="667" t="s">
        <v>192</v>
      </c>
      <c r="E62" s="980"/>
      <c r="F62" s="983"/>
      <c r="G62" s="434"/>
      <c r="H62" s="413"/>
      <c r="I62" s="324"/>
      <c r="J62" s="325"/>
      <c r="K62" s="677"/>
    </row>
    <row r="63" spans="1:14" s="2" customFormat="1" ht="25.5" customHeight="1">
      <c r="A63" s="130"/>
      <c r="B63" s="87"/>
      <c r="C63" s="89"/>
      <c r="D63" s="669" t="s">
        <v>203</v>
      </c>
      <c r="E63" s="981"/>
      <c r="F63" s="912"/>
      <c r="G63" s="434"/>
      <c r="H63" s="413"/>
      <c r="I63" s="324"/>
      <c r="J63" s="325"/>
      <c r="K63" s="677"/>
    </row>
    <row r="64" spans="1:14" s="2" customFormat="1" ht="13.5" thickBot="1">
      <c r="A64" s="134"/>
      <c r="B64" s="88"/>
      <c r="C64" s="238"/>
      <c r="D64" s="639"/>
      <c r="E64" s="982"/>
      <c r="F64" s="984"/>
      <c r="G64" s="107" t="s">
        <v>12</v>
      </c>
      <c r="H64" s="410">
        <f t="shared" ref="H64:J64" si="8">H44+H45+H46</f>
        <v>265087</v>
      </c>
      <c r="I64" s="359">
        <f t="shared" si="8"/>
        <v>259279</v>
      </c>
      <c r="J64" s="638">
        <f t="shared" si="8"/>
        <v>-5808</v>
      </c>
      <c r="K64" s="677"/>
    </row>
    <row r="65" spans="1:11" s="2" customFormat="1" ht="24" customHeight="1">
      <c r="A65" s="696" t="s">
        <v>5</v>
      </c>
      <c r="B65" s="699" t="s">
        <v>5</v>
      </c>
      <c r="C65" s="861" t="s">
        <v>27</v>
      </c>
      <c r="D65" s="985" t="s">
        <v>44</v>
      </c>
      <c r="E65" s="874"/>
      <c r="F65" s="986">
        <v>1</v>
      </c>
      <c r="G65" s="164" t="s">
        <v>9</v>
      </c>
      <c r="H65" s="413">
        <f>30/3.4528*1000</f>
        <v>8689</v>
      </c>
      <c r="I65" s="326">
        <f>30/3.4528*1000+5808</f>
        <v>14497</v>
      </c>
      <c r="J65" s="640">
        <f>I65-H65</f>
        <v>5808</v>
      </c>
      <c r="K65" s="677"/>
    </row>
    <row r="66" spans="1:11" s="2" customFormat="1" ht="15" customHeight="1" thickBot="1">
      <c r="A66" s="697"/>
      <c r="B66" s="700"/>
      <c r="C66" s="850"/>
      <c r="D66" s="851"/>
      <c r="E66" s="853"/>
      <c r="F66" s="839"/>
      <c r="G66" s="107" t="s">
        <v>12</v>
      </c>
      <c r="H66" s="365">
        <f t="shared" ref="H66:I66" si="9">SUM(H65)</f>
        <v>8689</v>
      </c>
      <c r="I66" s="359">
        <f t="shared" si="9"/>
        <v>14497</v>
      </c>
      <c r="J66" s="638">
        <f>J65</f>
        <v>5808</v>
      </c>
      <c r="K66" s="680"/>
    </row>
    <row r="67" spans="1:11" s="20" customFormat="1" ht="18" customHeight="1">
      <c r="A67" s="696" t="s">
        <v>5</v>
      </c>
      <c r="B67" s="699" t="s">
        <v>5</v>
      </c>
      <c r="C67" s="751" t="s">
        <v>32</v>
      </c>
      <c r="D67" s="686" t="s">
        <v>105</v>
      </c>
      <c r="E67" s="842"/>
      <c r="F67" s="846" t="s">
        <v>43</v>
      </c>
      <c r="G67" s="461"/>
      <c r="H67" s="687"/>
      <c r="I67" s="326"/>
      <c r="J67" s="532"/>
      <c r="K67" s="678"/>
    </row>
    <row r="68" spans="1:11" s="20" customFormat="1" ht="26.25" customHeight="1">
      <c r="A68" s="696"/>
      <c r="B68" s="699"/>
      <c r="C68" s="751"/>
      <c r="D68" s="122" t="s">
        <v>107</v>
      </c>
      <c r="E68" s="842"/>
      <c r="F68" s="846"/>
      <c r="G68" s="461" t="s">
        <v>36</v>
      </c>
      <c r="H68" s="348">
        <f>988.793/3.4528*1000</f>
        <v>286374</v>
      </c>
      <c r="I68" s="326">
        <f>988.793/3.4528*1000</f>
        <v>286374</v>
      </c>
      <c r="J68" s="532">
        <f>I68-H68</f>
        <v>0</v>
      </c>
      <c r="K68" s="678"/>
    </row>
    <row r="69" spans="1:11" s="20" customFormat="1" ht="15.75" customHeight="1">
      <c r="A69" s="696"/>
      <c r="B69" s="699"/>
      <c r="C69" s="840"/>
      <c r="D69" s="465" t="s">
        <v>106</v>
      </c>
      <c r="E69" s="843"/>
      <c r="F69" s="847"/>
      <c r="G69" s="127" t="s">
        <v>36</v>
      </c>
      <c r="H69" s="346">
        <v>7820</v>
      </c>
      <c r="I69" s="324">
        <v>7820</v>
      </c>
      <c r="J69" s="533">
        <f>I69-H69</f>
        <v>0</v>
      </c>
      <c r="K69" s="678"/>
    </row>
    <row r="70" spans="1:11" s="20" customFormat="1" ht="13.5" thickBot="1">
      <c r="A70" s="697"/>
      <c r="B70" s="700"/>
      <c r="C70" s="752"/>
      <c r="D70" s="125"/>
      <c r="E70" s="844"/>
      <c r="F70" s="848"/>
      <c r="G70" s="107" t="s">
        <v>12</v>
      </c>
      <c r="H70" s="410">
        <f>H69+H67+H68</f>
        <v>294194</v>
      </c>
      <c r="I70" s="359">
        <f t="shared" ref="I70:J70" si="10">I69+I67+I68</f>
        <v>294194</v>
      </c>
      <c r="J70" s="449">
        <f t="shared" si="10"/>
        <v>0</v>
      </c>
      <c r="K70" s="678"/>
    </row>
    <row r="71" spans="1:11" s="2" customFormat="1" ht="13.5" thickBot="1">
      <c r="A71" s="135" t="s">
        <v>5</v>
      </c>
      <c r="B71" s="9" t="s">
        <v>5</v>
      </c>
      <c r="C71" s="737" t="s">
        <v>13</v>
      </c>
      <c r="D71" s="738"/>
      <c r="E71" s="738"/>
      <c r="F71" s="738"/>
      <c r="G71" s="972"/>
      <c r="H71" s="416">
        <f t="shared" ref="H71:J71" si="11">H70+H66+H64+H43+H41+H38+H33+H31+H29+H27+H25</f>
        <v>16934408</v>
      </c>
      <c r="I71" s="411">
        <f t="shared" si="11"/>
        <v>16836632</v>
      </c>
      <c r="J71" s="621">
        <f t="shared" si="11"/>
        <v>-97776</v>
      </c>
      <c r="K71" s="677"/>
    </row>
    <row r="72" spans="1:11" s="2" customFormat="1" ht="13.5" thickBot="1">
      <c r="A72" s="642" t="s">
        <v>5</v>
      </c>
      <c r="B72" s="72" t="s">
        <v>6</v>
      </c>
      <c r="C72" s="973" t="s">
        <v>54</v>
      </c>
      <c r="D72" s="974"/>
      <c r="E72" s="974"/>
      <c r="F72" s="974"/>
      <c r="G72" s="974"/>
      <c r="H72" s="974"/>
      <c r="I72" s="974"/>
      <c r="J72" s="975"/>
      <c r="K72" s="614"/>
    </row>
    <row r="73" spans="1:11" s="2" customFormat="1" ht="16.5" customHeight="1">
      <c r="A73" s="642" t="s">
        <v>5</v>
      </c>
      <c r="B73" s="645" t="s">
        <v>6</v>
      </c>
      <c r="C73" s="648" t="s">
        <v>5</v>
      </c>
      <c r="D73" s="837" t="s">
        <v>154</v>
      </c>
      <c r="E73" s="977" t="s">
        <v>89</v>
      </c>
      <c r="F73" s="141" t="s">
        <v>42</v>
      </c>
      <c r="G73" s="522" t="s">
        <v>9</v>
      </c>
      <c r="H73" s="529">
        <f>1268.3/3.4528*1000</f>
        <v>367325</v>
      </c>
      <c r="I73" s="552">
        <f>1268.3/3.4528*1000</f>
        <v>367325</v>
      </c>
      <c r="J73" s="524">
        <v>0</v>
      </c>
      <c r="K73" s="677"/>
    </row>
    <row r="74" spans="1:11" s="2" customFormat="1" ht="15.75" customHeight="1">
      <c r="A74" s="643"/>
      <c r="B74" s="646"/>
      <c r="C74" s="649"/>
      <c r="D74" s="958"/>
      <c r="E74" s="978"/>
      <c r="F74" s="68"/>
      <c r="G74" s="526" t="s">
        <v>36</v>
      </c>
      <c r="H74" s="531">
        <f>29860+16137</f>
        <v>45997</v>
      </c>
      <c r="I74" s="596">
        <f>29860+16137+4836</f>
        <v>50833</v>
      </c>
      <c r="J74" s="620">
        <f>I74-H74</f>
        <v>4836</v>
      </c>
      <c r="K74" s="994"/>
    </row>
    <row r="75" spans="1:11" s="2" customFormat="1" ht="14.25" customHeight="1">
      <c r="A75" s="643"/>
      <c r="B75" s="646"/>
      <c r="C75" s="649"/>
      <c r="D75" s="759" t="s">
        <v>155</v>
      </c>
      <c r="E75" s="978"/>
      <c r="F75" s="68"/>
      <c r="G75" s="295"/>
      <c r="H75" s="446"/>
      <c r="I75" s="553"/>
      <c r="J75" s="324"/>
      <c r="K75" s="995"/>
    </row>
    <row r="76" spans="1:11" s="2" customFormat="1" ht="15.75" customHeight="1" thickBot="1">
      <c r="A76" s="644"/>
      <c r="B76" s="647"/>
      <c r="C76" s="650"/>
      <c r="D76" s="976"/>
      <c r="E76" s="979"/>
      <c r="F76" s="600"/>
      <c r="G76" s="601"/>
      <c r="H76" s="602"/>
      <c r="I76" s="603"/>
      <c r="J76" s="605"/>
      <c r="K76" s="995"/>
    </row>
    <row r="77" spans="1:11" s="2" customFormat="1" ht="25.5">
      <c r="A77" s="643"/>
      <c r="B77" s="646"/>
      <c r="C77" s="649"/>
      <c r="D77" s="652" t="s">
        <v>156</v>
      </c>
      <c r="E77" s="978" t="s">
        <v>89</v>
      </c>
      <c r="F77" s="68"/>
      <c r="G77" s="295"/>
      <c r="H77" s="413"/>
      <c r="I77" s="469"/>
      <c r="J77" s="324"/>
      <c r="K77" s="995"/>
    </row>
    <row r="78" spans="1:11" s="2" customFormat="1" ht="51.75" customHeight="1">
      <c r="A78" s="643"/>
      <c r="B78" s="646"/>
      <c r="C78" s="649"/>
      <c r="D78" s="772" t="s">
        <v>160</v>
      </c>
      <c r="E78" s="978"/>
      <c r="F78" s="68"/>
      <c r="G78" s="301"/>
      <c r="H78" s="375"/>
      <c r="I78" s="554"/>
      <c r="J78" s="326"/>
      <c r="K78" s="995"/>
    </row>
    <row r="79" spans="1:11" s="2" customFormat="1" ht="13.5" thickBot="1">
      <c r="A79" s="644"/>
      <c r="B79" s="647"/>
      <c r="C79" s="269"/>
      <c r="D79" s="959"/>
      <c r="E79" s="608"/>
      <c r="F79" s="253"/>
      <c r="G79" s="317" t="s">
        <v>12</v>
      </c>
      <c r="H79" s="356">
        <f>H73+H74</f>
        <v>413322</v>
      </c>
      <c r="I79" s="356">
        <f>I73+I74</f>
        <v>418158</v>
      </c>
      <c r="J79" s="619">
        <f>SUM(J73:J78)</f>
        <v>4836</v>
      </c>
      <c r="K79" s="677"/>
    </row>
    <row r="80" spans="1:11" s="11" customFormat="1" ht="18.75" customHeight="1">
      <c r="A80" s="642" t="s">
        <v>5</v>
      </c>
      <c r="B80" s="645" t="s">
        <v>6</v>
      </c>
      <c r="C80" s="656" t="s">
        <v>6</v>
      </c>
      <c r="D80" s="820" t="s">
        <v>113</v>
      </c>
      <c r="E80" s="966"/>
      <c r="F80" s="826" t="s">
        <v>43</v>
      </c>
      <c r="G80" s="62" t="s">
        <v>9</v>
      </c>
      <c r="H80" s="562">
        <f>24415-4146</f>
        <v>20269</v>
      </c>
      <c r="I80" s="555">
        <f>24415-4146-16025</f>
        <v>4244</v>
      </c>
      <c r="J80" s="628">
        <f>I80-H80</f>
        <v>-16025</v>
      </c>
      <c r="K80" s="677"/>
    </row>
    <row r="81" spans="1:11" s="11" customFormat="1">
      <c r="A81" s="643"/>
      <c r="B81" s="646"/>
      <c r="C81" s="658"/>
      <c r="D81" s="821"/>
      <c r="E81" s="967"/>
      <c r="F81" s="827"/>
      <c r="G81" s="71" t="s">
        <v>87</v>
      </c>
      <c r="H81" s="607">
        <f>172324</f>
        <v>172324</v>
      </c>
      <c r="I81" s="556">
        <f>172324</f>
        <v>172324</v>
      </c>
      <c r="J81" s="629">
        <f>I81-H81</f>
        <v>0</v>
      </c>
      <c r="K81" s="677"/>
    </row>
    <row r="82" spans="1:11" s="11" customFormat="1" ht="13.5" thickBot="1">
      <c r="A82" s="644"/>
      <c r="B82" s="647"/>
      <c r="C82" s="657"/>
      <c r="D82" s="822"/>
      <c r="E82" s="968"/>
      <c r="F82" s="828"/>
      <c r="G82" s="142" t="s">
        <v>12</v>
      </c>
      <c r="H82" s="398">
        <f>H81+H80</f>
        <v>192593</v>
      </c>
      <c r="I82" s="398">
        <f>I81+I80</f>
        <v>176568</v>
      </c>
      <c r="J82" s="630">
        <f t="shared" ref="J82" si="12">J81+J80</f>
        <v>-16025</v>
      </c>
      <c r="K82" s="677"/>
    </row>
    <row r="83" spans="1:11" s="11" customFormat="1" ht="17.25" customHeight="1">
      <c r="A83" s="642" t="s">
        <v>5</v>
      </c>
      <c r="B83" s="645" t="s">
        <v>6</v>
      </c>
      <c r="C83" s="656" t="s">
        <v>7</v>
      </c>
      <c r="D83" s="820" t="s">
        <v>114</v>
      </c>
      <c r="E83" s="966" t="s">
        <v>84</v>
      </c>
      <c r="F83" s="826" t="s">
        <v>42</v>
      </c>
      <c r="G83" s="62" t="s">
        <v>86</v>
      </c>
      <c r="H83" s="394">
        <f>2.1/3.4528*1000</f>
        <v>608</v>
      </c>
      <c r="I83" s="557">
        <f>2.1/3.4528*1000</f>
        <v>608</v>
      </c>
      <c r="J83" s="558"/>
      <c r="K83" s="677"/>
    </row>
    <row r="84" spans="1:11" s="11" customFormat="1">
      <c r="A84" s="643"/>
      <c r="B84" s="646"/>
      <c r="C84" s="658"/>
      <c r="D84" s="821"/>
      <c r="E84" s="967"/>
      <c r="F84" s="827"/>
      <c r="G84" s="71" t="s">
        <v>11</v>
      </c>
      <c r="H84" s="396">
        <f>12/3.4528*1000</f>
        <v>3475</v>
      </c>
      <c r="I84" s="379">
        <f>12/3.4528*1000</f>
        <v>3475</v>
      </c>
      <c r="J84" s="559"/>
      <c r="K84" s="677"/>
    </row>
    <row r="85" spans="1:11" s="11" customFormat="1" ht="13.5" thickBot="1">
      <c r="A85" s="644"/>
      <c r="B85" s="647"/>
      <c r="C85" s="657"/>
      <c r="D85" s="822"/>
      <c r="E85" s="968"/>
      <c r="F85" s="828"/>
      <c r="G85" s="96" t="s">
        <v>12</v>
      </c>
      <c r="H85" s="398">
        <f>H84+H83</f>
        <v>4083</v>
      </c>
      <c r="I85" s="398">
        <f>I84+I83</f>
        <v>4083</v>
      </c>
      <c r="J85" s="392">
        <f t="shared" ref="J85" si="13">SUM(J83)</f>
        <v>0</v>
      </c>
      <c r="K85" s="677"/>
    </row>
    <row r="86" spans="1:11" s="2" customFormat="1" ht="24" customHeight="1">
      <c r="A86" s="744" t="s">
        <v>5</v>
      </c>
      <c r="B86" s="969" t="s">
        <v>6</v>
      </c>
      <c r="C86" s="750" t="s">
        <v>8</v>
      </c>
      <c r="D86" s="732" t="s">
        <v>23</v>
      </c>
      <c r="E86" s="817" t="s">
        <v>95</v>
      </c>
      <c r="F86" s="710" t="s">
        <v>42</v>
      </c>
      <c r="G86" s="10" t="s">
        <v>9</v>
      </c>
      <c r="H86" s="394">
        <f>117.3/3.4528*1000</f>
        <v>33972</v>
      </c>
      <c r="I86" s="557">
        <f>33972+68039</f>
        <v>102011</v>
      </c>
      <c r="J86" s="632">
        <f>I86-H86</f>
        <v>68039</v>
      </c>
      <c r="K86" s="677"/>
    </row>
    <row r="87" spans="1:11" s="2" customFormat="1" ht="23.25" customHeight="1">
      <c r="A87" s="745"/>
      <c r="B87" s="970"/>
      <c r="C87" s="751"/>
      <c r="D87" s="816"/>
      <c r="E87" s="818"/>
      <c r="F87" s="721"/>
      <c r="G87" s="13" t="s">
        <v>11</v>
      </c>
      <c r="H87" s="396">
        <f>665.1/3.4528*1000</f>
        <v>192626</v>
      </c>
      <c r="I87" s="379">
        <f>665.1/3.4528*1000</f>
        <v>192626</v>
      </c>
      <c r="J87" s="631"/>
      <c r="K87" s="677"/>
    </row>
    <row r="88" spans="1:11" s="2" customFormat="1" ht="20.25" customHeight="1" thickBot="1">
      <c r="A88" s="746"/>
      <c r="B88" s="971"/>
      <c r="C88" s="752"/>
      <c r="D88" s="734"/>
      <c r="E88" s="819"/>
      <c r="F88" s="712"/>
      <c r="G88" s="143" t="s">
        <v>12</v>
      </c>
      <c r="H88" s="365">
        <f>SUM(H86:H87)</f>
        <v>226598</v>
      </c>
      <c r="I88" s="365">
        <f>SUM(I86:I87)</f>
        <v>294637</v>
      </c>
      <c r="J88" s="633">
        <f>SUM(J86:J87)</f>
        <v>68039</v>
      </c>
      <c r="K88" s="677"/>
    </row>
    <row r="89" spans="1:11" s="2" customFormat="1" ht="13.5" thickBot="1">
      <c r="A89" s="135" t="s">
        <v>5</v>
      </c>
      <c r="B89" s="21" t="s">
        <v>6</v>
      </c>
      <c r="C89" s="737" t="s">
        <v>13</v>
      </c>
      <c r="D89" s="738"/>
      <c r="E89" s="738"/>
      <c r="F89" s="738"/>
      <c r="G89" s="739"/>
      <c r="H89" s="447">
        <f t="shared" ref="H89:J89" si="14">H88+H79+H82+H85</f>
        <v>836596</v>
      </c>
      <c r="I89" s="447">
        <f t="shared" si="14"/>
        <v>893446</v>
      </c>
      <c r="J89" s="676">
        <f t="shared" si="14"/>
        <v>56850</v>
      </c>
      <c r="K89" s="677"/>
    </row>
    <row r="90" spans="1:11" s="2" customFormat="1" ht="13.5" thickBot="1">
      <c r="A90" s="642" t="s">
        <v>5</v>
      </c>
      <c r="B90" s="72" t="s">
        <v>7</v>
      </c>
      <c r="C90" s="740" t="s">
        <v>33</v>
      </c>
      <c r="D90" s="741"/>
      <c r="E90" s="741"/>
      <c r="F90" s="741"/>
      <c r="G90" s="741"/>
      <c r="H90" s="741"/>
      <c r="I90" s="741"/>
      <c r="J90" s="743"/>
      <c r="K90" s="677"/>
    </row>
    <row r="91" spans="1:11" s="11" customFormat="1" ht="21" customHeight="1">
      <c r="A91" s="695" t="s">
        <v>5</v>
      </c>
      <c r="B91" s="698" t="s">
        <v>7</v>
      </c>
      <c r="C91" s="701" t="s">
        <v>5</v>
      </c>
      <c r="D91" s="732" t="s">
        <v>52</v>
      </c>
      <c r="E91" s="707" t="s">
        <v>83</v>
      </c>
      <c r="F91" s="710" t="s">
        <v>42</v>
      </c>
      <c r="G91" s="10" t="s">
        <v>9</v>
      </c>
      <c r="H91" s="403">
        <f>16.5/3.4528*1000</f>
        <v>4779</v>
      </c>
      <c r="I91" s="442">
        <f>16.5/3.4528*1000</f>
        <v>4779</v>
      </c>
      <c r="J91" s="507"/>
      <c r="K91" s="677"/>
    </row>
    <row r="92" spans="1:11" s="11" customFormat="1" ht="18" customHeight="1">
      <c r="A92" s="696"/>
      <c r="B92" s="699"/>
      <c r="C92" s="702"/>
      <c r="D92" s="733"/>
      <c r="E92" s="708"/>
      <c r="F92" s="711"/>
      <c r="G92" s="19" t="s">
        <v>11</v>
      </c>
      <c r="H92" s="406">
        <f>93.1/3.4528*1000</f>
        <v>26964</v>
      </c>
      <c r="I92" s="443">
        <f>93.1/3.4528*1000</f>
        <v>26964</v>
      </c>
      <c r="J92" s="508"/>
      <c r="K92" s="677"/>
    </row>
    <row r="93" spans="1:11" s="11" customFormat="1" ht="15" customHeight="1" thickBot="1">
      <c r="A93" s="697"/>
      <c r="B93" s="700"/>
      <c r="C93" s="703"/>
      <c r="D93" s="734"/>
      <c r="E93" s="709"/>
      <c r="F93" s="712"/>
      <c r="G93" s="250" t="s">
        <v>12</v>
      </c>
      <c r="H93" s="450">
        <f>H92+H91</f>
        <v>31743</v>
      </c>
      <c r="I93" s="450">
        <f>I92+I91</f>
        <v>31743</v>
      </c>
      <c r="J93" s="450">
        <f t="shared" ref="J93" si="15">J92+J91</f>
        <v>0</v>
      </c>
      <c r="K93" s="677"/>
    </row>
    <row r="94" spans="1:11" s="2" customFormat="1" ht="31.5" customHeight="1">
      <c r="A94" s="696" t="s">
        <v>5</v>
      </c>
      <c r="B94" s="699" t="s">
        <v>7</v>
      </c>
      <c r="C94" s="702" t="s">
        <v>6</v>
      </c>
      <c r="D94" s="963" t="s">
        <v>224</v>
      </c>
      <c r="E94" s="718"/>
      <c r="F94" s="721" t="s">
        <v>42</v>
      </c>
      <c r="G94" s="44" t="s">
        <v>9</v>
      </c>
      <c r="H94" s="609"/>
      <c r="I94" s="613">
        <v>3395</v>
      </c>
      <c r="J94" s="625">
        <f>I94-H94</f>
        <v>3395</v>
      </c>
      <c r="K94" s="626">
        <v>563</v>
      </c>
    </row>
    <row r="95" spans="1:11" s="2" customFormat="1" ht="36.75" customHeight="1">
      <c r="A95" s="696"/>
      <c r="B95" s="699"/>
      <c r="C95" s="702"/>
      <c r="D95" s="964"/>
      <c r="E95" s="719"/>
      <c r="F95" s="722"/>
      <c r="G95" s="19" t="s">
        <v>221</v>
      </c>
      <c r="H95" s="610"/>
      <c r="I95" s="614"/>
      <c r="J95" s="624"/>
      <c r="K95" s="627">
        <v>3190</v>
      </c>
    </row>
    <row r="96" spans="1:11" s="2" customFormat="1" ht="35.25" customHeight="1" thickBot="1">
      <c r="A96" s="697"/>
      <c r="B96" s="700"/>
      <c r="C96" s="703"/>
      <c r="D96" s="965"/>
      <c r="E96" s="720"/>
      <c r="F96" s="712"/>
      <c r="G96" s="92" t="s">
        <v>12</v>
      </c>
      <c r="H96" s="359">
        <f>H94</f>
        <v>0</v>
      </c>
      <c r="I96" s="359">
        <f>I94+I95</f>
        <v>3395</v>
      </c>
      <c r="J96" s="681">
        <f>J94+J95</f>
        <v>3395</v>
      </c>
      <c r="K96" s="359">
        <f>K94+K95</f>
        <v>3753</v>
      </c>
    </row>
    <row r="97" spans="1:11" s="2" customFormat="1" ht="22.5" customHeight="1">
      <c r="A97" s="695" t="s">
        <v>5</v>
      </c>
      <c r="B97" s="698" t="s">
        <v>7</v>
      </c>
      <c r="C97" s="960" t="s">
        <v>7</v>
      </c>
      <c r="D97" s="730" t="s">
        <v>115</v>
      </c>
      <c r="E97" s="731"/>
      <c r="F97" s="710" t="s">
        <v>42</v>
      </c>
      <c r="G97" s="44" t="s">
        <v>11</v>
      </c>
      <c r="H97" s="431">
        <f>3/3.4528*1000</f>
        <v>869</v>
      </c>
      <c r="I97" s="441">
        <f>3/3.4528*1000</f>
        <v>869</v>
      </c>
      <c r="J97" s="354"/>
      <c r="K97" s="691"/>
    </row>
    <row r="98" spans="1:11" s="2" customFormat="1" ht="13.5" customHeight="1" thickBot="1">
      <c r="A98" s="697"/>
      <c r="B98" s="700"/>
      <c r="C98" s="961"/>
      <c r="D98" s="717"/>
      <c r="E98" s="720"/>
      <c r="F98" s="712"/>
      <c r="G98" s="92" t="s">
        <v>12</v>
      </c>
      <c r="H98" s="359">
        <f>H97</f>
        <v>869</v>
      </c>
      <c r="I98" s="359">
        <f>I97</f>
        <v>869</v>
      </c>
      <c r="J98" s="359"/>
      <c r="K98" s="677"/>
    </row>
    <row r="99" spans="1:11" s="2" customFormat="1" ht="16.5" customHeight="1">
      <c r="A99" s="696" t="s">
        <v>5</v>
      </c>
      <c r="B99" s="699" t="s">
        <v>7</v>
      </c>
      <c r="C99" s="960" t="s">
        <v>8</v>
      </c>
      <c r="D99" s="715" t="s">
        <v>214</v>
      </c>
      <c r="E99" s="718"/>
      <c r="F99" s="721" t="s">
        <v>42</v>
      </c>
      <c r="G99" s="19" t="s">
        <v>9</v>
      </c>
      <c r="H99" s="344">
        <v>1146</v>
      </c>
      <c r="I99" s="376">
        <v>1146</v>
      </c>
      <c r="J99" s="361">
        <f>I99-H99</f>
        <v>0</v>
      </c>
      <c r="K99" s="679"/>
    </row>
    <row r="100" spans="1:11" s="2" customFormat="1" ht="11.25" customHeight="1">
      <c r="A100" s="696"/>
      <c r="B100" s="699"/>
      <c r="C100" s="962"/>
      <c r="D100" s="716"/>
      <c r="E100" s="719"/>
      <c r="F100" s="722"/>
      <c r="G100" s="19" t="s">
        <v>9</v>
      </c>
      <c r="H100" s="550">
        <v>3000</v>
      </c>
      <c r="I100" s="606">
        <v>3000</v>
      </c>
      <c r="J100" s="373">
        <f>I100-H100</f>
        <v>0</v>
      </c>
      <c r="K100" s="679"/>
    </row>
    <row r="101" spans="1:11" s="2" customFormat="1" ht="15.75" customHeight="1">
      <c r="A101" s="696"/>
      <c r="B101" s="699"/>
      <c r="C101" s="962"/>
      <c r="D101" s="716"/>
      <c r="E101" s="719"/>
      <c r="F101" s="722"/>
      <c r="G101" s="19" t="s">
        <v>11</v>
      </c>
      <c r="H101" s="550">
        <v>3996</v>
      </c>
      <c r="I101" s="606">
        <v>3996</v>
      </c>
      <c r="J101" s="322">
        <f>I101-H101</f>
        <v>0</v>
      </c>
      <c r="K101" s="614"/>
    </row>
    <row r="102" spans="1:11" s="2" customFormat="1" ht="14.25" customHeight="1" thickBot="1">
      <c r="A102" s="697"/>
      <c r="B102" s="700"/>
      <c r="C102" s="961"/>
      <c r="D102" s="717"/>
      <c r="E102" s="720"/>
      <c r="F102" s="712"/>
      <c r="G102" s="92" t="s">
        <v>12</v>
      </c>
      <c r="H102" s="359">
        <f>SUM(H99:H101)</f>
        <v>8142</v>
      </c>
      <c r="I102" s="359">
        <f>SUM(I99:I101)</f>
        <v>8142</v>
      </c>
      <c r="J102" s="359">
        <f>SUM(J99:J101)</f>
        <v>0</v>
      </c>
      <c r="K102" s="692"/>
    </row>
    <row r="103" spans="1:11" s="2" customFormat="1" ht="13.5" thickBot="1">
      <c r="A103" s="662" t="s">
        <v>5</v>
      </c>
      <c r="B103" s="664" t="s">
        <v>7</v>
      </c>
      <c r="C103" s="833" t="s">
        <v>13</v>
      </c>
      <c r="D103" s="739"/>
      <c r="E103" s="739"/>
      <c r="F103" s="739"/>
      <c r="G103" s="739"/>
      <c r="H103" s="689">
        <f>H98+H93+H102+H96</f>
        <v>40754</v>
      </c>
      <c r="I103" s="689">
        <f t="shared" ref="I103:J103" si="16">I98+I93+I102+I96</f>
        <v>44149</v>
      </c>
      <c r="J103" s="690">
        <f t="shared" si="16"/>
        <v>3395</v>
      </c>
      <c r="K103" s="677"/>
    </row>
    <row r="104" spans="1:11" s="2" customFormat="1" ht="15" customHeight="1" thickBot="1">
      <c r="A104" s="135" t="s">
        <v>5</v>
      </c>
      <c r="B104" s="21" t="s">
        <v>8</v>
      </c>
      <c r="C104" s="740" t="s">
        <v>53</v>
      </c>
      <c r="D104" s="741"/>
      <c r="E104" s="741"/>
      <c r="F104" s="741"/>
      <c r="G104" s="741"/>
      <c r="H104" s="741"/>
      <c r="I104" s="741"/>
      <c r="J104" s="743"/>
      <c r="K104" s="677"/>
    </row>
    <row r="105" spans="1:11" s="2" customFormat="1" ht="38.25">
      <c r="A105" s="642" t="s">
        <v>5</v>
      </c>
      <c r="B105" s="645" t="s">
        <v>8</v>
      </c>
      <c r="C105" s="653" t="s">
        <v>5</v>
      </c>
      <c r="D105" s="140" t="s">
        <v>96</v>
      </c>
      <c r="E105" s="180"/>
      <c r="F105" s="182" t="s">
        <v>42</v>
      </c>
      <c r="G105" s="44" t="s">
        <v>9</v>
      </c>
      <c r="H105" s="467">
        <f>1454.2/3.4528*1000</f>
        <v>421165</v>
      </c>
      <c r="I105" s="477">
        <f>1454.2/3.4528*1000</f>
        <v>421165</v>
      </c>
      <c r="J105" s="505">
        <f>I105-H105</f>
        <v>0</v>
      </c>
      <c r="K105" s="677"/>
    </row>
    <row r="106" spans="1:11" s="2" customFormat="1" ht="25.5">
      <c r="A106" s="643"/>
      <c r="B106" s="646"/>
      <c r="C106" s="655"/>
      <c r="D106" s="654" t="s">
        <v>129</v>
      </c>
      <c r="E106" s="181"/>
      <c r="F106" s="183"/>
      <c r="G106" s="164"/>
      <c r="H106" s="439"/>
      <c r="I106" s="436"/>
      <c r="J106" s="347"/>
      <c r="K106" s="677"/>
    </row>
    <row r="107" spans="1:11" s="2" customFormat="1">
      <c r="A107" s="643"/>
      <c r="B107" s="646"/>
      <c r="C107" s="655"/>
      <c r="D107" s="654" t="s">
        <v>145</v>
      </c>
      <c r="E107" s="181"/>
      <c r="F107" s="183"/>
      <c r="G107" s="164"/>
      <c r="H107" s="439"/>
      <c r="I107" s="436"/>
      <c r="J107" s="347"/>
      <c r="K107" s="677"/>
    </row>
    <row r="108" spans="1:11" s="2" customFormat="1">
      <c r="A108" s="643"/>
      <c r="B108" s="646"/>
      <c r="C108" s="655"/>
      <c r="D108" s="651" t="s">
        <v>130</v>
      </c>
      <c r="E108" s="181"/>
      <c r="F108" s="183"/>
      <c r="G108" s="164"/>
      <c r="H108" s="439"/>
      <c r="I108" s="436"/>
      <c r="J108" s="347"/>
      <c r="K108" s="677"/>
    </row>
    <row r="109" spans="1:11" s="2" customFormat="1">
      <c r="A109" s="643"/>
      <c r="B109" s="646"/>
      <c r="C109" s="655"/>
      <c r="D109" s="759" t="s">
        <v>218</v>
      </c>
      <c r="E109" s="181"/>
      <c r="F109" s="183"/>
      <c r="G109" s="164"/>
      <c r="H109" s="413"/>
      <c r="I109" s="324"/>
      <c r="J109" s="347"/>
      <c r="K109" s="677"/>
    </row>
    <row r="110" spans="1:11" s="2" customFormat="1">
      <c r="A110" s="643"/>
      <c r="B110" s="646"/>
      <c r="C110" s="655"/>
      <c r="D110" s="957"/>
      <c r="E110" s="181"/>
      <c r="F110" s="183"/>
      <c r="G110" s="164"/>
      <c r="H110" s="413"/>
      <c r="I110" s="324"/>
      <c r="J110" s="347"/>
      <c r="K110" s="677"/>
    </row>
    <row r="111" spans="1:11" s="2" customFormat="1" ht="37.5" customHeight="1">
      <c r="A111" s="643"/>
      <c r="B111" s="646"/>
      <c r="C111" s="655"/>
      <c r="D111" s="958"/>
      <c r="E111" s="181"/>
      <c r="F111" s="183"/>
      <c r="G111" s="164"/>
      <c r="H111" s="413"/>
      <c r="I111" s="324"/>
      <c r="J111" s="347"/>
      <c r="K111" s="677"/>
    </row>
    <row r="112" spans="1:11" s="2" customFormat="1" ht="38.25">
      <c r="A112" s="643"/>
      <c r="B112" s="646"/>
      <c r="C112" s="655"/>
      <c r="D112" s="652" t="s">
        <v>193</v>
      </c>
      <c r="E112" s="181"/>
      <c r="F112" s="183"/>
      <c r="G112" s="164"/>
      <c r="H112" s="439"/>
      <c r="I112" s="436"/>
      <c r="J112" s="347"/>
      <c r="K112" s="677"/>
    </row>
    <row r="113" spans="1:11" s="2" customFormat="1" ht="19.5" customHeight="1">
      <c r="A113" s="643"/>
      <c r="B113" s="646"/>
      <c r="C113" s="655"/>
      <c r="D113" s="772" t="s">
        <v>116</v>
      </c>
      <c r="E113" s="181"/>
      <c r="F113" s="183"/>
      <c r="G113" s="12"/>
      <c r="H113" s="414"/>
      <c r="I113" s="444"/>
      <c r="J113" s="506"/>
      <c r="K113" s="677"/>
    </row>
    <row r="114" spans="1:11" s="2" customFormat="1" ht="15.75" customHeight="1" thickBot="1">
      <c r="A114" s="134"/>
      <c r="B114" s="88"/>
      <c r="C114" s="238"/>
      <c r="D114" s="959"/>
      <c r="E114" s="252"/>
      <c r="F114" s="253"/>
      <c r="G114" s="92" t="s">
        <v>12</v>
      </c>
      <c r="H114" s="356">
        <f t="shared" ref="H114:J114" si="17">H105</f>
        <v>421165</v>
      </c>
      <c r="I114" s="350">
        <f t="shared" si="17"/>
        <v>421165</v>
      </c>
      <c r="J114" s="509">
        <f t="shared" si="17"/>
        <v>0</v>
      </c>
      <c r="K114" s="677"/>
    </row>
    <row r="115" spans="1:11" s="2" customFormat="1" ht="19.5" customHeight="1">
      <c r="A115" s="696" t="s">
        <v>5</v>
      </c>
      <c r="B115" s="699" t="s">
        <v>8</v>
      </c>
      <c r="C115" s="702" t="s">
        <v>6</v>
      </c>
      <c r="D115" s="762" t="s">
        <v>85</v>
      </c>
      <c r="E115" s="765" t="s">
        <v>59</v>
      </c>
      <c r="F115" s="722" t="s">
        <v>43</v>
      </c>
      <c r="G115" s="56" t="s">
        <v>9</v>
      </c>
      <c r="H115" s="431">
        <v>41693</v>
      </c>
      <c r="I115" s="441">
        <v>41693</v>
      </c>
      <c r="J115" s="506"/>
      <c r="K115" s="677"/>
    </row>
    <row r="116" spans="1:11" s="2" customFormat="1" ht="22.5" customHeight="1">
      <c r="A116" s="696"/>
      <c r="B116" s="699"/>
      <c r="C116" s="702"/>
      <c r="D116" s="763"/>
      <c r="E116" s="765"/>
      <c r="F116" s="722"/>
      <c r="G116" s="56" t="s">
        <v>86</v>
      </c>
      <c r="H116" s="375">
        <v>0</v>
      </c>
      <c r="I116" s="326">
        <v>0</v>
      </c>
      <c r="J116" s="506"/>
      <c r="K116" s="677"/>
    </row>
    <row r="117" spans="1:11" s="2" customFormat="1" ht="14.25" customHeight="1" thickBot="1">
      <c r="A117" s="697"/>
      <c r="B117" s="700"/>
      <c r="C117" s="703"/>
      <c r="D117" s="764"/>
      <c r="E117" s="766"/>
      <c r="F117" s="767"/>
      <c r="G117" s="92" t="s">
        <v>12</v>
      </c>
      <c r="H117" s="365">
        <f t="shared" ref="H117:I117" si="18">H116+H115</f>
        <v>41693</v>
      </c>
      <c r="I117" s="359">
        <f t="shared" si="18"/>
        <v>41693</v>
      </c>
      <c r="J117" s="359"/>
      <c r="K117" s="677"/>
    </row>
    <row r="118" spans="1:11" s="2" customFormat="1" ht="13.5" thickBot="1">
      <c r="A118" s="135" t="s">
        <v>5</v>
      </c>
      <c r="B118" s="9" t="s">
        <v>8</v>
      </c>
      <c r="C118" s="737" t="s">
        <v>13</v>
      </c>
      <c r="D118" s="738"/>
      <c r="E118" s="738"/>
      <c r="F118" s="738"/>
      <c r="G118" s="738"/>
      <c r="H118" s="416">
        <f>H117+H114</f>
        <v>462858</v>
      </c>
      <c r="I118" s="411">
        <f>I117+I114</f>
        <v>462858</v>
      </c>
      <c r="J118" s="621"/>
      <c r="K118" s="677"/>
    </row>
    <row r="119" spans="1:11" s="11" customFormat="1" ht="13.5" thickBot="1">
      <c r="A119" s="135" t="s">
        <v>5</v>
      </c>
      <c r="B119" s="788" t="s">
        <v>15</v>
      </c>
      <c r="C119" s="789"/>
      <c r="D119" s="789"/>
      <c r="E119" s="789"/>
      <c r="F119" s="789"/>
      <c r="G119" s="790"/>
      <c r="H119" s="417">
        <f>H118+H103+H71+H89</f>
        <v>18274616</v>
      </c>
      <c r="I119" s="418">
        <f>I118+I103+I71+I89</f>
        <v>18237085</v>
      </c>
      <c r="J119" s="622">
        <f>J118+J103+J71+J89</f>
        <v>-37531</v>
      </c>
      <c r="K119" s="677"/>
    </row>
    <row r="120" spans="1:11" s="11" customFormat="1" ht="13.5" thickBot="1">
      <c r="A120" s="49" t="s">
        <v>7</v>
      </c>
      <c r="B120" s="794" t="s">
        <v>14</v>
      </c>
      <c r="C120" s="794"/>
      <c r="D120" s="794"/>
      <c r="E120" s="794"/>
      <c r="F120" s="794"/>
      <c r="G120" s="795"/>
      <c r="H120" s="420">
        <f>H119</f>
        <v>18274616</v>
      </c>
      <c r="I120" s="445">
        <f>I119</f>
        <v>18237085</v>
      </c>
      <c r="J120" s="623">
        <f t="shared" ref="J120" si="19">J119</f>
        <v>-37531</v>
      </c>
      <c r="K120" s="680"/>
    </row>
    <row r="121" spans="1:11" s="55" customFormat="1">
      <c r="A121" s="805"/>
      <c r="B121" s="805"/>
      <c r="C121" s="805"/>
      <c r="D121" s="805"/>
      <c r="E121" s="805"/>
      <c r="F121" s="805"/>
      <c r="G121" s="805"/>
      <c r="H121" s="805"/>
      <c r="I121" s="805"/>
      <c r="J121" s="805"/>
    </row>
    <row r="122" spans="1:11" s="11" customFormat="1">
      <c r="A122" s="23"/>
      <c r="B122" s="7"/>
      <c r="C122" s="806" t="s">
        <v>18</v>
      </c>
      <c r="D122" s="806"/>
      <c r="E122" s="806"/>
      <c r="F122" s="806"/>
      <c r="G122" s="806"/>
      <c r="H122" s="806"/>
      <c r="I122" s="806"/>
      <c r="J122" s="806"/>
    </row>
    <row r="123" spans="1:11" s="11" customFormat="1" ht="13.5" thickBot="1">
      <c r="A123" s="23"/>
      <c r="B123" s="22"/>
      <c r="C123" s="22"/>
      <c r="D123" s="22"/>
      <c r="E123" s="27"/>
      <c r="F123" s="43"/>
      <c r="J123" s="14"/>
    </row>
    <row r="124" spans="1:11" s="11" customFormat="1" ht="57" customHeight="1" thickBot="1">
      <c r="A124" s="2"/>
      <c r="B124" s="2"/>
      <c r="C124" s="807" t="s">
        <v>16</v>
      </c>
      <c r="D124" s="808"/>
      <c r="E124" s="808"/>
      <c r="F124" s="808"/>
      <c r="G124" s="809"/>
      <c r="H124" s="32" t="s">
        <v>119</v>
      </c>
      <c r="I124" s="32" t="s">
        <v>196</v>
      </c>
      <c r="J124" s="32" t="s">
        <v>197</v>
      </c>
    </row>
    <row r="125" spans="1:11" s="11" customFormat="1">
      <c r="A125" s="2"/>
      <c r="B125" s="2"/>
      <c r="C125" s="799" t="s">
        <v>19</v>
      </c>
      <c r="D125" s="800"/>
      <c r="E125" s="800"/>
      <c r="F125" s="800"/>
      <c r="G125" s="801"/>
      <c r="H125" s="422">
        <f ca="1">H126+H136+H135+H134</f>
        <v>18046078</v>
      </c>
      <c r="I125" s="422">
        <f t="shared" ref="I125" ca="1" si="20">I126+I136+I135+I134</f>
        <v>18008547</v>
      </c>
      <c r="J125" s="538">
        <f>J126+J136+J135+J134</f>
        <v>-37531</v>
      </c>
    </row>
    <row r="126" spans="1:11" s="11" customFormat="1">
      <c r="A126" s="2"/>
      <c r="B126" s="2"/>
      <c r="C126" s="802" t="s">
        <v>25</v>
      </c>
      <c r="D126" s="803"/>
      <c r="E126" s="803"/>
      <c r="F126" s="803"/>
      <c r="G126" s="804"/>
      <c r="H126" s="423">
        <f ca="1">H127+H128+H129+H130+H131+H132+H133</f>
        <v>18038824</v>
      </c>
      <c r="I126" s="423">
        <f ca="1">I127+I128+I129+I130+I131+I132+I133</f>
        <v>18001293</v>
      </c>
      <c r="J126" s="539">
        <f>J127+J128+J129+J130+J131+J132+J133</f>
        <v>-37531</v>
      </c>
    </row>
    <row r="127" spans="1:11" s="11" customFormat="1">
      <c r="A127" s="2"/>
      <c r="B127" s="2"/>
      <c r="C127" s="779" t="s">
        <v>45</v>
      </c>
      <c r="D127" s="780"/>
      <c r="E127" s="780"/>
      <c r="F127" s="780"/>
      <c r="G127" s="781"/>
      <c r="H127" s="425">
        <f>SUMIF(G13:G120,"sb",H13:H120)</f>
        <v>11978544</v>
      </c>
      <c r="I127" s="425">
        <f>SUMIF(G13:G120,"sb",I13:I120)</f>
        <v>11937519</v>
      </c>
      <c r="J127" s="540">
        <f>I127-H127</f>
        <v>-41025</v>
      </c>
    </row>
    <row r="128" spans="1:11" s="11" customFormat="1" ht="13.5" customHeight="1">
      <c r="A128" s="2"/>
      <c r="B128" s="2"/>
      <c r="C128" s="813" t="s">
        <v>93</v>
      </c>
      <c r="D128" s="814"/>
      <c r="E128" s="814"/>
      <c r="F128" s="814"/>
      <c r="G128" s="815"/>
      <c r="H128" s="425">
        <f>SUMIF(G13:G120,"sb(VR)",H13:H120)</f>
        <v>25685</v>
      </c>
      <c r="I128" s="425">
        <f>SUMIF(G13:G120,"sb(VR)",I13:I120)</f>
        <v>25685</v>
      </c>
      <c r="J128" s="540">
        <f>I128-H128</f>
        <v>0</v>
      </c>
    </row>
    <row r="129" spans="1:10" s="11" customFormat="1" ht="23.25" customHeight="1">
      <c r="A129" s="2"/>
      <c r="B129" s="2"/>
      <c r="C129" s="753" t="s">
        <v>38</v>
      </c>
      <c r="D129" s="754"/>
      <c r="E129" s="754"/>
      <c r="F129" s="754"/>
      <c r="G129" s="755"/>
      <c r="H129" s="425">
        <f>SUMIF(G14:G120,"sb(Vb)",H14:H120)</f>
        <v>1055268</v>
      </c>
      <c r="I129" s="425">
        <f>SUMIF(G14:G120,"sb(Vb)",I14:I120)</f>
        <v>1057644</v>
      </c>
      <c r="J129" s="540">
        <f>SUMIF(G14:G120,"sb(Vb)",J14:J120)</f>
        <v>2376</v>
      </c>
    </row>
    <row r="130" spans="1:10" s="11" customFormat="1">
      <c r="A130" s="2"/>
      <c r="B130" s="2"/>
      <c r="C130" s="753" t="s">
        <v>88</v>
      </c>
      <c r="D130" s="754"/>
      <c r="E130" s="754"/>
      <c r="F130" s="754"/>
      <c r="G130" s="755"/>
      <c r="H130" s="425">
        <f ca="1">SUMIF(G13:G120,"sb(P)",H13:H118)</f>
        <v>172324</v>
      </c>
      <c r="I130" s="425">
        <f ca="1">SUMIF(G13:G120,"sb(P)",I13:I118)</f>
        <v>172324</v>
      </c>
      <c r="J130" s="540"/>
    </row>
    <row r="131" spans="1:10" s="2" customFormat="1">
      <c r="C131" s="727" t="s">
        <v>49</v>
      </c>
      <c r="D131" s="728"/>
      <c r="E131" s="728"/>
      <c r="F131" s="728"/>
      <c r="G131" s="729"/>
      <c r="H131" s="425">
        <f>SUMIF(G13:G120,"SB(SP)",H13:H120)</f>
        <v>3360</v>
      </c>
      <c r="I131" s="425">
        <f>SUMIF(G13:G120,"SB(SP)",I13:I120)</f>
        <v>4478</v>
      </c>
      <c r="J131" s="540">
        <f>SUMIF(G13:G120,"SB(SP)",J13:J120)</f>
        <v>1118</v>
      </c>
    </row>
    <row r="132" spans="1:10" s="2" customFormat="1">
      <c r="C132" s="810" t="s">
        <v>206</v>
      </c>
      <c r="D132" s="811"/>
      <c r="E132" s="811"/>
      <c r="F132" s="811"/>
      <c r="G132" s="812"/>
      <c r="H132" s="510">
        <f>SUMIF(G13:G120,"sb(L)",H13:H120)</f>
        <v>4792058</v>
      </c>
      <c r="I132" s="510">
        <f>SUMIF(G13:G120,"sb(L)",I13:I120)</f>
        <v>4792058</v>
      </c>
      <c r="J132" s="541">
        <f>SUMIF(G13:G120,"sb(L)",J13:J120)</f>
        <v>0</v>
      </c>
    </row>
    <row r="133" spans="1:10" s="2" customFormat="1">
      <c r="C133" s="753" t="s">
        <v>35</v>
      </c>
      <c r="D133" s="754"/>
      <c r="E133" s="754"/>
      <c r="F133" s="754"/>
      <c r="G133" s="755"/>
      <c r="H133" s="425">
        <f>SUMIF(G6:G112,"SB(kpp)",H6:H112)</f>
        <v>11585</v>
      </c>
      <c r="I133" s="425">
        <f>SUMIF(G6:G112,"SB(kpp)",I6:I112)</f>
        <v>11585</v>
      </c>
      <c r="J133" s="540"/>
    </row>
    <row r="134" spans="1:10" s="2" customFormat="1">
      <c r="C134" s="782" t="s">
        <v>209</v>
      </c>
      <c r="D134" s="783"/>
      <c r="E134" s="783"/>
      <c r="F134" s="783"/>
      <c r="G134" s="784"/>
      <c r="H134" s="423">
        <f>SUMIF(G14:G121,"sb(SPL)",H14:H121)</f>
        <v>3181</v>
      </c>
      <c r="I134" s="423">
        <f>SUMIF(G14:G121,"sb(spl)",I14:I121)</f>
        <v>3181</v>
      </c>
      <c r="J134" s="539">
        <f>SUMIF(G14:G121,"sb(spL)",J14:J121)</f>
        <v>0</v>
      </c>
    </row>
    <row r="135" spans="1:10" s="2" customFormat="1">
      <c r="C135" s="782" t="s">
        <v>208</v>
      </c>
      <c r="D135" s="783"/>
      <c r="E135" s="783"/>
      <c r="F135" s="783"/>
      <c r="G135" s="784"/>
      <c r="H135" s="423">
        <f>SUMIF(G14:G121,"sb(VRL)",H14:H121)</f>
        <v>18</v>
      </c>
      <c r="I135" s="423">
        <f>SUMIF(G14:G121,"sb(VRL)",I14:I121)</f>
        <v>18</v>
      </c>
      <c r="J135" s="539">
        <f>SUMIF(G14:G121,"sb(VRL)",J14:J121)</f>
        <v>0</v>
      </c>
    </row>
    <row r="136" spans="1:10" s="2" customFormat="1">
      <c r="C136" s="782" t="s">
        <v>103</v>
      </c>
      <c r="D136" s="783"/>
      <c r="E136" s="783"/>
      <c r="F136" s="783"/>
      <c r="G136" s="784"/>
      <c r="H136" s="423">
        <f>SUMIF(G14:G120,"pf",H14:H120)</f>
        <v>4055</v>
      </c>
      <c r="I136" s="423">
        <f>SUMIF(G14:G120,"pf",I14:I120)</f>
        <v>4055</v>
      </c>
      <c r="J136" s="539"/>
    </row>
    <row r="137" spans="1:10" s="2" customFormat="1">
      <c r="C137" s="785" t="s">
        <v>20</v>
      </c>
      <c r="D137" s="786"/>
      <c r="E137" s="786"/>
      <c r="F137" s="786"/>
      <c r="G137" s="787"/>
      <c r="H137" s="427">
        <f t="shared" ref="H137:J137" si="21">SUM(H138:H140)</f>
        <v>228538</v>
      </c>
      <c r="I137" s="427">
        <f t="shared" si="21"/>
        <v>228538</v>
      </c>
      <c r="J137" s="542">
        <f t="shared" si="21"/>
        <v>0</v>
      </c>
    </row>
    <row r="138" spans="1:10" s="2" customFormat="1">
      <c r="C138" s="777" t="s">
        <v>46</v>
      </c>
      <c r="D138" s="778"/>
      <c r="E138" s="778"/>
      <c r="F138" s="778"/>
      <c r="G138" s="778"/>
      <c r="H138" s="425">
        <f>SUMIF(G13:G120,"es",H13:H120)</f>
        <v>227930</v>
      </c>
      <c r="I138" s="425">
        <f>SUMIF(G13:G120,"es",I13:I120)</f>
        <v>227930</v>
      </c>
      <c r="J138" s="426">
        <f>SUMIF(G13:G120,"es",J13:J120)</f>
        <v>0</v>
      </c>
    </row>
    <row r="139" spans="1:10" s="2" customFormat="1">
      <c r="C139" s="779" t="s">
        <v>47</v>
      </c>
      <c r="D139" s="780"/>
      <c r="E139" s="780"/>
      <c r="F139" s="780"/>
      <c r="G139" s="781"/>
      <c r="H139" s="425">
        <f>SUMIF(G13:G120,"lrvb",H13:H120)</f>
        <v>608</v>
      </c>
      <c r="I139" s="425">
        <f>SUMIF(G13:G120,"lrvb",I13:I120)</f>
        <v>608</v>
      </c>
      <c r="J139" s="540"/>
    </row>
    <row r="140" spans="1:10" s="2" customFormat="1">
      <c r="C140" s="753" t="s">
        <v>148</v>
      </c>
      <c r="D140" s="754"/>
      <c r="E140" s="754"/>
      <c r="F140" s="754"/>
      <c r="G140" s="755"/>
      <c r="H140" s="425">
        <f>SUMIF(G13:G120,"kt",H13:H120)</f>
        <v>0</v>
      </c>
      <c r="I140" s="425">
        <f>SUMIF(G13:G120,"kt",I13:I120)</f>
        <v>0</v>
      </c>
      <c r="J140" s="540"/>
    </row>
    <row r="141" spans="1:10" s="2" customFormat="1" ht="13.5" thickBot="1">
      <c r="C141" s="774" t="s">
        <v>21</v>
      </c>
      <c r="D141" s="775"/>
      <c r="E141" s="775"/>
      <c r="F141" s="775"/>
      <c r="G141" s="776"/>
      <c r="H141" s="429">
        <f ca="1">H125+H137</f>
        <v>18274616</v>
      </c>
      <c r="I141" s="429">
        <f ca="1">I125+I137</f>
        <v>18237085</v>
      </c>
      <c r="J141" s="543">
        <f>J137+J125</f>
        <v>-37531</v>
      </c>
    </row>
    <row r="142" spans="1:10" ht="12">
      <c r="C142" s="24"/>
      <c r="D142" s="74"/>
      <c r="E142" s="74"/>
      <c r="F142" s="530"/>
      <c r="G142" s="74"/>
      <c r="H142" s="25"/>
      <c r="I142" s="25"/>
      <c r="J142" s="25"/>
    </row>
    <row r="143" spans="1:10" ht="11.25">
      <c r="D143" s="1"/>
      <c r="E143" s="1"/>
      <c r="F143" s="1"/>
      <c r="H143" s="6"/>
      <c r="I143" s="6"/>
      <c r="J143" s="5"/>
    </row>
    <row r="144" spans="1:10" ht="11.25">
      <c r="D144" s="1"/>
      <c r="E144" s="1"/>
      <c r="F144" s="1"/>
      <c r="G144" s="5"/>
      <c r="H144" s="6"/>
      <c r="I144" s="6"/>
      <c r="J144" s="5"/>
    </row>
    <row r="145" spans="4:9">
      <c r="H145" s="5"/>
      <c r="I145" s="5"/>
    </row>
    <row r="146" spans="4:9">
      <c r="H146" s="5"/>
      <c r="I146" s="5"/>
    </row>
    <row r="147" spans="4:9" ht="11.25">
      <c r="D147" s="1"/>
      <c r="E147" s="1"/>
      <c r="F147" s="1"/>
      <c r="G147" s="4"/>
      <c r="H147" s="3"/>
      <c r="I147" s="3"/>
    </row>
    <row r="148" spans="4:9" ht="11.25">
      <c r="D148" s="1"/>
      <c r="E148" s="1"/>
      <c r="F148" s="1"/>
      <c r="G148" s="5"/>
      <c r="H148" s="6"/>
      <c r="I148" s="6"/>
    </row>
    <row r="149" spans="4:9" ht="11.25">
      <c r="D149" s="1"/>
      <c r="E149" s="1"/>
      <c r="F149" s="1"/>
      <c r="H149" s="6"/>
      <c r="I149" s="6"/>
    </row>
    <row r="150" spans="4:9" ht="11.25">
      <c r="D150" s="1"/>
      <c r="E150" s="1"/>
      <c r="F150" s="1"/>
      <c r="G150" s="5"/>
      <c r="H150" s="6"/>
      <c r="I150" s="6"/>
    </row>
    <row r="152" spans="4:9" ht="11.25">
      <c r="D152" s="1"/>
      <c r="E152" s="1"/>
      <c r="F152" s="1"/>
      <c r="G152" s="4"/>
    </row>
    <row r="153" spans="4:9" ht="11.25">
      <c r="D153" s="1"/>
      <c r="E153" s="1"/>
      <c r="F153" s="1"/>
      <c r="G153" s="5"/>
    </row>
    <row r="155" spans="4:9" ht="11.25">
      <c r="D155" s="1"/>
      <c r="E155" s="1"/>
      <c r="F155" s="1"/>
      <c r="G155" s="5"/>
    </row>
  </sheetData>
  <mergeCells count="161">
    <mergeCell ref="K74:K78"/>
    <mergeCell ref="G1:K1"/>
    <mergeCell ref="C134:G134"/>
    <mergeCell ref="C135:G135"/>
    <mergeCell ref="G6:G8"/>
    <mergeCell ref="H6:H8"/>
    <mergeCell ref="I6:I8"/>
    <mergeCell ref="J6:J8"/>
    <mergeCell ref="A9:J9"/>
    <mergeCell ref="A10:J10"/>
    <mergeCell ref="B11:J11"/>
    <mergeCell ref="C12:J12"/>
    <mergeCell ref="D13:D25"/>
    <mergeCell ref="E13:E25"/>
    <mergeCell ref="F13:F25"/>
    <mergeCell ref="A15:A21"/>
    <mergeCell ref="B15:B21"/>
    <mergeCell ref="C15:C21"/>
    <mergeCell ref="A28:A29"/>
    <mergeCell ref="B28:B29"/>
    <mergeCell ref="C28:C29"/>
    <mergeCell ref="D28:D29"/>
    <mergeCell ref="E28:E29"/>
    <mergeCell ref="F28:F29"/>
    <mergeCell ref="A26:A27"/>
    <mergeCell ref="B26:B27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C26:C27"/>
    <mergeCell ref="D26:D27"/>
    <mergeCell ref="E26:E27"/>
    <mergeCell ref="F26:F27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A42:A43"/>
    <mergeCell ref="B42:B43"/>
    <mergeCell ref="C42:C43"/>
    <mergeCell ref="D42:D43"/>
    <mergeCell ref="E42:E43"/>
    <mergeCell ref="F42:F43"/>
    <mergeCell ref="D37:D38"/>
    <mergeCell ref="E37:E38"/>
    <mergeCell ref="F37:F38"/>
    <mergeCell ref="A39:A41"/>
    <mergeCell ref="B39:B41"/>
    <mergeCell ref="C39:C41"/>
    <mergeCell ref="D39:D41"/>
    <mergeCell ref="E39:E41"/>
    <mergeCell ref="F39:F41"/>
    <mergeCell ref="E62:E64"/>
    <mergeCell ref="F62:F64"/>
    <mergeCell ref="A65:A66"/>
    <mergeCell ref="B65:B66"/>
    <mergeCell ref="C65:C66"/>
    <mergeCell ref="D65:D66"/>
    <mergeCell ref="E65:E66"/>
    <mergeCell ref="F65:F66"/>
    <mergeCell ref="D44:D46"/>
    <mergeCell ref="D47:D49"/>
    <mergeCell ref="D50:D51"/>
    <mergeCell ref="D55:D56"/>
    <mergeCell ref="D58:D59"/>
    <mergeCell ref="C71:G71"/>
    <mergeCell ref="C72:J72"/>
    <mergeCell ref="D75:D76"/>
    <mergeCell ref="D78:D79"/>
    <mergeCell ref="D80:D82"/>
    <mergeCell ref="E80:E82"/>
    <mergeCell ref="F80:F82"/>
    <mergeCell ref="A67:A70"/>
    <mergeCell ref="B67:B70"/>
    <mergeCell ref="C67:C70"/>
    <mergeCell ref="E67:E70"/>
    <mergeCell ref="F67:F70"/>
    <mergeCell ref="D73:D74"/>
    <mergeCell ref="E73:E76"/>
    <mergeCell ref="E77:E78"/>
    <mergeCell ref="F91:F93"/>
    <mergeCell ref="A94:A96"/>
    <mergeCell ref="B94:B96"/>
    <mergeCell ref="C94:C96"/>
    <mergeCell ref="D94:D96"/>
    <mergeCell ref="E94:E96"/>
    <mergeCell ref="F94:F96"/>
    <mergeCell ref="D83:D85"/>
    <mergeCell ref="E83:E85"/>
    <mergeCell ref="F83:F85"/>
    <mergeCell ref="A86:A88"/>
    <mergeCell ref="B86:B88"/>
    <mergeCell ref="C86:C88"/>
    <mergeCell ref="D86:D88"/>
    <mergeCell ref="E86:E88"/>
    <mergeCell ref="F86:F88"/>
    <mergeCell ref="C133:G133"/>
    <mergeCell ref="C141:G141"/>
    <mergeCell ref="C136:G136"/>
    <mergeCell ref="C137:G137"/>
    <mergeCell ref="C138:G138"/>
    <mergeCell ref="C139:G139"/>
    <mergeCell ref="C140:G140"/>
    <mergeCell ref="C127:G127"/>
    <mergeCell ref="C128:G128"/>
    <mergeCell ref="C129:G129"/>
    <mergeCell ref="C130:G130"/>
    <mergeCell ref="C131:G131"/>
    <mergeCell ref="C132:G132"/>
    <mergeCell ref="C125:G125"/>
    <mergeCell ref="C126:G126"/>
    <mergeCell ref="C118:G118"/>
    <mergeCell ref="B119:G119"/>
    <mergeCell ref="B120:G120"/>
    <mergeCell ref="A115:A117"/>
    <mergeCell ref="B115:B117"/>
    <mergeCell ref="C115:C117"/>
    <mergeCell ref="D115:D117"/>
    <mergeCell ref="E115:E117"/>
    <mergeCell ref="F115:F117"/>
    <mergeCell ref="A121:J121"/>
    <mergeCell ref="C122:J122"/>
    <mergeCell ref="C124:G124"/>
    <mergeCell ref="K6:K8"/>
    <mergeCell ref="C103:G103"/>
    <mergeCell ref="C104:J104"/>
    <mergeCell ref="D109:D111"/>
    <mergeCell ref="D113:D114"/>
    <mergeCell ref="A97:A98"/>
    <mergeCell ref="B97:B98"/>
    <mergeCell ref="C97:C98"/>
    <mergeCell ref="D97:D98"/>
    <mergeCell ref="E97:E98"/>
    <mergeCell ref="F97:F98"/>
    <mergeCell ref="A99:A102"/>
    <mergeCell ref="B99:B102"/>
    <mergeCell ref="C99:C102"/>
    <mergeCell ref="D99:D102"/>
    <mergeCell ref="E99:E102"/>
    <mergeCell ref="F99:F102"/>
    <mergeCell ref="C89:G89"/>
    <mergeCell ref="C90:J90"/>
    <mergeCell ref="A91:A93"/>
    <mergeCell ref="B91:B93"/>
    <mergeCell ref="C91:C93"/>
    <mergeCell ref="D91:D93"/>
    <mergeCell ref="E91:E93"/>
  </mergeCells>
  <pageMargins left="0.78740157480314965" right="0.19685039370078741" top="0.78740157480314965" bottom="0.39370078740157483" header="0" footer="0"/>
  <pageSetup paperSize="9" scale="95" orientation="portrait" r:id="rId1"/>
  <rowBreaks count="1" manualBreakCount="1">
    <brk id="66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valdytojų kodai</vt:lpstr>
      <vt:lpstr>3 programa</vt:lpstr>
      <vt:lpstr>Lyginamasis variantas </vt:lpstr>
      <vt:lpstr>'3 programa'!Print_Area</vt:lpstr>
      <vt:lpstr>'Lyginamasis variantas '!Print_Area</vt:lpstr>
      <vt:lpstr>'3 programa'!Print_Titles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2015-10-29T08:44:43Z</cp:lastPrinted>
  <dcterms:created xsi:type="dcterms:W3CDTF">2004-05-19T10:48:48Z</dcterms:created>
  <dcterms:modified xsi:type="dcterms:W3CDTF">2015-11-02T09:24:52Z</dcterms:modified>
</cp:coreProperties>
</file>