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3645" windowWidth="15480" windowHeight="7740"/>
  </bookViews>
  <sheets>
    <sheet name="6 programa" sheetId="7" r:id="rId1"/>
    <sheet name="Lyginamasis variantas " sheetId="12" state="hidden" r:id="rId2"/>
    <sheet name="Asignavimų valdytojų kodai" sheetId="3" state="hidden" r:id="rId3"/>
  </sheets>
  <definedNames>
    <definedName name="_xlnm.Print_Area" localSheetId="0">'6 programa'!$A$1:$N$198</definedName>
    <definedName name="_xlnm.Print_Area" localSheetId="1">'Lyginamasis variantas '!$A$1:$O$197</definedName>
    <definedName name="_xlnm.Print_Titles" localSheetId="0">'6 programa'!$5:$7</definedName>
    <definedName name="_xlnm.Print_Titles" localSheetId="1">'Lyginamasis variantas '!$6:$8</definedName>
  </definedNames>
  <calcPr calcId="145621" fullPrecision="0"/>
</workbook>
</file>

<file path=xl/calcChain.xml><?xml version="1.0" encoding="utf-8"?>
<calcChain xmlns="http://schemas.openxmlformats.org/spreadsheetml/2006/main">
  <c r="H186" i="7" l="1"/>
  <c r="J114" i="12" l="1"/>
  <c r="J149" i="12"/>
  <c r="J145" i="12"/>
  <c r="J174" i="12"/>
  <c r="I30" i="7"/>
  <c r="H27" i="7"/>
  <c r="H26" i="7"/>
  <c r="J26" i="12"/>
  <c r="I26" i="12"/>
  <c r="I100" i="12" l="1"/>
  <c r="H92" i="7"/>
  <c r="H91" i="7"/>
  <c r="J90" i="12"/>
  <c r="I90" i="12"/>
  <c r="I89" i="12"/>
  <c r="H123" i="7"/>
  <c r="J125" i="12"/>
  <c r="J121" i="12"/>
  <c r="I121" i="12"/>
  <c r="H129" i="7"/>
  <c r="H145" i="7"/>
  <c r="I145" i="12"/>
  <c r="I144" i="12"/>
  <c r="J144" i="12" s="1"/>
  <c r="J131" i="12"/>
  <c r="J128" i="12"/>
  <c r="H117" i="7" l="1"/>
  <c r="J120" i="12"/>
  <c r="J115" i="12"/>
  <c r="I115" i="12"/>
  <c r="H39" i="7" l="1"/>
  <c r="J40" i="12" l="1"/>
  <c r="I40" i="12"/>
  <c r="J158" i="12" l="1"/>
  <c r="H168" i="7" l="1"/>
  <c r="H162" i="7"/>
  <c r="H153" i="7"/>
  <c r="H142" i="7"/>
  <c r="H137" i="7"/>
  <c r="H64" i="7"/>
  <c r="H58" i="7"/>
  <c r="H48" i="7"/>
  <c r="H43" i="7"/>
  <c r="H40" i="7"/>
  <c r="H38" i="7"/>
  <c r="H37" i="7"/>
  <c r="H35" i="7"/>
  <c r="H24" i="7"/>
  <c r="I188" i="12"/>
  <c r="I158" i="12"/>
  <c r="H158" i="12"/>
  <c r="I19" i="12"/>
  <c r="H174" i="12"/>
  <c r="I174" i="12"/>
  <c r="H171" i="12"/>
  <c r="I171" i="12"/>
  <c r="I168" i="12"/>
  <c r="H168" i="12"/>
  <c r="H165" i="12"/>
  <c r="I165" i="12"/>
  <c r="I161" i="12" l="1"/>
  <c r="J112" i="12"/>
  <c r="J74" i="12"/>
  <c r="J73" i="12"/>
  <c r="J62" i="12"/>
  <c r="J66" i="12" s="1"/>
  <c r="J170" i="12"/>
  <c r="J24" i="12"/>
  <c r="I24" i="12"/>
  <c r="J51" i="12"/>
  <c r="J58" i="12" s="1"/>
  <c r="I51" i="12"/>
  <c r="J27" i="12"/>
  <c r="I27" i="12"/>
  <c r="J45" i="12"/>
  <c r="J68" i="12"/>
  <c r="J75" i="12" l="1"/>
  <c r="I167" i="12"/>
  <c r="I152" i="12"/>
  <c r="J152" i="12" s="1"/>
  <c r="J42" i="12"/>
  <c r="I42" i="12"/>
  <c r="J61" i="12"/>
  <c r="I61" i="12"/>
  <c r="I38" i="12" l="1"/>
  <c r="J38" i="12"/>
  <c r="I41" i="12"/>
  <c r="J41" i="12" s="1"/>
  <c r="I135" i="12"/>
  <c r="J135" i="12" s="1"/>
  <c r="J137" i="12" s="1"/>
  <c r="J140" i="12"/>
  <c r="I140" i="12"/>
  <c r="I36" i="12"/>
  <c r="J36" i="12" s="1"/>
  <c r="J64" i="12"/>
  <c r="I64" i="12"/>
  <c r="J39" i="12"/>
  <c r="I39" i="12"/>
  <c r="J30" i="12"/>
  <c r="J169" i="12"/>
  <c r="H169" i="12"/>
  <c r="H132" i="12"/>
  <c r="H89" i="12"/>
  <c r="I134" i="7" l="1"/>
  <c r="H134" i="7" l="1"/>
  <c r="I132" i="12"/>
  <c r="H170" i="7" l="1"/>
  <c r="I169" i="12"/>
  <c r="J87" i="12"/>
  <c r="K158" i="12" l="1"/>
  <c r="H153" i="12" l="1"/>
  <c r="H161" i="12"/>
  <c r="H167" i="12"/>
  <c r="H172" i="7" l="1"/>
  <c r="J171" i="12" l="1"/>
  <c r="H167" i="7" l="1"/>
  <c r="H169" i="7" s="1"/>
  <c r="H165" i="7"/>
  <c r="H166" i="7"/>
  <c r="H154" i="7"/>
  <c r="H159" i="7" s="1"/>
  <c r="J167" i="12"/>
  <c r="J168" i="12" s="1"/>
  <c r="J161" i="12"/>
  <c r="J165" i="12" s="1"/>
  <c r="I153" i="12"/>
  <c r="J153" i="12" s="1"/>
  <c r="H49" i="12" l="1"/>
  <c r="H47" i="12"/>
  <c r="H43" i="12"/>
  <c r="H41" i="12"/>
  <c r="H40" i="12"/>
  <c r="H39" i="12"/>
  <c r="H38" i="12"/>
  <c r="H36" i="12"/>
  <c r="H34" i="12"/>
  <c r="H32" i="12"/>
  <c r="H74" i="12"/>
  <c r="H73" i="12"/>
  <c r="H72" i="12"/>
  <c r="H68" i="12"/>
  <c r="H64" i="12"/>
  <c r="H62" i="12"/>
  <c r="H66" i="12" s="1"/>
  <c r="H60" i="12"/>
  <c r="H141" i="12"/>
  <c r="H140" i="12"/>
  <c r="H45" i="12" l="1"/>
  <c r="K186" i="12"/>
  <c r="J148" i="12"/>
  <c r="K148" i="12"/>
  <c r="K145" i="12"/>
  <c r="K149" i="12" s="1"/>
  <c r="K175" i="12" l="1"/>
  <c r="K176" i="12" s="1"/>
  <c r="I74" i="7"/>
  <c r="I77" i="7" s="1"/>
  <c r="I58" i="7"/>
  <c r="I61" i="7"/>
  <c r="I43" i="7" l="1"/>
  <c r="H14" i="7" l="1"/>
  <c r="H56" i="7" l="1"/>
  <c r="I60" i="12" l="1"/>
  <c r="I43" i="12"/>
  <c r="J43" i="7" l="1"/>
  <c r="J41" i="7"/>
  <c r="I41" i="7"/>
  <c r="I44" i="7"/>
  <c r="J44" i="7"/>
  <c r="I141" i="12"/>
  <c r="I49" i="12"/>
  <c r="I47" i="12"/>
  <c r="I32" i="12"/>
  <c r="I193" i="12"/>
  <c r="I189" i="12"/>
  <c r="I187" i="12"/>
  <c r="I185" i="12"/>
  <c r="I172" i="12"/>
  <c r="I173" i="12" s="1"/>
  <c r="I166" i="12"/>
  <c r="I164" i="12"/>
  <c r="I148" i="12"/>
  <c r="I143" i="12"/>
  <c r="I139" i="12"/>
  <c r="I136" i="12"/>
  <c r="I134" i="12"/>
  <c r="I127" i="12"/>
  <c r="I131" i="12" s="1"/>
  <c r="I125" i="12"/>
  <c r="I120" i="12"/>
  <c r="I113" i="12"/>
  <c r="I104" i="12"/>
  <c r="I184" i="12"/>
  <c r="I84" i="12"/>
  <c r="I86" i="12" s="1"/>
  <c r="I81" i="12"/>
  <c r="I192" i="12" s="1"/>
  <c r="I80" i="12"/>
  <c r="I191" i="12" s="1"/>
  <c r="I77" i="12"/>
  <c r="I183" i="12" s="1"/>
  <c r="I182" i="12"/>
  <c r="I72" i="12"/>
  <c r="I194" i="12" s="1"/>
  <c r="I58" i="12"/>
  <c r="I34" i="12"/>
  <c r="I21" i="12"/>
  <c r="I17" i="12"/>
  <c r="I14" i="12"/>
  <c r="I186" i="12" l="1"/>
  <c r="I190" i="12"/>
  <c r="I114" i="12"/>
  <c r="I149" i="12"/>
  <c r="I45" i="12"/>
  <c r="I75" i="12"/>
  <c r="I137" i="12"/>
  <c r="I66" i="12"/>
  <c r="I83" i="12"/>
  <c r="I101" i="12"/>
  <c r="I30" i="12"/>
  <c r="I181" i="12" l="1"/>
  <c r="I180" i="12" s="1"/>
  <c r="I195" i="12" s="1"/>
  <c r="I87" i="12"/>
  <c r="I175" i="12" s="1"/>
  <c r="I176" i="12" s="1"/>
  <c r="J193" i="12"/>
  <c r="H193" i="12"/>
  <c r="J189" i="12"/>
  <c r="H189" i="12"/>
  <c r="J188" i="12"/>
  <c r="J187" i="12"/>
  <c r="H187" i="12"/>
  <c r="J185" i="12"/>
  <c r="H185" i="12"/>
  <c r="H172" i="12"/>
  <c r="H173" i="12" s="1"/>
  <c r="H170" i="12"/>
  <c r="H166" i="12"/>
  <c r="H164" i="12"/>
  <c r="H152" i="12"/>
  <c r="H148" i="12"/>
  <c r="H143" i="12"/>
  <c r="H139" i="12"/>
  <c r="H136" i="12"/>
  <c r="H127" i="12"/>
  <c r="H131" i="12" s="1"/>
  <c r="H121" i="12"/>
  <c r="H125" i="12" s="1"/>
  <c r="H115" i="12"/>
  <c r="H120" i="12" s="1"/>
  <c r="H113" i="12"/>
  <c r="H112" i="12"/>
  <c r="H104" i="12"/>
  <c r="J184" i="12"/>
  <c r="H90" i="12"/>
  <c r="J100" i="12"/>
  <c r="J101" i="12" s="1"/>
  <c r="H84" i="12"/>
  <c r="H86" i="12" s="1"/>
  <c r="J192" i="12"/>
  <c r="H81" i="12"/>
  <c r="H192" i="12" s="1"/>
  <c r="H80" i="12"/>
  <c r="H191" i="12" s="1"/>
  <c r="H77" i="12"/>
  <c r="H83" i="12" s="1"/>
  <c r="H182" i="12"/>
  <c r="H194" i="12"/>
  <c r="J194" i="12"/>
  <c r="J191" i="12"/>
  <c r="J186" i="12"/>
  <c r="H27" i="12"/>
  <c r="H26" i="12"/>
  <c r="H24" i="12"/>
  <c r="H21" i="12"/>
  <c r="H19" i="12"/>
  <c r="H17" i="12"/>
  <c r="H14" i="12"/>
  <c r="H134" i="12" l="1"/>
  <c r="J132" i="12"/>
  <c r="H190" i="12"/>
  <c r="J190" i="12"/>
  <c r="H186" i="12"/>
  <c r="H30" i="12"/>
  <c r="H100" i="12"/>
  <c r="H101" i="12" s="1"/>
  <c r="H145" i="12"/>
  <c r="H184" i="12"/>
  <c r="H114" i="12"/>
  <c r="H137" i="12"/>
  <c r="H149" i="12" s="1"/>
  <c r="H183" i="12"/>
  <c r="H58" i="12"/>
  <c r="H188" i="12"/>
  <c r="H75" i="12"/>
  <c r="J183" i="12"/>
  <c r="H181" i="12" l="1"/>
  <c r="H180" i="12" s="1"/>
  <c r="H195" i="12" s="1"/>
  <c r="J134" i="12"/>
  <c r="J182" i="12"/>
  <c r="J181" i="12" s="1"/>
  <c r="J180" i="12" s="1"/>
  <c r="J195" i="12" s="1"/>
  <c r="K185" i="12"/>
  <c r="H87" i="12"/>
  <c r="K189" i="12" l="1"/>
  <c r="H175" i="12"/>
  <c r="H176" i="12" s="1"/>
  <c r="J175" i="12"/>
  <c r="J176" i="12" s="1"/>
  <c r="K187" i="12"/>
  <c r="K184" i="12" l="1"/>
  <c r="K188" i="12"/>
  <c r="K194" i="12"/>
  <c r="K191" i="12"/>
  <c r="K192" i="12"/>
  <c r="K182" i="12"/>
  <c r="K193" i="12"/>
  <c r="K183" i="12"/>
  <c r="K190" i="12" l="1"/>
  <c r="K181" i="12"/>
  <c r="K180" i="12" s="1"/>
  <c r="K195" i="12" l="1"/>
  <c r="H33" i="7" l="1"/>
  <c r="J106" i="7" l="1"/>
  <c r="I106" i="7"/>
  <c r="H106" i="7"/>
  <c r="H188" i="7"/>
  <c r="I153" i="7" l="1"/>
  <c r="J153" i="7"/>
  <c r="H82" i="7"/>
  <c r="I188" i="7" l="1"/>
  <c r="H73" i="7" l="1"/>
  <c r="J189" i="7"/>
  <c r="I189" i="7"/>
  <c r="I18" i="7" l="1"/>
  <c r="J15" i="7"/>
  <c r="I15" i="7"/>
  <c r="I20" i="7"/>
  <c r="I34" i="7"/>
  <c r="H79" i="7" l="1"/>
  <c r="J92" i="7" l="1"/>
  <c r="J123" i="7"/>
  <c r="I123" i="7"/>
  <c r="J145" i="7"/>
  <c r="I145" i="7"/>
  <c r="H144" i="7"/>
  <c r="I143" i="7"/>
  <c r="I141" i="7"/>
  <c r="H141" i="7"/>
  <c r="H146" i="7" l="1"/>
  <c r="H86" i="7" l="1"/>
  <c r="I117" i="7" l="1"/>
  <c r="I122" i="7" s="1"/>
  <c r="J173" i="7"/>
  <c r="I173" i="7"/>
  <c r="H173" i="7"/>
  <c r="I171" i="7"/>
  <c r="I168" i="7"/>
  <c r="J168" i="7"/>
  <c r="I167" i="7"/>
  <c r="J167" i="7"/>
  <c r="J165" i="7"/>
  <c r="I165" i="7"/>
  <c r="J162" i="7"/>
  <c r="I162" i="7"/>
  <c r="I154" i="7"/>
  <c r="I159" i="7" s="1"/>
  <c r="J154" i="7"/>
  <c r="J159" i="7" s="1"/>
  <c r="J147" i="7"/>
  <c r="I147" i="7"/>
  <c r="H149" i="7"/>
  <c r="I138" i="7"/>
  <c r="I137" i="7"/>
  <c r="H138" i="7"/>
  <c r="J134" i="7"/>
  <c r="H122" i="7"/>
  <c r="J117" i="7"/>
  <c r="J122" i="7" s="1"/>
  <c r="J115" i="7"/>
  <c r="I115" i="7"/>
  <c r="H115" i="7"/>
  <c r="I114" i="7"/>
  <c r="I92" i="7"/>
  <c r="J91" i="7"/>
  <c r="I91" i="7"/>
  <c r="I86" i="7"/>
  <c r="J86" i="7"/>
  <c r="J84" i="7"/>
  <c r="H83" i="7"/>
  <c r="J71" i="7"/>
  <c r="J70" i="7"/>
  <c r="J65" i="7"/>
  <c r="I65" i="7"/>
  <c r="H66" i="7"/>
  <c r="J63" i="7"/>
  <c r="J61" i="7"/>
  <c r="J60" i="7"/>
  <c r="I60" i="7"/>
  <c r="J58" i="7"/>
  <c r="J55" i="7"/>
  <c r="J53" i="7"/>
  <c r="J52" i="7"/>
  <c r="J51" i="7"/>
  <c r="I51" i="7"/>
  <c r="J50" i="7"/>
  <c r="I50" i="7"/>
  <c r="J36" i="7"/>
  <c r="I36" i="7"/>
  <c r="J35" i="7"/>
  <c r="J187" i="7" s="1"/>
  <c r="I35" i="7"/>
  <c r="I32" i="7"/>
  <c r="I28" i="7"/>
  <c r="H187" i="7"/>
  <c r="J23" i="7"/>
  <c r="J22" i="7"/>
  <c r="I22" i="7"/>
  <c r="I187" i="7" s="1"/>
  <c r="H21" i="7"/>
  <c r="H19" i="7"/>
  <c r="H17" i="7"/>
  <c r="J77" i="7" l="1"/>
  <c r="H45" i="7"/>
  <c r="H189" i="7"/>
  <c r="H116" i="7"/>
  <c r="H77" i="7"/>
  <c r="I56" i="7"/>
  <c r="I66" i="7"/>
  <c r="H30" i="7"/>
  <c r="J139" i="7" l="1"/>
  <c r="I139" i="7"/>
  <c r="H139" i="7"/>
  <c r="J136" i="7"/>
  <c r="I136" i="7"/>
  <c r="H136" i="7"/>
  <c r="J133" i="7"/>
  <c r="I133" i="7"/>
  <c r="H133" i="7"/>
  <c r="J66" i="7"/>
  <c r="J116" i="7" l="1"/>
  <c r="J30" i="7"/>
  <c r="I116" i="7" l="1"/>
  <c r="I172" i="7" l="1"/>
  <c r="J172" i="7"/>
  <c r="H195" i="7" l="1"/>
  <c r="H194" i="7"/>
  <c r="H193" i="7"/>
  <c r="H192" i="7"/>
  <c r="H190" i="7"/>
  <c r="H185" i="7"/>
  <c r="H184" i="7"/>
  <c r="H183" i="7"/>
  <c r="I195" i="7"/>
  <c r="I183" i="7"/>
  <c r="I166" i="7"/>
  <c r="J102" i="7"/>
  <c r="J103" i="7" s="1"/>
  <c r="I102" i="7"/>
  <c r="I103" i="7" s="1"/>
  <c r="H102" i="7"/>
  <c r="H103" i="7" s="1"/>
  <c r="H174" i="7"/>
  <c r="H127" i="7"/>
  <c r="I146" i="7"/>
  <c r="J146" i="7"/>
  <c r="H88" i="7"/>
  <c r="I85" i="7"/>
  <c r="J85" i="7"/>
  <c r="H85" i="7"/>
  <c r="J56" i="7"/>
  <c r="J45" i="7"/>
  <c r="I45" i="7"/>
  <c r="J195" i="7"/>
  <c r="J194" i="7"/>
  <c r="I194" i="7"/>
  <c r="J193" i="7"/>
  <c r="I193" i="7"/>
  <c r="J192" i="7"/>
  <c r="I192" i="7"/>
  <c r="J190" i="7"/>
  <c r="I190" i="7"/>
  <c r="J188" i="7"/>
  <c r="J186" i="7"/>
  <c r="I186" i="7"/>
  <c r="J185" i="7"/>
  <c r="I185" i="7"/>
  <c r="J184" i="7"/>
  <c r="I184" i="7"/>
  <c r="J183" i="7"/>
  <c r="J174" i="7"/>
  <c r="I174" i="7"/>
  <c r="J169" i="7"/>
  <c r="I169" i="7"/>
  <c r="J166" i="7"/>
  <c r="J149" i="7"/>
  <c r="I149" i="7"/>
  <c r="J127" i="7"/>
  <c r="I127" i="7"/>
  <c r="J88" i="7"/>
  <c r="J89" i="7" s="1"/>
  <c r="I88" i="7"/>
  <c r="H182" i="7" l="1"/>
  <c r="H181" i="7" s="1"/>
  <c r="J191" i="7"/>
  <c r="J182" i="7"/>
  <c r="I191" i="7"/>
  <c r="H191" i="7"/>
  <c r="I182" i="7"/>
  <c r="I181" i="7" s="1"/>
  <c r="J181" i="7"/>
  <c r="I89" i="7"/>
  <c r="J150" i="7"/>
  <c r="H150" i="7"/>
  <c r="I150" i="7"/>
  <c r="H89" i="7"/>
  <c r="H175" i="7"/>
  <c r="J175" i="7"/>
  <c r="I175" i="7"/>
  <c r="J196" i="7" l="1"/>
  <c r="I196" i="7"/>
  <c r="H196" i="7"/>
  <c r="H176" i="7"/>
  <c r="H177" i="7" s="1"/>
  <c r="I176" i="7"/>
  <c r="I177" i="7" s="1"/>
  <c r="J176" i="7"/>
  <c r="J177" i="7" s="1"/>
</calcChain>
</file>

<file path=xl/comments1.xml><?xml version="1.0" encoding="utf-8"?>
<comments xmlns="http://schemas.openxmlformats.org/spreadsheetml/2006/main">
  <authors>
    <author>Audra Cepiene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centrinės miesto dalies gatvių tinklą:
</t>
        </r>
        <r>
          <rPr>
            <sz val="9"/>
            <color indexed="81"/>
            <rFont val="Tahoma"/>
            <family val="2"/>
            <charset val="186"/>
          </rPr>
          <t> kapitališkai  suremontuoti Pilies tiltą per Danės upę;
 rekonstruoti Daržų g. ir kitas senamiesčio gatves;
 rekonstruoti Kūlių Vartų g., Galinio Pylimo g. ir Taikos pr. sankryžą;
 nutiesti Bastionų g. ir pastatyti naują tiltą per Danės upę;
 įrengti įvažiuojamąjį kelią į  Klaipėdos piliavietės teritoriją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31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2.1.2.13 Modernizuoti šiaurinės miesto dalies gatvių tinklą:
</t>
        </r>
        <r>
          <rPr>
            <sz val="9"/>
            <color indexed="81"/>
            <rFont val="Tahoma"/>
            <family val="2"/>
            <charset val="186"/>
          </rPr>
          <t xml:space="preserve"> rekonstruoti įvažiuojamąjį kelią į miestą per Tauralaukį (Pajūrio g.);
 rekonstruoti Utenos, Pakruojo, Radviliškio, Rokiškio g. įrengiant pratęsimą iki Šiaurės pr.; 
 rekonstruoti prioritetines Tauralaukio gyvenamųjų kvartalų gatves
</t>
        </r>
      </text>
    </comment>
    <comment ref="E4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šiaurės–pietų transporto koridorių gatvių tinklą:
</t>
        </r>
        <r>
          <rPr>
            <sz val="9"/>
            <color indexed="81"/>
            <rFont val="Tahoma"/>
            <family val="2"/>
            <charset val="186"/>
          </rPr>
          <t> rekonstruoti Minijos g. nuo Baltijos pr. iki Jūrininkų pr.;
 rekonstruoti Tilžės g. nuo Šilutės pl. iki geležinkelio pervažos, pertvarkant žiedinę Mokyklos g. ir Šilutės pl. sankryžą; 
 rekonstruoti Taikos pr. nuo Sausio 15 osios g. iki Kauno g.;
 nutiesti Taikos pr. 2-ą juostą nuo Smiltelės g. iki Kairių g.;
 nutiesti Šilutės pl. tęsinį iki pietinio aplinkkelio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57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2.1.2.15 Pagerinti susisiekimą su  rekreacinėmis  pajūrio teritorijomis:
 </t>
        </r>
        <r>
          <rPr>
            <sz val="9"/>
            <color indexed="81"/>
            <rFont val="Tahoma"/>
            <family val="2"/>
            <charset val="186"/>
          </rPr>
          <t>rekonstruoti Pamario g. ir jos priklausinius, pritaikant turizmui;
 nutiesti kelią nuo Medelyno g. ties Labrenciškėmis iki Girulių (Pamario g.)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67" authorId="0">
      <text>
        <r>
          <rPr>
            <b/>
            <sz val="9"/>
            <color indexed="81"/>
            <rFont val="Tahoma"/>
            <family val="2"/>
            <charset val="186"/>
          </rPr>
          <t>KSP 2.1.2.14 Modernizuoti rytų–vakarų krypties gatvių tinklą:</t>
        </r>
        <r>
          <rPr>
            <sz val="9"/>
            <color indexed="81"/>
            <rFont val="Tahoma"/>
            <family val="2"/>
            <charset val="186"/>
          </rPr>
          <t xml:space="preserve">
 rekonstruoti Joniškės g.;
 nutiesti Statybininkų pr. tęsinį nuo Šilutės pl. per LEZ teritoriją iki 141 kelio;
 rekonstruoti Klemiškės g.;
 įrengti Kauno gatvės tęsinį iki Palangos plento
</t>
        </r>
      </text>
    </comment>
    <comment ref="E78" authorId="0">
      <text>
        <r>
          <rPr>
            <b/>
            <sz val="10"/>
            <color indexed="81"/>
            <rFont val="Tahoma"/>
            <family val="2"/>
            <charset val="186"/>
          </rPr>
          <t xml:space="preserve">KSP 2.2.1.2. Plėtoti bendrus poreikius atitinkančią susisiekimo infrastruktūrą:
</t>
        </r>
        <r>
          <rPr>
            <sz val="10"/>
            <color indexed="81"/>
            <rFont val="Tahoma"/>
            <family val="2"/>
            <charset val="186"/>
          </rPr>
          <t xml:space="preserve"> parengti galimybių studiją ir projektinius pasiūlymus dėl Švyturio g. rekonstrukcijos;
 modernizuoti Klaipėdos valstybinio jūrų uosto centrinio įvado jungtį rekonstruojant Baltijos pr. su žiedinėmis sankryžomis;
 įrengti dviejų lygių sankryžą tarp Vilniaus g. ir Pramonės g.;
 nutiesti pietinę jungtį tarp Klaipėdos valstybinio jūrų uosto ir IXB transporto koridoriaus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91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2.1.2.3 </t>
        </r>
        <r>
          <rPr>
            <sz val="9"/>
            <color indexed="81"/>
            <rFont val="Tahoma"/>
            <family val="2"/>
            <charset val="186"/>
          </rPr>
          <t xml:space="preserve">
Formuoti patogų gyventojams viešojo transporto tinklą, jį optimizuojant atsižvelgus į reguliarių keleivių srautų tyrimus</t>
        </r>
      </text>
    </comment>
    <comment ref="E101" authorId="0">
      <text>
        <r>
          <rPr>
            <b/>
            <sz val="9"/>
            <color indexed="81"/>
            <rFont val="Tahoma"/>
            <family val="2"/>
            <charset val="186"/>
          </rPr>
          <t>KSP 2.1.2.4 priemonė</t>
        </r>
        <r>
          <rPr>
            <sz val="9"/>
            <color indexed="81"/>
            <rFont val="Tahoma"/>
            <family val="2"/>
            <charset val="186"/>
          </rPr>
          <t xml:space="preserve">
Integruoti reguliaraus viešojo transporto (autobusų, maršrutinių taksi ir kitų rūšių) maršrutų ir tvarkaraščių tinklus bei bilietų sistemas mieste ir priemiesčiuose</t>
        </r>
      </text>
    </comment>
    <comment ref="K111" authorId="0">
      <text>
        <r>
          <rPr>
            <sz val="9"/>
            <color indexed="81"/>
            <rFont val="Tahoma"/>
            <family val="2"/>
            <charset val="186"/>
          </rPr>
          <t>Šviesoforų įregimas Liepų g. ir Jaunystės g. sankryžoje su projektavimo darbais;
Šviesoforų įrengimas Šilutės pl. 26 ties AB "Klaipėdos energija" su projektavimo darbais</t>
        </r>
      </text>
    </comment>
    <comment ref="H118" authorId="0">
      <text>
        <r>
          <rPr>
            <sz val="9"/>
            <color indexed="81"/>
            <rFont val="Tahoma"/>
            <family val="2"/>
            <charset val="186"/>
          </rPr>
          <t>Rinkliavos administravimo įsisikolinimui dengti</t>
        </r>
      </text>
    </comment>
    <comment ref="E130" authorId="0">
      <text>
        <r>
          <rPr>
            <b/>
            <sz val="9"/>
            <color indexed="81"/>
            <rFont val="Tahoma"/>
            <family val="2"/>
            <charset val="186"/>
          </rPr>
          <t>KSP 2.1.2.10</t>
        </r>
        <r>
          <rPr>
            <sz val="9"/>
            <color indexed="81"/>
            <rFont val="Tahoma"/>
            <family val="2"/>
            <charset val="186"/>
          </rPr>
          <t xml:space="preserve"> Parengti ir įdiegti koordinuotą šviesoforų reguliavimo ir valdymo sistemą 
</t>
        </r>
      </text>
    </comment>
    <comment ref="K135" authorId="0">
      <text>
        <r>
          <rPr>
            <sz val="9"/>
            <color indexed="81"/>
            <rFont val="Tahoma"/>
            <family val="2"/>
            <charset val="186"/>
          </rPr>
          <t>Iki 2014 m. buvo eksplotuojami 3 greičio matuokliai, 2015 m. bus papildomai įsigyti naujos kartos greičio matuokliai su galimybe skaityti transporto priemones</t>
        </r>
      </text>
    </comment>
    <comment ref="E140" authorId="0">
      <text>
        <r>
          <rPr>
            <b/>
            <sz val="9"/>
            <color indexed="81"/>
            <rFont val="Tahoma"/>
            <family val="2"/>
            <charset val="186"/>
          </rPr>
          <t>KSP 2.1.2.2..</t>
        </r>
        <r>
          <rPr>
            <sz val="9"/>
            <color indexed="81"/>
            <rFont val="Tahoma"/>
            <family val="2"/>
            <charset val="186"/>
          </rPr>
          <t xml:space="preserve">
Plėtoti viešojo ir privataus transporto sąveikos sistemą įrengiant transporto priemonių laikymo aikšteles</t>
        </r>
      </text>
    </comment>
    <comment ref="K154" authorId="0">
      <text>
        <r>
          <rPr>
            <sz val="8"/>
            <color indexed="81"/>
            <rFont val="Tahoma"/>
            <family val="2"/>
            <charset val="186"/>
          </rPr>
          <t xml:space="preserve">Informacija pateikta telefonu iš N. Vedeikienės. Jei liks lėšų, planuojama remontuoti Mokyklos g. atkarpą.
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E13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centrinės miesto dalies gatvių tinklą:
</t>
        </r>
        <r>
          <rPr>
            <sz val="9"/>
            <color indexed="81"/>
            <rFont val="Tahoma"/>
            <family val="2"/>
            <charset val="186"/>
          </rPr>
          <t> kapitališkai  suremontuoti Pilies tiltą per Danės upę;
 rekonstruoti Daržų g. ir kitas senamiesčio gatves;
 rekonstruoti Kūlių Vartų g., Galinio Pylimo g. ir Taikos pr. sankryžą;
 nutiesti Bastionų g. ir pastatyti naują tiltą per Danės upę;
 įrengti įvažiuojamąjį kelią į  Klaipėdos piliavietės teritoriją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4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del per didelės kainos skelbs naują konkursą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raštas VS-5881</t>
        </r>
      </text>
    </comment>
    <comment ref="E31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2.1.2.13 Modernizuoti šiaurinės miesto dalies gatvių tinklą:
</t>
        </r>
        <r>
          <rPr>
            <sz val="9"/>
            <color indexed="81"/>
            <rFont val="Tahoma"/>
            <family val="2"/>
            <charset val="186"/>
          </rPr>
          <t xml:space="preserve"> rekonstruoti įvažiuojamąjį kelią į miestą per Tauralaukį (Pajūrio g.);
 rekonstruoti Utenos, Pakruojo, Radviliškio, Rokiškio g. įrengiant pratęsimą iki Šiaurės pr.; 
 rekonstruoti prioritetines Tauralaukio gyvenamųjų kvartalų gatves
</t>
        </r>
      </text>
    </comment>
    <comment ref="J40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raštas VS-5881</t>
        </r>
      </text>
    </comment>
    <comment ref="E4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šiaurės–pietų transporto koridorių gatvių tinklą:
</t>
        </r>
        <r>
          <rPr>
            <sz val="9"/>
            <color indexed="81"/>
            <rFont val="Tahoma"/>
            <family val="2"/>
            <charset val="186"/>
          </rPr>
          <t> rekonstruoti Minijos g. nuo Baltijos pr. iki Jūrininkų pr.;
 rekonstruoti Tilžės g. nuo Šilutės pl. iki geležinkelio pervažos, pertvarkant žiedinę Mokyklos g. ir Šilutės pl. sankryžą; 
 rekonstruoti Taikos pr. nuo Sausio 15 osios g. iki Kauno g.;
 nutiesti Taikos pr. 2-ą juostą nuo Smiltelės g. iki Kairių g.;
 nutiesti Šilutės pl. tęsinį iki pietinio aplinkkelio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59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2.1.2.15 Pagerinti susisiekimą su  rekreacinėmis  pajūrio teritorijomis:
 </t>
        </r>
        <r>
          <rPr>
            <sz val="9"/>
            <color indexed="81"/>
            <rFont val="Tahoma"/>
            <family val="2"/>
            <charset val="186"/>
          </rPr>
          <t>rekonstruoti Pamario g. ir jos priklausinius, pritaikant turizmui;
 nutiesti kelią nuo Medelyno g. ties Labrenciškėmis iki Girulių (Pamario g.)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67" authorId="0">
      <text>
        <r>
          <rPr>
            <b/>
            <sz val="9"/>
            <color indexed="81"/>
            <rFont val="Tahoma"/>
            <family val="2"/>
            <charset val="186"/>
          </rPr>
          <t>KSP 2.1.2.14 Modernizuoti rytų–vakarų krypties gatvių tinklą:</t>
        </r>
        <r>
          <rPr>
            <sz val="9"/>
            <color indexed="81"/>
            <rFont val="Tahoma"/>
            <family val="2"/>
            <charset val="186"/>
          </rPr>
          <t xml:space="preserve">
 rekonstruoti Joniškės g.;
 nutiesti Statybininkų pr. tęsinį nuo Šilutės pl. per LEZ teritoriją iki 141 kelio;
 rekonstruoti Klemiškės g.;
 įrengti Kauno gatvės tęsinį iki Palangos plento
</t>
        </r>
      </text>
    </comment>
    <comment ref="E76" authorId="0">
      <text>
        <r>
          <rPr>
            <b/>
            <sz val="10"/>
            <color indexed="81"/>
            <rFont val="Tahoma"/>
            <family val="2"/>
            <charset val="186"/>
          </rPr>
          <t xml:space="preserve">KSP 2.2.1.2. Plėtoti bendrus poreikius atitinkančią susisiekimo infrastruktūrą:
</t>
        </r>
        <r>
          <rPr>
            <sz val="10"/>
            <color indexed="81"/>
            <rFont val="Tahoma"/>
            <family val="2"/>
            <charset val="186"/>
          </rPr>
          <t xml:space="preserve"> parengti galimybių studiją ir projektinius pasiūlymus dėl Švyturio g. rekonstrukcijos;
 modernizuoti Klaipėdos valstybinio jūrų uosto centrinio įvado jungtį rekonstruojant Baltijos pr. su žiedinėmis sankryžomis;
 įrengti dviejų lygių sankryžą tarp Vilniaus g. ir Pramonės g.;
 nutiesti pietinę jungtį tarp Klaipėdos valstybinio jūrų uosto ir IXB transporto koridoriaus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89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2.1.2.3 </t>
        </r>
        <r>
          <rPr>
            <sz val="9"/>
            <color indexed="81"/>
            <rFont val="Tahoma"/>
            <family val="2"/>
            <charset val="186"/>
          </rPr>
          <t xml:space="preserve">
Formuoti patogų gyventojams viešojo transporto tinklą, jį optimizuojant atsižvelgus į reguliarių keleivių srautų tyrimus</t>
        </r>
      </text>
    </comment>
    <comment ref="E99" authorId="0">
      <text>
        <r>
          <rPr>
            <b/>
            <sz val="9"/>
            <color indexed="81"/>
            <rFont val="Tahoma"/>
            <family val="2"/>
            <charset val="186"/>
          </rPr>
          <t>KSP 2.1.2.4 priemonė</t>
        </r>
        <r>
          <rPr>
            <sz val="9"/>
            <color indexed="81"/>
            <rFont val="Tahoma"/>
            <family val="2"/>
            <charset val="186"/>
          </rPr>
          <t xml:space="preserve">
Integruoti reguliaraus viešojo transporto (autobusų, maršrutinių taksi ir kitų rūšių) maršrutų ir tvarkaraščių tinklus bei bilietų sistemas mieste ir priemiesčiuose</t>
        </r>
      </text>
    </comment>
    <comment ref="E128" authorId="0">
      <text>
        <r>
          <rPr>
            <b/>
            <sz val="9"/>
            <color indexed="81"/>
            <rFont val="Tahoma"/>
            <family val="2"/>
            <charset val="186"/>
          </rPr>
          <t>KSP 2.1.2.10</t>
        </r>
        <r>
          <rPr>
            <sz val="9"/>
            <color indexed="81"/>
            <rFont val="Tahoma"/>
            <family val="2"/>
            <charset val="186"/>
          </rPr>
          <t xml:space="preserve"> Parengti ir įdiegti koordinuotą šviesoforų reguliavimo ir valdymo sistemą 
</t>
        </r>
      </text>
    </comment>
    <comment ref="E138" authorId="0">
      <text>
        <r>
          <rPr>
            <b/>
            <sz val="9"/>
            <color indexed="81"/>
            <rFont val="Tahoma"/>
            <family val="2"/>
            <charset val="186"/>
          </rPr>
          <t>KSP 2.1.2.2..</t>
        </r>
        <r>
          <rPr>
            <sz val="9"/>
            <color indexed="81"/>
            <rFont val="Tahoma"/>
            <family val="2"/>
            <charset val="186"/>
          </rPr>
          <t xml:space="preserve">
Plėtoti viešojo ir privataus transporto sąveikos sistemą įrengiant transporto priemonių laikymo aikšteles</t>
        </r>
      </text>
    </comment>
    <comment ref="I188" authorId="0">
      <text>
        <r>
          <rPr>
            <sz val="9"/>
            <color indexed="81"/>
            <rFont val="Tahoma"/>
            <family val="2"/>
            <charset val="186"/>
          </rPr>
          <t xml:space="preserve">mažesnė, nes nuėmė SB(ŽPL) 345 544 Eur
</t>
        </r>
      </text>
    </comment>
  </commentList>
</comments>
</file>

<file path=xl/sharedStrings.xml><?xml version="1.0" encoding="utf-8"?>
<sst xmlns="http://schemas.openxmlformats.org/spreadsheetml/2006/main" count="964" uniqueCount="269">
  <si>
    <t>Uždavinio kodas</t>
  </si>
  <si>
    <t>Priemonės kodas</t>
  </si>
  <si>
    <t>Priemonės požymis</t>
  </si>
  <si>
    <t>Asignavimų valdytojo kodas</t>
  </si>
  <si>
    <t>Finansavimo šaltinis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</si>
  <si>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</si>
  <si>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</si>
  <si>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</si>
  <si>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</si>
  <si>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</si>
  <si>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</si>
  <si>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</si>
  <si>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</si>
  <si>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</si>
  <si>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</si>
  <si>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</si>
  <si>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</si>
  <si>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</si>
  <si>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Asignavimų valdytojų kodų klasifikatorius*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</si>
  <si>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</si>
  <si>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</si>
  <si>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</si>
  <si>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</si>
  <si>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</si>
  <si>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</si>
  <si>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 xml:space="preserve"> TIKSLŲ, UŽDAVINIŲ, PRIEMONIŲ, PRIEMONIŲ IŠLAIDŲ IR PRODUKTO KRITERIJŲ SUVESTINĖ</t>
  </si>
  <si>
    <t>Veiklos plano tikslo kodas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</si>
  <si>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</si>
  <si>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</si>
  <si>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</si>
  <si>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</si>
  <si>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Klaipėdos valstybinio jūrų uosto direkcijos lėšos </t>
    </r>
    <r>
      <rPr>
        <b/>
        <sz val="10"/>
        <rFont val="Times New Roman"/>
        <family val="1"/>
        <charset val="186"/>
      </rPr>
      <t>KVJUD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</si>
  <si>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</si>
  <si>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</si>
  <si>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2015-ieji metai</t>
  </si>
  <si>
    <t>SB</t>
  </si>
  <si>
    <t>06 Susisiekimo sistemos priežiūros ir plėtros programa</t>
  </si>
  <si>
    <t>03</t>
  </si>
  <si>
    <t>SUSISIEKIMO SISTEMOS PRIEŽIŪROS IR PLĖTROS PROGRAMOS (NR. 06)</t>
  </si>
  <si>
    <t>Didinti gatvių tinklo pralaidumą ir užtikrinti jų tankumą</t>
  </si>
  <si>
    <t>Rekonstruoti ir tiesti gatves</t>
  </si>
  <si>
    <t xml:space="preserve"> Užtikrinti patogios viešojo transporto sistemos funkcionavimą</t>
  </si>
  <si>
    <t>04</t>
  </si>
  <si>
    <t>Diegti eismo srautų reguliavimo ir saugumo priemones</t>
  </si>
  <si>
    <t>05</t>
  </si>
  <si>
    <t>Atlikti kasmetinius miesto susisiekimo infrastruktūros objektų priežiūros ir įrengimo darbus</t>
  </si>
  <si>
    <t>06</t>
  </si>
  <si>
    <t>07</t>
  </si>
  <si>
    <t>6</t>
  </si>
  <si>
    <t>KPP</t>
  </si>
  <si>
    <t>Eksploatuojama šviesoforų, vnt.</t>
  </si>
  <si>
    <t>Mokamo automobilių stovėjimo sistemos mieste sukūrimas ir išlaikymas</t>
  </si>
  <si>
    <t>Tiltų ir kelio statinių priežiūra</t>
  </si>
  <si>
    <t>Suremontuota šaligatvių, ha</t>
  </si>
  <si>
    <t>Suremontuota asfaltbetonio dangos duobių kiemuose, ha</t>
  </si>
  <si>
    <t>Suremontuota asfaltbetonio dangos duobių gatvėse, ha</t>
  </si>
  <si>
    <t>Suremontuota gatvių akmens grindinio dangos, ha</t>
  </si>
  <si>
    <t>Parduota lengvatinių bilietų, mln. vnt.</t>
  </si>
  <si>
    <t>Viešojo transporto priežiūros ir paslaugų kokybės kontroliavimas</t>
  </si>
  <si>
    <t>Viešojo transporto (autobusų ir maršrutinių taksi) integravimas</t>
  </si>
  <si>
    <t>Subsidijuojami maršrutai, vnt.</t>
  </si>
  <si>
    <t>5</t>
  </si>
  <si>
    <t>ES</t>
  </si>
  <si>
    <t>Kt</t>
  </si>
  <si>
    <t>Parengtas techninis projektas, vnt.</t>
  </si>
  <si>
    <t>SB(P)</t>
  </si>
  <si>
    <t>I</t>
  </si>
  <si>
    <t>KVJUD</t>
  </si>
  <si>
    <t>Automatinės eismo priežiūros prietaisų nuoma</t>
  </si>
  <si>
    <t>Centrinės miesto dalies gatvių tinklo modernizavimas:</t>
  </si>
  <si>
    <t>Šiaurinės miesto dalies gatvių tinklo modernizavimas:</t>
  </si>
  <si>
    <t>Šiaurės ir Pietų transporto koridorių gatvių tinklo modernizavimas:</t>
  </si>
  <si>
    <t>Pajūrio rekreacinių teritorijų gatvių tinklo modernizavimas:</t>
  </si>
  <si>
    <t>Eksploatuojamų bilietų automatų sk.</t>
  </si>
  <si>
    <t>Transporto kompensacijų mokėjimas:</t>
  </si>
  <si>
    <t>Asfaltuotų daugiabučių kiemų dangų remontas</t>
  </si>
  <si>
    <t>Asfaltbetonio dangos, žvyruotos dangos ir akmenimis grįstų gatvių  dangos remontas</t>
  </si>
  <si>
    <t>Miesto gatvių ir daugiabučių namų kiemų dangos remontas:</t>
  </si>
  <si>
    <t>Keleivinio transporto stotelių su įvažomis Klaipėdos miesto gatvėse projektavimas ir įrengimas</t>
  </si>
  <si>
    <t>Patikrinta viešojo transporto priemonių, tūkst. vnt.</t>
  </si>
  <si>
    <t>Įsigyta integruotų maršrutų transporto priemonių įrangos, vnt.</t>
  </si>
  <si>
    <t>Prižiūrima tiltų ir viadukų, vnt.</t>
  </si>
  <si>
    <t>Parengta techninių projektų, vnt.</t>
  </si>
  <si>
    <t>Įrengta stotelių, vnt.</t>
  </si>
  <si>
    <t>1</t>
  </si>
  <si>
    <t>Viešojo transporto paslaugų organizavimas:</t>
  </si>
  <si>
    <t>Smeltės gyvenvietės gatvių kapitalinis remontas</t>
  </si>
  <si>
    <t xml:space="preserve">Iš viso  programai:  </t>
  </si>
  <si>
    <t>Klaipėdos miesto gatvių pėsčiųjų perėjų kryptingas apšvietimas</t>
  </si>
  <si>
    <t>Apšviesta pėsčiųjų perėjų, sk</t>
  </si>
  <si>
    <t>Pajūrio g. rekonstravimas</t>
  </si>
  <si>
    <t>Taikos pr. nuo Sausios 15-osios g. iki Kauno g. rekonstravimas</t>
  </si>
  <si>
    <t>Pamario gatvės rekonstravimas</t>
  </si>
  <si>
    <t>SB(L)</t>
  </si>
  <si>
    <t>Strateginis tikslas 02. Kurti mieste patrauklią, švarią ir saugią gyvenamąją aplinką</t>
  </si>
  <si>
    <t>2016-ųjų metų lėšų projektas</t>
  </si>
  <si>
    <t>2016-ųjų m. lėšų poreikis</t>
  </si>
  <si>
    <t>2016-ieji metai</t>
  </si>
  <si>
    <t>Miesto gatvių saugaus eismo priemonių eksploatacija ir įrengimas</t>
  </si>
  <si>
    <t>Miesto gatvių ženklinimas</t>
  </si>
  <si>
    <t>Prižiūrima žvyruotos dangos, ha</t>
  </si>
  <si>
    <t>Maršrutų skaičius, vnt.</t>
  </si>
  <si>
    <t>Eksploatuojama prietaisų, vnt.</t>
  </si>
  <si>
    <t>SB(VR)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</si>
  <si>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</si>
  <si>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Bendri KVJUD ir miesto projektai:</t>
  </si>
  <si>
    <t>SB(VRL)</t>
  </si>
  <si>
    <r>
      <t xml:space="preserve">Vietinių rinkliavų likučio lėšos </t>
    </r>
    <r>
      <rPr>
        <b/>
        <sz val="10"/>
        <rFont val="Times New Roman"/>
        <family val="1"/>
        <charset val="186"/>
      </rPr>
      <t>SB(VRL)</t>
    </r>
  </si>
  <si>
    <t>P7</t>
  </si>
  <si>
    <t>P2.1.2.4</t>
  </si>
  <si>
    <t>P2.1.2.9</t>
  </si>
  <si>
    <t>P2.1.2.2</t>
  </si>
  <si>
    <r>
      <t>Savivaldybės privatizavimo fondo lėšos</t>
    </r>
    <r>
      <rPr>
        <b/>
        <sz val="10"/>
        <rFont val="Times New Roman"/>
        <family val="1"/>
        <charset val="186"/>
      </rPr>
      <t xml:space="preserve"> PF</t>
    </r>
  </si>
  <si>
    <t>P9</t>
  </si>
  <si>
    <t>Tilto per Danės upę Pilies gatvėje, Klaipėdoje, kapitalinis remontas</t>
  </si>
  <si>
    <t>Topografinių nuotraukų, išpildomųjų geodezinių nuotraukų įsigijimas, statinių projektų ekspertizių bei kitos inžinerinės paslaugos</t>
  </si>
  <si>
    <t>Nuostolių dėl keleivių vežimo vietinio ir priemiestinio reguliaraus susisiekimo autobusų maršrutais kompensavimas</t>
  </si>
  <si>
    <t xml:space="preserve"> - vežėjams už lengvatas turinčių keleivių vežimą</t>
  </si>
  <si>
    <t xml:space="preserve"> - moksleiviams</t>
  </si>
  <si>
    <t xml:space="preserve"> - profesinių mokyklų moksleiviams</t>
  </si>
  <si>
    <t>Eksploatuojama eismo reguliavimo priemonių, tūkst. vnt. (sudaro 65 % visų priemonių)</t>
  </si>
  <si>
    <t>Įrengta ir pakeista informacinių ženklų, tūkst. vnt.</t>
  </si>
  <si>
    <t>Švyturio gatvės rekonstravimo projekto parengimas ir įgyvendinimas (I etapas – nuo Naujosios Uosto g. iki Malūnininkų g.)</t>
  </si>
  <si>
    <t>Parengtas techninis projektas, vnt.
Atlikti gatvės (600 m) ir žiedinės sankryžos rekonstravimo darbai. 
Užbaigtumas, proc.</t>
  </si>
  <si>
    <t>2015-ųjų metų asignavimų planas</t>
  </si>
  <si>
    <t>2017-ųjų metų lėšų projektas</t>
  </si>
  <si>
    <t>2017-ieji metai</t>
  </si>
  <si>
    <t>2017-ųjų m. lėšų poreikis</t>
  </si>
  <si>
    <t>Suženklinta gatvių, ha</t>
  </si>
  <si>
    <t>Automobilių aikštelių (rinkliavai) įrengimas, sk.</t>
  </si>
  <si>
    <t>Įrengta kelio ženklų (rinkliavai), autobusų stotelėms, sk.</t>
  </si>
  <si>
    <t>Eksploatuojama greičio matuoklių, vnt.</t>
  </si>
  <si>
    <r>
      <t xml:space="preserve">Kombinuotų kelionių jungčių (PARK&amp;RIDE) įrengimas </t>
    </r>
    <r>
      <rPr>
        <sz val="10"/>
        <rFont val="Times New Roman"/>
        <family val="1"/>
        <charset val="186"/>
      </rPr>
      <t>(šiaurinėje miesto dalyje)</t>
    </r>
  </si>
  <si>
    <t>Kompensuota bilietų mokykloms, vnt.</t>
  </si>
  <si>
    <t>Kompensuota bilietų profesinėms mokykloms, vnt.</t>
  </si>
  <si>
    <t>Parengtas paviljono su aikštele techninis projektas, vnt.</t>
  </si>
  <si>
    <t>Atliktas paviljono statybos I etapas, proc.</t>
  </si>
  <si>
    <t>Įrengti elektromobilių greito įkrovimo įrenginiai, vnt.</t>
  </si>
  <si>
    <t>Įrengta viešojo transporto švieslentė, vnt.</t>
  </si>
  <si>
    <t>15,8</t>
  </si>
  <si>
    <t>6,7</t>
  </si>
  <si>
    <t>1,8</t>
  </si>
  <si>
    <t>Ištisinio asfaltbetonio dangos įrengimas miesto gatvėse:</t>
  </si>
  <si>
    <t>Įsigyta kelio vaizdo (esamų eismo saugumo priemonių įkėlimas į sistemą) internetinė programa, vnt.</t>
  </si>
  <si>
    <t>Medžiagų tyrimas ir kontroliniai bandymai</t>
  </si>
  <si>
    <t>Įrengta neregių vedimo sistemos priemonių, vnt.</t>
  </si>
  <si>
    <t>3</t>
  </si>
  <si>
    <t>1/1</t>
  </si>
  <si>
    <t>Atlikta gatvės (366 m)  rekonstrukcija (II etapas). Užbaigtumas, proc.</t>
  </si>
  <si>
    <t>2.1.2.14</t>
  </si>
  <si>
    <t>Laikino tilto per Danės upę įrengimas ir priežiūra</t>
  </si>
  <si>
    <t>Įrengtas laikinas tiltas per Danės upę, vnt.</t>
  </si>
  <si>
    <t>Rekonstruotos gatvės: Akmenų (350 m ), Smėlio (1000 m). Užbaigtumas, proc.</t>
  </si>
  <si>
    <t xml:space="preserve">Tauralaukio gyvenvietės gatvių (Akmenų g., Smėlio g., Vėjo g., Debesų g., Žvaigždžių g.) rekonstravimas </t>
  </si>
  <si>
    <t>Rekonstruotos Labrenciškių ir M. Jankaus gatvės. Užbaigtumas, proc.</t>
  </si>
  <si>
    <t>Parengtas technins projektas, vnt.</t>
  </si>
  <si>
    <t>Parengtas techn. projektas, vnt.</t>
  </si>
  <si>
    <t>Atliekami gatvių dangų, konstruktyvo ir betoninių gaminių kontroliniai bandymai, proc.</t>
  </si>
  <si>
    <t>Parengtas techninis projektas, vnt.
Rekonstruota gatvė (4600 m). Užbaigtumas proc.</t>
  </si>
  <si>
    <t>2.1.2.11</t>
  </si>
  <si>
    <t>2.1.2.15</t>
  </si>
  <si>
    <t>2.1.2.13</t>
  </si>
  <si>
    <t>2.1.2.2</t>
  </si>
  <si>
    <t>Parengtas techn. projektas, vnt.
Tiesiamos gatvės ilgis (500 m).
Užbaigtumas, proc.</t>
  </si>
  <si>
    <t>2.1.2.12</t>
  </si>
  <si>
    <t>Veterinarijos gatvės rekonstravimas</t>
  </si>
  <si>
    <t>Savanorių g. rekonstravimas</t>
  </si>
  <si>
    <t>P2.1.2.10</t>
  </si>
  <si>
    <t xml:space="preserve">Parengtas techninis projektas, vnt. 
</t>
  </si>
  <si>
    <t xml:space="preserve">Savivaldybės biudžetas, iš jo: </t>
  </si>
  <si>
    <t>08</t>
  </si>
  <si>
    <t>Parengtos tecninės sąlygos, vnt.</t>
  </si>
  <si>
    <t>Automobilių laikymo aikštelių įrengimas:</t>
  </si>
  <si>
    <t xml:space="preserve"> 2015–2017 M. KLAIPĖDOS MIESTO SAVIVALDYBĖS</t>
  </si>
  <si>
    <t>1
100</t>
  </si>
  <si>
    <t>Suremontuotų kiemų ir privažiavimo kelių, skaičius</t>
  </si>
  <si>
    <t>Eismo srautų reguliavimo techninės  dokumentacijos parengimas:</t>
  </si>
  <si>
    <t>2015 m. asignavimų planas</t>
  </si>
  <si>
    <t>Atlikti žvalgomieji archeologiniai tyrimai, proc.</t>
  </si>
  <si>
    <t xml:space="preserve">Parengtas techninis projektas, vnt. </t>
  </si>
  <si>
    <t>Bastionų g. ir naujo tilto su pakeliamu mechanizmu per Danę statyba ir prieigų sutvarkymas šiaurinėje Danės pakrantėje:</t>
  </si>
  <si>
    <t>Danės g. rekonstravimo (siekiant racionaliai suplanuoti jungtis su Bastionų g. ir nauju tiltu per Danės upę) priešprojektinių sprendinių parengimas</t>
  </si>
  <si>
    <t>Tomo gatvės rekonstravimas</t>
  </si>
  <si>
    <t>Stadiono g. ruožo tarp Malūnininkų g. 13 ir Stadiono g. 5 remontas</t>
  </si>
  <si>
    <t>Klaipėdos g. ruožo tarp Uosių ir Virkučių g. kapitalinis remontas</t>
  </si>
  <si>
    <t>Dailidžių g. akligatvio kapitalinis remontas</t>
  </si>
  <si>
    <t>Atlikti privažiavimo kelio tiesimo darbai, proc.</t>
  </si>
  <si>
    <t>Parengti priešprojektiniai sprendiniai, vnt.</t>
  </si>
  <si>
    <t>Parengtas techninis projektas, vnt.
Išasfaltuota 300 m gatvės su pėsčiųjų ir dviračių takais, proc.</t>
  </si>
  <si>
    <t>Parengtas techninis projektas, vnt.
Išasfaltuota 200 m gatvės, proc.</t>
  </si>
  <si>
    <t>Parengtas techninis projektas, vnt.
Rekonstruota gatvė (300 m ).
Užbaigtumas, proc.</t>
  </si>
  <si>
    <t>Parengtas techninis projektas, vnt.
Išasfaltuota 75 m gatvės, proc.</t>
  </si>
  <si>
    <t>Parengtas techninis projektas, vnt. Rekonstruota gatvė (800 m).
Užbaigtumas proc.</t>
  </si>
  <si>
    <t>Parengtas techninis projektas, vnt. 
Atlikta gatvės  (1280 m) rekonstrukcija.  Užbaigtumas, proc.</t>
  </si>
  <si>
    <t>Parengtas II etapo techninis projektas, vnt.</t>
  </si>
  <si>
    <t>I etape nutiestos gatvės ilgis (571 m). Užbaigtumas, proc.</t>
  </si>
  <si>
    <t xml:space="preserve">Remontuojama tilto ilgis – 37,4 m.  
Užbaigtumas, proc. </t>
  </si>
  <si>
    <t>techninio projekto parengimas (iki 2017 m.)</t>
  </si>
  <si>
    <t>Atlikta gatvės  (130 m) rekonstrukcija.  Užbaigtumas, proc.</t>
  </si>
  <si>
    <t>P2 .1.2.3</t>
  </si>
  <si>
    <t>Planas</t>
  </si>
  <si>
    <t>Eur</t>
  </si>
  <si>
    <t>Rekonstruotos kvartalo gatvės – 653 m: Upelio g. (212,0 m), Skirvytės g. (288,9 m), Dusetų g. (152,1 m). Užbaigtumas, proc.</t>
  </si>
  <si>
    <t>Patikslintas detalusis planas, vnt. / patikslintas tech. projektas, vnt.</t>
  </si>
  <si>
    <r>
      <t>Automobilių aikštelių (rinkliavai) horizontalus ženklinimas, m</t>
    </r>
    <r>
      <rPr>
        <sz val="10"/>
        <rFont val="Calibri"/>
        <family val="2"/>
        <charset val="186"/>
      </rPr>
      <t>²</t>
    </r>
  </si>
  <si>
    <t>statybos darbai (planuojama pradžia – 2018 m.)</t>
  </si>
  <si>
    <t xml:space="preserve">Naujo įvažiuojamojo kelio (Priešpilio g.) į Piliavietę ir kruizinių laivų terminalą tiesimas  </t>
  </si>
  <si>
    <t>Dubliuojančios gatvės nuo Šiltnamių g. iki Klaipėdos g. su pėsčiųjų ir dviračių taku ir įvažiuojamaisiais keliais į Liepojos g. techninio projekto parengimas</t>
  </si>
  <si>
    <t>Šilutės plento rekonstravimas: (I etapas – nuo Tilžės g. iki Kauno g.; II etapas – nuo Kauno g. iki Dubysos g.)</t>
  </si>
  <si>
    <t>Labrenciškių g., M. Jankaus g. rekonstravimas bei naujo kelio nuo M. Jankaus g.  iki Pamario g. tiesimas</t>
  </si>
  <si>
    <t>Rytų ir vakarų krypties gatvių tinklo modernizavimas:</t>
  </si>
  <si>
    <t>Joniškės g. rekonstravimas (II etapas – nuo Klemiškės g. iki Liepų g., Šienpjovių g.)</t>
  </si>
  <si>
    <t>Statybininkų prospekto tęsinio tiesimas nuo Šilutės pl. per LEZ teritoriją iki 141 kelio: I etapas – Lypkių gatvės tiesimas</t>
  </si>
  <si>
    <t>Pietinės jungties tarp Klaipėdos valstybinio jūrų uosto ir IXB transporto koridoriaus techninės dokumentacijos parengimas</t>
  </si>
  <si>
    <t>Nuostolingų maršrutų subsidijavimas priemiesčio maršrutus aptarnaujantiems vežėjams (s. b. „Dituva“, s. b. „Tolupis“, s. b. „Vaiteliai“–„Rasa“)</t>
  </si>
  <si>
    <r>
      <rPr>
        <b/>
        <sz val="10"/>
        <rFont val="Times New Roman"/>
        <family val="1"/>
        <charset val="186"/>
      </rPr>
      <t xml:space="preserve">Neįgaliųjų socialinės integracijos priemonė. </t>
    </r>
    <r>
      <rPr>
        <sz val="10"/>
        <rFont val="Times New Roman"/>
        <family val="1"/>
        <charset val="186"/>
      </rPr>
      <t xml:space="preserve"> Neregių vedimo sistemų įrengimas Minijos g. ruože nuo Jūrininkų pr. iki Sulupės g.</t>
    </r>
  </si>
  <si>
    <t>Pėsčiųjų, šaligatvių bei privažiuojamųjų kelių remonto bei įrengimo darbai, automobilių stovėjimo vietų įrengimas</t>
  </si>
  <si>
    <t>Privažiuojamojo kelio prie pastato Debreceno 48 g. tiesimas</t>
  </si>
  <si>
    <t>Saugaus miesto susisiekimo infrastruktūros objektų priežiūros ir įrengimo darbų atlikimas</t>
  </si>
  <si>
    <t>Įrengta automobilių aikštelių kt. miesto dalyse, sk.</t>
  </si>
  <si>
    <t>Įvažiavimo iš Lypkių g. į kelią Nr. 141 įrengimas</t>
  </si>
  <si>
    <t>Įrengtas įvažiavimas, proc.</t>
  </si>
  <si>
    <t>Siūlomas keisti 2015-ųjų metų asignavimų planas</t>
  </si>
  <si>
    <t>Skirtumas</t>
  </si>
  <si>
    <t>Centrinio Klaipėdos valstybinio jūrų uosto įvado jungties  modernizavimas: Baltijos prospekto ir Minijos gatvės sankryžos rekonstrukcija (I etapas)</t>
  </si>
  <si>
    <t>Rekonstruota sankryža  (atlikti I etapo darbai). Užbaigtumas, proc.</t>
  </si>
  <si>
    <t>Neeksplotuojamų dviejų požeminių perėjų Šilutės pl. kapitalinis remontas</t>
  </si>
  <si>
    <t>Automobilių stovėjimo aikštelės teritorijoje Pilies g. 2A įrengimas</t>
  </si>
  <si>
    <t>SB(ŽPL)</t>
  </si>
  <si>
    <r>
      <t xml:space="preserve">Žemės pardavimų likučio lėšos </t>
    </r>
    <r>
      <rPr>
        <b/>
        <sz val="10"/>
        <rFont val="Times New Roman"/>
        <family val="1"/>
        <charset val="186"/>
      </rPr>
      <t>SB(ŽPL)</t>
    </r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</si>
  <si>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>SB(L)</t>
    </r>
  </si>
  <si>
    <t>Parengtas techninis projektas, vnt.                 Atlikti kapitalinio remonto darbai, proc.</t>
  </si>
  <si>
    <t>Įrengta šviesaforais reguliuojamų perėjų, vnt.</t>
  </si>
  <si>
    <t>Tilžės g. nuo Šilutės pl. iki geležinkelio pervažos rekonstravimas, pertvarkant  žiedinę Mokyklos g. ir Šilutės pl. sankryžą (audito atlikimas)</t>
  </si>
  <si>
    <t>Atlikta gatvės (280 m) rekonstrukcija (I etapas). Užbaigtumas, proc.</t>
  </si>
  <si>
    <t xml:space="preserve">Rokiškio g. rekonstravimas </t>
  </si>
  <si>
    <r>
      <t>Rokiškio g. rekonstravimas</t>
    </r>
    <r>
      <rPr>
        <sz val="10"/>
        <color rgb="FFFF0000"/>
        <rFont val="Times New Roman"/>
        <family val="1"/>
        <charset val="186"/>
      </rPr>
      <t xml:space="preserve"> </t>
    </r>
  </si>
  <si>
    <t>Statybininkų prospekto tęsinio tiesimas nuo Šilutės pl. per LEZ teritoriją iki 141 kelio: II etapas – Lypkių gatvės ruožo nuo Šilutės plento tiesimas</t>
  </si>
  <si>
    <t xml:space="preserve">Lyginamasis variantas </t>
  </si>
  <si>
    <t>Paklotų oro linijų požeminiais kabeliais. Užbaigtumas proc.</t>
  </si>
  <si>
    <t>Paruošta detalių eismo matavimų ir eismo organizavimo planų sankryžuose, vnt;</t>
  </si>
  <si>
    <t xml:space="preserve">Pakeista šviesoforų ir valdiklių sankryžuose, vnt. </t>
  </si>
  <si>
    <t xml:space="preserve">Įrengta monitoringo sistema sankryžuose, vnt. </t>
  </si>
  <si>
    <t>SB(KPP)</t>
  </si>
  <si>
    <t>2</t>
  </si>
  <si>
    <t>Įrengta saugumo salelė, vnt.</t>
  </si>
  <si>
    <t>17</t>
  </si>
  <si>
    <r>
      <t xml:space="preserve">Kelių priežiūros ir plėtros programos lėšos </t>
    </r>
    <r>
      <rPr>
        <b/>
        <sz val="10"/>
        <rFont val="Times New Roman"/>
        <family val="1"/>
        <charset val="186"/>
      </rPr>
      <t>SB</t>
    </r>
    <r>
      <rPr>
        <sz val="10"/>
        <rFont val="Times New Roman"/>
        <family val="1"/>
        <charset val="186"/>
      </rPr>
      <t>(</t>
    </r>
    <r>
      <rPr>
        <b/>
        <sz val="10"/>
        <rFont val="Times New Roman"/>
        <family val="1"/>
        <charset val="186"/>
      </rPr>
      <t>KPP)</t>
    </r>
  </si>
  <si>
    <t>Paklota ištisinio asfaltbetonio dangos, (ha)</t>
  </si>
  <si>
    <t>Smiltelės g. ruože nuo Šilutės plento iki Taikos prospekto;</t>
  </si>
  <si>
    <t>Pilies g. ruože nuo Žvejų g. iki Daržų g;</t>
  </si>
  <si>
    <t>Ištisinio asfaltbetonio dangos remontas :</t>
  </si>
  <si>
    <t xml:space="preserve">Kitų automobilių stovėjimo aikštelių įrengimas </t>
  </si>
  <si>
    <t>Naujosios Uosto g. ruože nuo Naujojo Sodo g. iki Gegužės g.;</t>
  </si>
  <si>
    <t>Šiaurės prospekto ruože nuo Kretingos g. iki P. Lideikio g.</t>
  </si>
  <si>
    <t>Išmaniųjų transporto sistemų valdymo žaliosios bangos principu įgyvendinimas</t>
  </si>
  <si>
    <t>Parengtas investicijų projektas, vnt.</t>
  </si>
  <si>
    <t>Parengtas investicijų projektas, vnt.
Atlikti gatvės (600 m) ir žiedinės sankryžos rekonstravimo darbai. 
Užbaigtumas, proc.</t>
  </si>
  <si>
    <t>Rekonstruota gatvė (1374 m),
Užbaigtumas, proc.</t>
  </si>
  <si>
    <t>Siūlomas keisti 2016-ųjų metų asignavimų planas</t>
  </si>
  <si>
    <t>Įrengta aikštelė, proc.</t>
  </si>
  <si>
    <t>Įrengta naujų apšvietimo atramų su šviestuvais  S. Šimkaus g., vnt.</t>
  </si>
  <si>
    <t>Ištisinio asfaltbetonio dangos remontas:</t>
  </si>
  <si>
    <t>Kiemų ir privažiuojamųjų kelių prie biudžetinių įstaigų sutvarkymas</t>
  </si>
  <si>
    <t>Akmenos-Danės upės vidaus vandens kelio administravimas</t>
  </si>
  <si>
    <t>345544</t>
  </si>
  <si>
    <r>
      <t>Suremontuota Šimkaus g. šaligatvių, tūkst. m</t>
    </r>
    <r>
      <rPr>
        <vertAlign val="superscript"/>
        <sz val="10"/>
        <rFont val="Times New Roman"/>
        <family val="1"/>
        <charset val="186"/>
      </rPr>
      <t>2</t>
    </r>
  </si>
  <si>
    <t>1  100</t>
  </si>
  <si>
    <t>1                100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</si>
</sst>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L_t_-;\-* #,##0.00\ _L_t_-;_-* &quot;-&quot;??\ _L_t_-;_-@_-"/>
    <numFmt numFmtId="164" formatCode="0.0"/>
    <numFmt numFmtId="165" formatCode="#,##0.0"/>
  </numFmts>
  <fonts count="34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</font>
    <font>
      <sz val="10"/>
      <color rgb="FFFF0000"/>
      <name val="Times New Roman"/>
      <family val="1"/>
      <charset val="186"/>
    </font>
    <font>
      <sz val="7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color indexed="81"/>
      <name val="Tahoma"/>
      <family val="2"/>
      <charset val="186"/>
    </font>
    <font>
      <sz val="10"/>
      <color indexed="81"/>
      <name val="Tahoma"/>
      <family val="2"/>
      <charset val="186"/>
    </font>
    <font>
      <b/>
      <sz val="7"/>
      <name val="Times New Roman"/>
      <family val="1"/>
      <charset val="186"/>
    </font>
    <font>
      <sz val="10"/>
      <name val="Times New Roman"/>
      <family val="1"/>
      <charset val="204"/>
    </font>
    <font>
      <sz val="10"/>
      <name val="Calibri"/>
      <family val="2"/>
      <charset val="186"/>
    </font>
    <font>
      <b/>
      <i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8"/>
      <color indexed="81"/>
      <name val="Tahoma"/>
      <family val="2"/>
      <charset val="186"/>
    </font>
    <font>
      <strike/>
      <sz val="10"/>
      <color rgb="FFFF000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0"/>
      <color rgb="FFFF0000"/>
      <name val="Times New Roman"/>
      <family val="1"/>
    </font>
    <font>
      <strike/>
      <sz val="10"/>
      <color rgb="FFFF0000"/>
      <name val="Times New Roman"/>
      <family val="1"/>
    </font>
    <font>
      <sz val="9"/>
      <color rgb="FFFF0000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393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3" fillId="0" borderId="23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horizontal="center" vertical="top" wrapText="1"/>
    </xf>
    <xf numFmtId="165" fontId="3" fillId="0" borderId="26" xfId="0" applyNumberFormat="1" applyFont="1" applyFill="1" applyBorder="1" applyAlignment="1">
      <alignment horizontal="center" vertical="top"/>
    </xf>
    <xf numFmtId="165" fontId="3" fillId="0" borderId="27" xfId="0" applyNumberFormat="1" applyFont="1" applyFill="1" applyBorder="1" applyAlignment="1">
      <alignment horizontal="center" vertical="top"/>
    </xf>
    <xf numFmtId="3" fontId="3" fillId="0" borderId="31" xfId="0" applyNumberFormat="1" applyFont="1" applyFill="1" applyBorder="1" applyAlignment="1">
      <alignment horizontal="center" vertical="top" wrapText="1"/>
    </xf>
    <xf numFmtId="3" fontId="3" fillId="0" borderId="32" xfId="0" applyNumberFormat="1" applyFont="1" applyFill="1" applyBorder="1" applyAlignment="1">
      <alignment horizontal="center" vertical="top" wrapText="1"/>
    </xf>
    <xf numFmtId="0" fontId="3" fillId="2" borderId="33" xfId="0" applyFont="1" applyFill="1" applyBorder="1" applyAlignment="1">
      <alignment horizontal="center" vertical="top" wrapText="1"/>
    </xf>
    <xf numFmtId="0" fontId="3" fillId="2" borderId="34" xfId="0" applyFont="1" applyFill="1" applyBorder="1" applyAlignment="1">
      <alignment horizontal="center" vertical="top" wrapText="1"/>
    </xf>
    <xf numFmtId="0" fontId="3" fillId="0" borderId="35" xfId="0" applyFont="1" applyBorder="1" applyAlignment="1">
      <alignment vertical="top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43" fontId="3" fillId="0" borderId="11" xfId="1" applyFont="1" applyFill="1" applyBorder="1" applyAlignment="1">
      <alignment horizontal="center" vertical="top" wrapText="1"/>
    </xf>
    <xf numFmtId="43" fontId="3" fillId="0" borderId="18" xfId="1" applyFont="1" applyFill="1" applyBorder="1" applyAlignment="1">
      <alignment horizontal="center" vertical="top" wrapText="1"/>
    </xf>
    <xf numFmtId="43" fontId="3" fillId="0" borderId="0" xfId="1" applyFont="1" applyBorder="1" applyAlignment="1">
      <alignment vertical="top"/>
    </xf>
    <xf numFmtId="0" fontId="5" fillId="3" borderId="41" xfId="0" applyFont="1" applyFill="1" applyBorder="1" applyAlignment="1">
      <alignment horizontal="center" vertical="top"/>
    </xf>
    <xf numFmtId="3" fontId="3" fillId="0" borderId="20" xfId="0" applyNumberFormat="1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top" wrapText="1"/>
    </xf>
    <xf numFmtId="3" fontId="3" fillId="0" borderId="26" xfId="0" applyNumberFormat="1" applyFont="1" applyFill="1" applyBorder="1" applyAlignment="1">
      <alignment horizontal="center" vertical="top" wrapText="1"/>
    </xf>
    <xf numFmtId="164" fontId="3" fillId="3" borderId="44" xfId="0" applyNumberFormat="1" applyFont="1" applyFill="1" applyBorder="1" applyAlignment="1">
      <alignment horizontal="right" vertical="top" wrapText="1"/>
    </xf>
    <xf numFmtId="0" fontId="3" fillId="0" borderId="46" xfId="0" applyFont="1" applyBorder="1" applyAlignment="1">
      <alignment vertical="top"/>
    </xf>
    <xf numFmtId="0" fontId="3" fillId="0" borderId="26" xfId="0" applyFont="1" applyBorder="1" applyAlignment="1">
      <alignment vertical="top"/>
    </xf>
    <xf numFmtId="0" fontId="3" fillId="3" borderId="6" xfId="0" applyFont="1" applyFill="1" applyBorder="1" applyAlignment="1">
      <alignment horizontal="center" vertical="top"/>
    </xf>
    <xf numFmtId="0" fontId="3" fillId="0" borderId="41" xfId="0" applyFont="1" applyFill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11" fillId="0" borderId="0" xfId="0" applyFont="1"/>
    <xf numFmtId="3" fontId="3" fillId="3" borderId="20" xfId="0" applyNumberFormat="1" applyFont="1" applyFill="1" applyBorder="1" applyAlignment="1">
      <alignment horizontal="center" vertical="top"/>
    </xf>
    <xf numFmtId="3" fontId="3" fillId="3" borderId="20" xfId="0" applyNumberFormat="1" applyFont="1" applyFill="1" applyBorder="1" applyAlignment="1">
      <alignment horizontal="center" vertical="top" wrapText="1"/>
    </xf>
    <xf numFmtId="3" fontId="3" fillId="3" borderId="29" xfId="0" applyNumberFormat="1" applyFont="1" applyFill="1" applyBorder="1" applyAlignment="1">
      <alignment horizontal="center" vertical="top" wrapText="1"/>
    </xf>
    <xf numFmtId="3" fontId="3" fillId="3" borderId="18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Alignment="1">
      <alignment vertical="top"/>
    </xf>
    <xf numFmtId="0" fontId="3" fillId="0" borderId="27" xfId="0" applyFont="1" applyBorder="1" applyAlignment="1">
      <alignment vertical="top"/>
    </xf>
    <xf numFmtId="164" fontId="3" fillId="0" borderId="0" xfId="0" applyNumberFormat="1" applyFont="1" applyAlignment="1">
      <alignment vertical="top"/>
    </xf>
    <xf numFmtId="49" fontId="5" fillId="2" borderId="53" xfId="0" applyNumberFormat="1" applyFont="1" applyFill="1" applyBorder="1" applyAlignment="1">
      <alignment horizontal="center" vertical="top"/>
    </xf>
    <xf numFmtId="49" fontId="5" fillId="2" borderId="33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164" fontId="5" fillId="0" borderId="38" xfId="0" applyNumberFormat="1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vertical="top"/>
    </xf>
    <xf numFmtId="0" fontId="3" fillId="0" borderId="53" xfId="0" applyFont="1" applyBorder="1" applyAlignment="1">
      <alignment vertical="top"/>
    </xf>
    <xf numFmtId="0" fontId="3" fillId="0" borderId="29" xfId="0" applyFont="1" applyBorder="1" applyAlignment="1">
      <alignment vertical="top"/>
    </xf>
    <xf numFmtId="0" fontId="10" fillId="3" borderId="27" xfId="0" applyFont="1" applyFill="1" applyBorder="1" applyAlignment="1">
      <alignment horizontal="left" vertical="top" wrapText="1"/>
    </xf>
    <xf numFmtId="3" fontId="3" fillId="3" borderId="11" xfId="0" applyNumberFormat="1" applyFont="1" applyFill="1" applyBorder="1" applyAlignment="1">
      <alignment horizontal="center" vertical="top"/>
    </xf>
    <xf numFmtId="3" fontId="3" fillId="3" borderId="18" xfId="0" applyNumberFormat="1" applyFont="1" applyFill="1" applyBorder="1" applyAlignment="1">
      <alignment horizontal="center" vertical="top"/>
    </xf>
    <xf numFmtId="3" fontId="3" fillId="3" borderId="29" xfId="0" applyNumberFormat="1" applyFont="1" applyFill="1" applyBorder="1" applyAlignment="1">
      <alignment horizontal="center" vertical="top"/>
    </xf>
    <xf numFmtId="3" fontId="3" fillId="3" borderId="28" xfId="0" applyNumberFormat="1" applyFont="1" applyFill="1" applyBorder="1" applyAlignment="1">
      <alignment horizontal="center" vertical="top"/>
    </xf>
    <xf numFmtId="3" fontId="3" fillId="3" borderId="21" xfId="0" applyNumberFormat="1" applyFont="1" applyFill="1" applyBorder="1" applyAlignment="1">
      <alignment horizontal="center" vertical="top"/>
    </xf>
    <xf numFmtId="0" fontId="10" fillId="0" borderId="43" xfId="0" applyFont="1" applyFill="1" applyBorder="1" applyAlignment="1">
      <alignment horizontal="left" vertical="top" wrapText="1"/>
    </xf>
    <xf numFmtId="49" fontId="5" fillId="5" borderId="56" xfId="0" applyNumberFormat="1" applyFont="1" applyFill="1" applyBorder="1" applyAlignment="1">
      <alignment horizontal="center" vertical="top"/>
    </xf>
    <xf numFmtId="164" fontId="3" fillId="3" borderId="23" xfId="0" applyNumberFormat="1" applyFont="1" applyFill="1" applyBorder="1" applyAlignment="1">
      <alignment horizontal="right" vertical="top" wrapText="1"/>
    </xf>
    <xf numFmtId="49" fontId="5" fillId="2" borderId="36" xfId="0" applyNumberFormat="1" applyFont="1" applyFill="1" applyBorder="1" applyAlignment="1">
      <alignment horizontal="center" vertical="top"/>
    </xf>
    <xf numFmtId="0" fontId="10" fillId="3" borderId="15" xfId="0" applyFont="1" applyFill="1" applyBorder="1" applyAlignment="1">
      <alignment horizontal="left" vertical="top" wrapText="1"/>
    </xf>
    <xf numFmtId="49" fontId="5" fillId="3" borderId="15" xfId="0" applyNumberFormat="1" applyFont="1" applyFill="1" applyBorder="1" applyAlignment="1">
      <alignment horizontal="center" vertical="top"/>
    </xf>
    <xf numFmtId="165" fontId="3" fillId="0" borderId="20" xfId="0" applyNumberFormat="1" applyFont="1" applyFill="1" applyBorder="1" applyAlignment="1">
      <alignment horizontal="center" vertical="top"/>
    </xf>
    <xf numFmtId="165" fontId="3" fillId="0" borderId="21" xfId="0" applyNumberFormat="1" applyFont="1" applyFill="1" applyBorder="1" applyAlignment="1">
      <alignment horizontal="center" vertical="top"/>
    </xf>
    <xf numFmtId="3" fontId="3" fillId="3" borderId="11" xfId="0" applyNumberFormat="1" applyFont="1" applyFill="1" applyBorder="1" applyAlignment="1">
      <alignment horizontal="center" vertical="top" wrapText="1"/>
    </xf>
    <xf numFmtId="0" fontId="3" fillId="7" borderId="12" xfId="0" applyFont="1" applyFill="1" applyBorder="1" applyAlignment="1">
      <alignment vertical="top" wrapText="1"/>
    </xf>
    <xf numFmtId="3" fontId="3" fillId="7" borderId="13" xfId="0" applyNumberFormat="1" applyFont="1" applyFill="1" applyBorder="1" applyAlignment="1">
      <alignment horizontal="center" vertical="top"/>
    </xf>
    <xf numFmtId="3" fontId="3" fillId="7" borderId="15" xfId="0" applyNumberFormat="1" applyFont="1" applyFill="1" applyBorder="1" applyAlignment="1">
      <alignment horizontal="center" vertical="top"/>
    </xf>
    <xf numFmtId="3" fontId="3" fillId="7" borderId="11" xfId="0" applyNumberFormat="1" applyFont="1" applyFill="1" applyBorder="1" applyAlignment="1">
      <alignment horizontal="center" vertical="top"/>
    </xf>
    <xf numFmtId="3" fontId="3" fillId="7" borderId="18" xfId="0" applyNumberFormat="1" applyFont="1" applyFill="1" applyBorder="1" applyAlignment="1">
      <alignment horizontal="center" vertical="top"/>
    </xf>
    <xf numFmtId="0" fontId="3" fillId="7" borderId="9" xfId="0" applyFont="1" applyFill="1" applyBorder="1" applyAlignment="1">
      <alignment vertical="top" wrapText="1"/>
    </xf>
    <xf numFmtId="3" fontId="3" fillId="7" borderId="31" xfId="0" applyNumberFormat="1" applyFont="1" applyFill="1" applyBorder="1" applyAlignment="1">
      <alignment horizontal="center" vertical="top"/>
    </xf>
    <xf numFmtId="3" fontId="3" fillId="7" borderId="32" xfId="0" applyNumberFormat="1" applyFont="1" applyFill="1" applyBorder="1" applyAlignment="1">
      <alignment horizontal="center" vertical="top"/>
    </xf>
    <xf numFmtId="0" fontId="3" fillId="3" borderId="71" xfId="0" applyFont="1" applyFill="1" applyBorder="1" applyAlignment="1">
      <alignment horizontal="center" vertical="top"/>
    </xf>
    <xf numFmtId="0" fontId="3" fillId="3" borderId="35" xfId="0" applyFont="1" applyFill="1" applyBorder="1" applyAlignment="1">
      <alignment horizontal="center" vertical="top"/>
    </xf>
    <xf numFmtId="49" fontId="5" fillId="3" borderId="43" xfId="0" applyNumberFormat="1" applyFont="1" applyFill="1" applyBorder="1" applyAlignment="1">
      <alignment horizontal="center" vertical="top"/>
    </xf>
    <xf numFmtId="0" fontId="3" fillId="0" borderId="70" xfId="0" applyFont="1" applyFill="1" applyBorder="1" applyAlignment="1">
      <alignment horizontal="center" vertical="top"/>
    </xf>
    <xf numFmtId="0" fontId="3" fillId="0" borderId="46" xfId="0" applyFont="1" applyFill="1" applyBorder="1" applyAlignment="1">
      <alignment horizontal="center" vertical="top"/>
    </xf>
    <xf numFmtId="0" fontId="3" fillId="0" borderId="67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/>
    </xf>
    <xf numFmtId="3" fontId="3" fillId="0" borderId="31" xfId="0" applyNumberFormat="1" applyFont="1" applyFill="1" applyBorder="1" applyAlignment="1">
      <alignment horizontal="center" vertical="top"/>
    </xf>
    <xf numFmtId="3" fontId="3" fillId="0" borderId="32" xfId="0" applyNumberFormat="1" applyFont="1" applyFill="1" applyBorder="1" applyAlignment="1">
      <alignment horizontal="center" vertical="top"/>
    </xf>
    <xf numFmtId="164" fontId="3" fillId="8" borderId="37" xfId="0" applyNumberFormat="1" applyFont="1" applyFill="1" applyBorder="1" applyAlignment="1">
      <alignment horizontal="right" vertical="top"/>
    </xf>
    <xf numFmtId="164" fontId="3" fillId="8" borderId="1" xfId="0" applyNumberFormat="1" applyFont="1" applyFill="1" applyBorder="1" applyAlignment="1">
      <alignment horizontal="right" vertical="top"/>
    </xf>
    <xf numFmtId="0" fontId="5" fillId="8" borderId="61" xfId="0" applyFont="1" applyFill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5" fillId="8" borderId="65" xfId="0" applyFont="1" applyFill="1" applyBorder="1" applyAlignment="1">
      <alignment horizontal="center" vertical="top"/>
    </xf>
    <xf numFmtId="0" fontId="3" fillId="0" borderId="33" xfId="0" applyFont="1" applyBorder="1" applyAlignment="1">
      <alignment vertical="top"/>
    </xf>
    <xf numFmtId="0" fontId="3" fillId="0" borderId="33" xfId="0" applyFont="1" applyBorder="1" applyAlignment="1">
      <alignment vertical="center"/>
    </xf>
    <xf numFmtId="0" fontId="5" fillId="0" borderId="33" xfId="0" applyNumberFormat="1" applyFont="1" applyBorder="1" applyAlignment="1">
      <alignment vertical="top"/>
    </xf>
    <xf numFmtId="0" fontId="9" fillId="0" borderId="11" xfId="0" applyFont="1" applyFill="1" applyBorder="1" applyAlignment="1">
      <alignment horizontal="center" vertical="top" wrapText="1"/>
    </xf>
    <xf numFmtId="0" fontId="3" fillId="0" borderId="36" xfId="0" applyFont="1" applyBorder="1" applyAlignment="1">
      <alignment vertical="top"/>
    </xf>
    <xf numFmtId="0" fontId="3" fillId="0" borderId="30" xfId="0" applyFont="1" applyBorder="1" applyAlignment="1">
      <alignment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49" fontId="5" fillId="9" borderId="16" xfId="0" applyNumberFormat="1" applyFont="1" applyFill="1" applyBorder="1" applyAlignment="1">
      <alignment horizontal="center" vertical="top" wrapText="1"/>
    </xf>
    <xf numFmtId="49" fontId="5" fillId="9" borderId="16" xfId="0" applyNumberFormat="1" applyFont="1" applyFill="1" applyBorder="1" applyAlignment="1">
      <alignment horizontal="center" vertical="top"/>
    </xf>
    <xf numFmtId="49" fontId="5" fillId="9" borderId="56" xfId="0" applyNumberFormat="1" applyFont="1" applyFill="1" applyBorder="1" applyAlignment="1">
      <alignment horizontal="center" vertical="top"/>
    </xf>
    <xf numFmtId="49" fontId="5" fillId="9" borderId="57" xfId="0" applyNumberFormat="1" applyFont="1" applyFill="1" applyBorder="1" applyAlignment="1">
      <alignment horizontal="center" vertical="top"/>
    </xf>
    <xf numFmtId="0" fontId="3" fillId="7" borderId="30" xfId="0" applyFont="1" applyFill="1" applyBorder="1" applyAlignment="1">
      <alignment vertical="top" wrapText="1"/>
    </xf>
    <xf numFmtId="3" fontId="3" fillId="7" borderId="29" xfId="0" applyNumberFormat="1" applyFont="1" applyFill="1" applyBorder="1" applyAlignment="1">
      <alignment horizontal="center" vertical="top"/>
    </xf>
    <xf numFmtId="3" fontId="3" fillId="7" borderId="28" xfId="0" applyNumberFormat="1" applyFont="1" applyFill="1" applyBorder="1" applyAlignment="1">
      <alignment horizontal="center" vertical="top"/>
    </xf>
    <xf numFmtId="49" fontId="3" fillId="0" borderId="11" xfId="0" applyNumberFormat="1" applyFont="1" applyFill="1" applyBorder="1" applyAlignment="1">
      <alignment horizontal="center" vertical="top"/>
    </xf>
    <xf numFmtId="49" fontId="3" fillId="0" borderId="18" xfId="0" applyNumberFormat="1" applyFont="1" applyFill="1" applyBorder="1" applyAlignment="1">
      <alignment horizontal="center" vertical="top"/>
    </xf>
    <xf numFmtId="0" fontId="3" fillId="7" borderId="24" xfId="0" applyFont="1" applyFill="1" applyBorder="1" applyAlignment="1">
      <alignment horizontal="center" vertical="top"/>
    </xf>
    <xf numFmtId="0" fontId="3" fillId="0" borderId="80" xfId="0" applyFont="1" applyFill="1" applyBorder="1" applyAlignment="1">
      <alignment horizontal="center" vertical="top"/>
    </xf>
    <xf numFmtId="0" fontId="3" fillId="0" borderId="86" xfId="0" applyFont="1" applyFill="1" applyBorder="1" applyAlignment="1">
      <alignment vertical="top" wrapText="1"/>
    </xf>
    <xf numFmtId="3" fontId="3" fillId="0" borderId="87" xfId="0" applyNumberFormat="1" applyFont="1" applyFill="1" applyBorder="1" applyAlignment="1">
      <alignment horizontal="center" vertical="center"/>
    </xf>
    <xf numFmtId="3" fontId="3" fillId="0" borderId="88" xfId="0" applyNumberFormat="1" applyFont="1" applyFill="1" applyBorder="1" applyAlignment="1">
      <alignment horizontal="center" vertical="center"/>
    </xf>
    <xf numFmtId="3" fontId="3" fillId="0" borderId="87" xfId="0" applyNumberFormat="1" applyFont="1" applyFill="1" applyBorder="1" applyAlignment="1">
      <alignment horizontal="center" vertical="top"/>
    </xf>
    <xf numFmtId="3" fontId="3" fillId="0" borderId="88" xfId="0" applyNumberFormat="1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165" fontId="3" fillId="0" borderId="13" xfId="0" applyNumberFormat="1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left" vertical="top" wrapText="1"/>
    </xf>
    <xf numFmtId="165" fontId="3" fillId="0" borderId="15" xfId="0" applyNumberFormat="1" applyFont="1" applyFill="1" applyBorder="1" applyAlignment="1">
      <alignment horizontal="center" vertical="top"/>
    </xf>
    <xf numFmtId="0" fontId="11" fillId="0" borderId="9" xfId="0" applyFont="1" applyBorder="1" applyAlignment="1">
      <alignment horizontal="center" vertical="top" textRotation="90" wrapText="1"/>
    </xf>
    <xf numFmtId="0" fontId="3" fillId="7" borderId="23" xfId="0" applyFont="1" applyFill="1" applyBorder="1" applyAlignment="1">
      <alignment horizontal="center" vertical="top"/>
    </xf>
    <xf numFmtId="0" fontId="5" fillId="0" borderId="16" xfId="0" applyFont="1" applyFill="1" applyBorder="1" applyAlignment="1">
      <alignment horizontal="center" vertical="top" wrapText="1"/>
    </xf>
    <xf numFmtId="0" fontId="3" fillId="7" borderId="29" xfId="0" applyNumberFormat="1" applyFont="1" applyFill="1" applyBorder="1" applyAlignment="1">
      <alignment horizontal="center" vertical="top"/>
    </xf>
    <xf numFmtId="3" fontId="3" fillId="7" borderId="20" xfId="0" applyNumberFormat="1" applyFont="1" applyFill="1" applyBorder="1" applyAlignment="1">
      <alignment horizontal="center" vertical="top"/>
    </xf>
    <xf numFmtId="3" fontId="3" fillId="7" borderId="21" xfId="0" applyNumberFormat="1" applyFont="1" applyFill="1" applyBorder="1" applyAlignment="1">
      <alignment horizontal="center" vertical="top"/>
    </xf>
    <xf numFmtId="3" fontId="3" fillId="7" borderId="1" xfId="0" applyNumberFormat="1" applyFont="1" applyFill="1" applyBorder="1" applyAlignment="1">
      <alignment horizontal="center" vertical="top"/>
    </xf>
    <xf numFmtId="0" fontId="3" fillId="0" borderId="98" xfId="0" applyFont="1" applyFill="1" applyBorder="1" applyAlignment="1">
      <alignment horizontal="center" vertical="top"/>
    </xf>
    <xf numFmtId="49" fontId="5" fillId="0" borderId="50" xfId="0" applyNumberFormat="1" applyFont="1" applyBorder="1" applyAlignment="1">
      <alignment horizontal="center" vertical="top" wrapText="1"/>
    </xf>
    <xf numFmtId="49" fontId="5" fillId="0" borderId="43" xfId="0" applyNumberFormat="1" applyFont="1" applyBorder="1" applyAlignment="1">
      <alignment horizontal="center" vertical="top" wrapText="1"/>
    </xf>
    <xf numFmtId="0" fontId="3" fillId="0" borderId="71" xfId="0" applyFont="1" applyFill="1" applyBorder="1" applyAlignment="1">
      <alignment horizontal="center" vertical="center" textRotation="90" wrapText="1"/>
    </xf>
    <xf numFmtId="49" fontId="5" fillId="0" borderId="15" xfId="0" applyNumberFormat="1" applyFont="1" applyBorder="1" applyAlignment="1">
      <alignment horizontal="center" vertical="top"/>
    </xf>
    <xf numFmtId="49" fontId="3" fillId="0" borderId="20" xfId="0" applyNumberFormat="1" applyFont="1" applyFill="1" applyBorder="1" applyAlignment="1">
      <alignment horizontal="center" vertical="top"/>
    </xf>
    <xf numFmtId="49" fontId="3" fillId="0" borderId="21" xfId="0" applyNumberFormat="1" applyFont="1" applyFill="1" applyBorder="1" applyAlignment="1">
      <alignment horizontal="center" vertical="top"/>
    </xf>
    <xf numFmtId="49" fontId="3" fillId="0" borderId="29" xfId="0" applyNumberFormat="1" applyFont="1" applyFill="1" applyBorder="1" applyAlignment="1">
      <alignment horizontal="center" vertical="top"/>
    </xf>
    <xf numFmtId="49" fontId="3" fillId="0" borderId="28" xfId="0" applyNumberFormat="1" applyFont="1" applyFill="1" applyBorder="1" applyAlignment="1">
      <alignment horizontal="center" vertical="top"/>
    </xf>
    <xf numFmtId="0" fontId="3" fillId="0" borderId="93" xfId="0" applyFont="1" applyFill="1" applyBorder="1" applyAlignment="1">
      <alignment horizontal="left" vertical="top" wrapText="1"/>
    </xf>
    <xf numFmtId="49" fontId="3" fillId="0" borderId="94" xfId="0" applyNumberFormat="1" applyFont="1" applyFill="1" applyBorder="1" applyAlignment="1">
      <alignment horizontal="center" vertical="top"/>
    </xf>
    <xf numFmtId="49" fontId="3" fillId="0" borderId="95" xfId="0" applyNumberFormat="1" applyFont="1" applyFill="1" applyBorder="1" applyAlignment="1">
      <alignment horizontal="center" vertical="top"/>
    </xf>
    <xf numFmtId="0" fontId="5" fillId="3" borderId="15" xfId="0" applyFont="1" applyFill="1" applyBorder="1" applyAlignment="1">
      <alignment vertical="top" wrapText="1"/>
    </xf>
    <xf numFmtId="0" fontId="3" fillId="0" borderId="54" xfId="0" applyFont="1" applyFill="1" applyBorder="1" applyAlignment="1">
      <alignment vertical="top" wrapText="1"/>
    </xf>
    <xf numFmtId="3" fontId="3" fillId="7" borderId="94" xfId="0" applyNumberFormat="1" applyFont="1" applyFill="1" applyBorder="1" applyAlignment="1">
      <alignment horizontal="center" vertical="top"/>
    </xf>
    <xf numFmtId="3" fontId="3" fillId="7" borderId="95" xfId="0" applyNumberFormat="1" applyFont="1" applyFill="1" applyBorder="1" applyAlignment="1">
      <alignment horizontal="center" vertical="top"/>
    </xf>
    <xf numFmtId="0" fontId="3" fillId="7" borderId="81" xfId="0" applyFont="1" applyFill="1" applyBorder="1" applyAlignment="1">
      <alignment horizontal="left" vertical="top" wrapText="1"/>
    </xf>
    <xf numFmtId="3" fontId="3" fillId="7" borderId="82" xfId="0" applyNumberFormat="1" applyFont="1" applyFill="1" applyBorder="1" applyAlignment="1">
      <alignment horizontal="center" vertical="top"/>
    </xf>
    <xf numFmtId="3" fontId="3" fillId="7" borderId="84" xfId="0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center" textRotation="90" shrinkToFit="1"/>
    </xf>
    <xf numFmtId="0" fontId="3" fillId="0" borderId="3" xfId="0" applyFont="1" applyBorder="1" applyAlignment="1">
      <alignment horizontal="center" vertical="center" textRotation="90" shrinkToFit="1"/>
    </xf>
    <xf numFmtId="0" fontId="3" fillId="0" borderId="105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vertical="top" wrapText="1"/>
    </xf>
    <xf numFmtId="3" fontId="3" fillId="0" borderId="13" xfId="0" applyNumberFormat="1" applyFont="1" applyFill="1" applyBorder="1" applyAlignment="1">
      <alignment horizontal="center" vertical="top"/>
    </xf>
    <xf numFmtId="3" fontId="3" fillId="0" borderId="15" xfId="0" applyNumberFormat="1" applyFont="1" applyFill="1" applyBorder="1" applyAlignment="1">
      <alignment horizontal="center" vertical="top"/>
    </xf>
    <xf numFmtId="49" fontId="5" fillId="0" borderId="48" xfId="0" applyNumberFormat="1" applyFont="1" applyBorder="1" applyAlignment="1">
      <alignment horizontal="center" vertical="top"/>
    </xf>
    <xf numFmtId="0" fontId="3" fillId="7" borderId="86" xfId="0" applyFont="1" applyFill="1" applyBorder="1" applyAlignment="1">
      <alignment vertical="top" wrapText="1"/>
    </xf>
    <xf numFmtId="3" fontId="3" fillId="7" borderId="109" xfId="0" applyNumberFormat="1" applyFont="1" applyFill="1" applyBorder="1" applyAlignment="1">
      <alignment horizontal="center" vertical="top" wrapText="1"/>
    </xf>
    <xf numFmtId="3" fontId="3" fillId="7" borderId="87" xfId="0" applyNumberFormat="1" applyFont="1" applyFill="1" applyBorder="1" applyAlignment="1">
      <alignment horizontal="center" vertical="top" wrapText="1"/>
    </xf>
    <xf numFmtId="3" fontId="3" fillId="7" borderId="88" xfId="0" applyNumberFormat="1" applyFont="1" applyFill="1" applyBorder="1" applyAlignment="1">
      <alignment horizontal="center" vertical="top" wrapText="1"/>
    </xf>
    <xf numFmtId="3" fontId="3" fillId="0" borderId="13" xfId="0" applyNumberFormat="1" applyFont="1" applyFill="1" applyBorder="1" applyAlignment="1">
      <alignment horizontal="center" vertical="top" wrapText="1"/>
    </xf>
    <xf numFmtId="3" fontId="3" fillId="0" borderId="15" xfId="0" applyNumberFormat="1" applyFont="1" applyFill="1" applyBorder="1" applyAlignment="1">
      <alignment horizontal="center" vertical="top" wrapText="1"/>
    </xf>
    <xf numFmtId="0" fontId="3" fillId="7" borderId="105" xfId="0" applyFont="1" applyFill="1" applyBorder="1" applyAlignment="1">
      <alignment horizontal="center" vertical="top"/>
    </xf>
    <xf numFmtId="0" fontId="3" fillId="0" borderId="105" xfId="0" applyFont="1" applyFill="1" applyBorder="1" applyAlignment="1">
      <alignment horizontal="center" vertical="top" wrapText="1"/>
    </xf>
    <xf numFmtId="49" fontId="3" fillId="3" borderId="20" xfId="0" applyNumberFormat="1" applyFont="1" applyFill="1" applyBorder="1" applyAlignment="1">
      <alignment horizontal="center" vertical="top"/>
    </xf>
    <xf numFmtId="3" fontId="3" fillId="3" borderId="13" xfId="0" applyNumberFormat="1" applyFont="1" applyFill="1" applyBorder="1" applyAlignment="1">
      <alignment horizontal="center" vertical="top"/>
    </xf>
    <xf numFmtId="3" fontId="3" fillId="3" borderId="15" xfId="0" applyNumberFormat="1" applyFont="1" applyFill="1" applyBorder="1" applyAlignment="1">
      <alignment horizontal="center" vertical="top"/>
    </xf>
    <xf numFmtId="0" fontId="3" fillId="7" borderId="93" xfId="0" applyFont="1" applyFill="1" applyBorder="1" applyAlignment="1">
      <alignment horizontal="left" vertical="top" wrapText="1"/>
    </xf>
    <xf numFmtId="0" fontId="5" fillId="7" borderId="36" xfId="0" applyFont="1" applyFill="1" applyBorder="1" applyAlignment="1">
      <alignment vertical="top" wrapText="1"/>
    </xf>
    <xf numFmtId="0" fontId="3" fillId="0" borderId="80" xfId="0" applyFont="1" applyFill="1" applyBorder="1" applyAlignment="1">
      <alignment horizontal="center" vertical="top" wrapText="1"/>
    </xf>
    <xf numFmtId="0" fontId="3" fillId="0" borderId="105" xfId="0" applyFont="1" applyBorder="1" applyAlignment="1">
      <alignment horizontal="center" vertical="top"/>
    </xf>
    <xf numFmtId="3" fontId="3" fillId="3" borderId="11" xfId="0" applyNumberFormat="1" applyFont="1" applyFill="1" applyBorder="1" applyAlignment="1">
      <alignment horizontal="center" wrapText="1"/>
    </xf>
    <xf numFmtId="3" fontId="3" fillId="7" borderId="19" xfId="0" applyNumberFormat="1" applyFont="1" applyFill="1" applyBorder="1" applyAlignment="1">
      <alignment horizontal="center" vertical="top" wrapText="1"/>
    </xf>
    <xf numFmtId="3" fontId="3" fillId="7" borderId="28" xfId="0" applyNumberFormat="1" applyFont="1" applyFill="1" applyBorder="1" applyAlignment="1">
      <alignment horizontal="center" vertical="top" wrapText="1"/>
    </xf>
    <xf numFmtId="0" fontId="3" fillId="0" borderId="81" xfId="0" applyFont="1" applyFill="1" applyBorder="1" applyAlignment="1">
      <alignment horizontal="left" vertical="top" wrapText="1"/>
    </xf>
    <xf numFmtId="3" fontId="3" fillId="0" borderId="29" xfId="0" applyNumberFormat="1" applyFont="1" applyFill="1" applyBorder="1" applyAlignment="1">
      <alignment horizontal="center" wrapText="1"/>
    </xf>
    <xf numFmtId="3" fontId="3" fillId="0" borderId="28" xfId="0" applyNumberFormat="1" applyFont="1" applyFill="1" applyBorder="1" applyAlignment="1">
      <alignment horizontal="center" wrapText="1"/>
    </xf>
    <xf numFmtId="0" fontId="3" fillId="0" borderId="30" xfId="0" applyFont="1" applyBorder="1" applyAlignment="1">
      <alignment vertical="top" wrapText="1"/>
    </xf>
    <xf numFmtId="0" fontId="3" fillId="7" borderId="99" xfId="0" applyFont="1" applyFill="1" applyBorder="1" applyAlignment="1">
      <alignment horizontal="left" vertical="top" wrapText="1"/>
    </xf>
    <xf numFmtId="3" fontId="3" fillId="3" borderId="11" xfId="0" applyNumberFormat="1" applyFont="1" applyFill="1" applyBorder="1" applyAlignment="1">
      <alignment horizontal="center" vertical="top" wrapText="1" shrinkToFit="1"/>
    </xf>
    <xf numFmtId="0" fontId="3" fillId="0" borderId="0" xfId="0" applyFont="1" applyBorder="1" applyAlignment="1"/>
    <xf numFmtId="3" fontId="3" fillId="3" borderId="18" xfId="0" applyNumberFormat="1" applyFont="1" applyFill="1" applyBorder="1" applyAlignment="1">
      <alignment horizontal="center"/>
    </xf>
    <xf numFmtId="0" fontId="3" fillId="0" borderId="112" xfId="0" applyFont="1" applyFill="1" applyBorder="1" applyAlignment="1">
      <alignment horizontal="center" vertical="top" wrapText="1"/>
    </xf>
    <xf numFmtId="3" fontId="3" fillId="7" borderId="29" xfId="0" applyNumberFormat="1" applyFont="1" applyFill="1" applyBorder="1" applyAlignment="1">
      <alignment horizontal="center" wrapText="1"/>
    </xf>
    <xf numFmtId="0" fontId="3" fillId="3" borderId="39" xfId="0" applyFont="1" applyFill="1" applyBorder="1" applyAlignment="1">
      <alignment horizontal="left"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3" fontId="3" fillId="3" borderId="17" xfId="0" applyNumberFormat="1" applyFont="1" applyFill="1" applyBorder="1" applyAlignment="1">
      <alignment horizontal="center" vertical="top" wrapText="1"/>
    </xf>
    <xf numFmtId="0" fontId="3" fillId="0" borderId="96" xfId="0" applyFont="1" applyFill="1" applyBorder="1" applyAlignment="1">
      <alignment horizontal="center" vertical="top" wrapText="1"/>
    </xf>
    <xf numFmtId="3" fontId="3" fillId="3" borderId="29" xfId="0" applyNumberFormat="1" applyFont="1" applyFill="1" applyBorder="1" applyAlignment="1">
      <alignment horizontal="center" vertical="center"/>
    </xf>
    <xf numFmtId="3" fontId="3" fillId="3" borderId="28" xfId="0" applyNumberFormat="1" applyFont="1" applyFill="1" applyBorder="1" applyAlignment="1">
      <alignment horizontal="center" vertical="center"/>
    </xf>
    <xf numFmtId="3" fontId="3" fillId="3" borderId="82" xfId="0" applyNumberFormat="1" applyFont="1" applyFill="1" applyBorder="1" applyAlignment="1">
      <alignment horizontal="center" vertical="top"/>
    </xf>
    <xf numFmtId="3" fontId="3" fillId="3" borderId="84" xfId="0" applyNumberFormat="1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center" vertical="center" textRotation="90" wrapText="1"/>
    </xf>
    <xf numFmtId="0" fontId="9" fillId="0" borderId="20" xfId="0" applyFont="1" applyFill="1" applyBorder="1" applyAlignment="1">
      <alignment horizontal="center" vertical="top" wrapText="1"/>
    </xf>
    <xf numFmtId="0" fontId="9" fillId="0" borderId="36" xfId="0" applyFont="1" applyFill="1" applyBorder="1" applyAlignment="1">
      <alignment horizontal="center" vertical="center" wrapText="1"/>
    </xf>
    <xf numFmtId="0" fontId="16" fillId="0" borderId="11" xfId="0" applyNumberFormat="1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center" textRotation="90" wrapText="1"/>
    </xf>
    <xf numFmtId="0" fontId="7" fillId="0" borderId="46" xfId="0" applyFont="1" applyFill="1" applyBorder="1" applyAlignment="1">
      <alignment horizontal="center" vertical="center" textRotation="90" shrinkToFit="1"/>
    </xf>
    <xf numFmtId="0" fontId="3" fillId="0" borderId="112" xfId="0" applyFont="1" applyFill="1" applyBorder="1" applyAlignment="1">
      <alignment horizontal="center" vertical="top"/>
    </xf>
    <xf numFmtId="0" fontId="5" fillId="8" borderId="62" xfId="0" applyFont="1" applyFill="1" applyBorder="1" applyAlignment="1">
      <alignment horizontal="right" vertical="top"/>
    </xf>
    <xf numFmtId="0" fontId="5" fillId="8" borderId="75" xfId="0" applyFont="1" applyFill="1" applyBorder="1" applyAlignment="1">
      <alignment horizontal="right" vertical="top"/>
    </xf>
    <xf numFmtId="0" fontId="5" fillId="3" borderId="7" xfId="0" applyFont="1" applyFill="1" applyBorder="1" applyAlignment="1">
      <alignment vertical="top" wrapText="1"/>
    </xf>
    <xf numFmtId="49" fontId="5" fillId="3" borderId="50" xfId="0" applyNumberFormat="1" applyFont="1" applyFill="1" applyBorder="1" applyAlignment="1">
      <alignment vertical="top"/>
    </xf>
    <xf numFmtId="3" fontId="3" fillId="3" borderId="31" xfId="0" applyNumberFormat="1" applyFont="1" applyFill="1" applyBorder="1" applyAlignment="1">
      <alignment horizontal="center" vertical="top"/>
    </xf>
    <xf numFmtId="3" fontId="3" fillId="3" borderId="31" xfId="0" applyNumberFormat="1" applyFont="1" applyFill="1" applyBorder="1" applyAlignment="1">
      <alignment horizontal="center" vertical="top" wrapText="1" shrinkToFit="1"/>
    </xf>
    <xf numFmtId="3" fontId="3" fillId="3" borderId="32" xfId="0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/>
    </xf>
    <xf numFmtId="0" fontId="3" fillId="0" borderId="117" xfId="0" applyFont="1" applyFill="1" applyBorder="1" applyAlignment="1">
      <alignment horizontal="center" vertical="top"/>
    </xf>
    <xf numFmtId="0" fontId="3" fillId="0" borderId="116" xfId="0" applyFont="1" applyFill="1" applyBorder="1" applyAlignment="1">
      <alignment horizontal="center" vertical="top"/>
    </xf>
    <xf numFmtId="3" fontId="3" fillId="0" borderId="94" xfId="0" applyNumberFormat="1" applyFont="1" applyFill="1" applyBorder="1" applyAlignment="1">
      <alignment horizontal="center" vertical="top"/>
    </xf>
    <xf numFmtId="3" fontId="3" fillId="0" borderId="95" xfId="0" applyNumberFormat="1" applyFont="1" applyFill="1" applyBorder="1" applyAlignment="1">
      <alignment horizontal="center" vertical="top"/>
    </xf>
    <xf numFmtId="0" fontId="3" fillId="7" borderId="107" xfId="0" applyFont="1" applyFill="1" applyBorder="1" applyAlignment="1">
      <alignment horizontal="left" vertical="top" wrapText="1"/>
    </xf>
    <xf numFmtId="0" fontId="3" fillId="3" borderId="107" xfId="0" applyFont="1" applyFill="1" applyBorder="1" applyAlignment="1">
      <alignment horizontal="left" vertical="top" wrapText="1"/>
    </xf>
    <xf numFmtId="0" fontId="3" fillId="0" borderId="109" xfId="0" applyFont="1" applyFill="1" applyBorder="1" applyAlignment="1">
      <alignment horizontal="left" vertical="top" wrapText="1"/>
    </xf>
    <xf numFmtId="165" fontId="3" fillId="0" borderId="87" xfId="0" applyNumberFormat="1" applyFont="1" applyFill="1" applyBorder="1" applyAlignment="1">
      <alignment horizontal="center" vertical="center"/>
    </xf>
    <xf numFmtId="0" fontId="3" fillId="3" borderId="95" xfId="0" applyFont="1" applyFill="1" applyBorder="1" applyAlignment="1">
      <alignment vertical="top" wrapText="1"/>
    </xf>
    <xf numFmtId="0" fontId="3" fillId="3" borderId="88" xfId="0" applyFont="1" applyFill="1" applyBorder="1" applyAlignment="1">
      <alignment vertical="top" wrapText="1"/>
    </xf>
    <xf numFmtId="0" fontId="3" fillId="7" borderId="89" xfId="0" applyFont="1" applyFill="1" applyBorder="1" applyAlignment="1">
      <alignment horizontal="center" vertical="top"/>
    </xf>
    <xf numFmtId="0" fontId="3" fillId="7" borderId="85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vertical="top" wrapText="1"/>
    </xf>
    <xf numFmtId="49" fontId="5" fillId="0" borderId="43" xfId="0" applyNumberFormat="1" applyFont="1" applyBorder="1" applyAlignment="1">
      <alignment horizontal="center" vertical="top"/>
    </xf>
    <xf numFmtId="49" fontId="5" fillId="7" borderId="50" xfId="0" applyNumberFormat="1" applyFont="1" applyFill="1" applyBorder="1" applyAlignment="1">
      <alignment vertical="top"/>
    </xf>
    <xf numFmtId="49" fontId="5" fillId="7" borderId="58" xfId="0" applyNumberFormat="1" applyFont="1" applyFill="1" applyBorder="1" applyAlignment="1">
      <alignment vertical="top"/>
    </xf>
    <xf numFmtId="49" fontId="5" fillId="7" borderId="9" xfId="0" applyNumberFormat="1" applyFont="1" applyFill="1" applyBorder="1" applyAlignment="1">
      <alignment vertical="top"/>
    </xf>
    <xf numFmtId="49" fontId="5" fillId="7" borderId="34" xfId="0" applyNumberFormat="1" applyFont="1" applyFill="1" applyBorder="1" applyAlignment="1">
      <alignment vertical="top"/>
    </xf>
    <xf numFmtId="165" fontId="3" fillId="0" borderId="11" xfId="0" applyNumberFormat="1" applyFont="1" applyFill="1" applyBorder="1" applyAlignment="1">
      <alignment horizontal="center" vertical="top"/>
    </xf>
    <xf numFmtId="165" fontId="3" fillId="0" borderId="18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89" xfId="0" applyFont="1" applyFill="1" applyBorder="1" applyAlignment="1">
      <alignment horizontal="center" vertical="top"/>
    </xf>
    <xf numFmtId="49" fontId="5" fillId="7" borderId="32" xfId="0" applyNumberFormat="1" applyFont="1" applyFill="1" applyBorder="1" applyAlignment="1">
      <alignment vertical="top"/>
    </xf>
    <xf numFmtId="165" fontId="3" fillId="7" borderId="31" xfId="0" applyNumberFormat="1" applyFont="1" applyFill="1" applyBorder="1" applyAlignment="1">
      <alignment horizontal="center" vertical="top"/>
    </xf>
    <xf numFmtId="165" fontId="3" fillId="7" borderId="32" xfId="0" applyNumberFormat="1" applyFont="1" applyFill="1" applyBorder="1" applyAlignment="1">
      <alignment horizontal="center" vertical="top"/>
    </xf>
    <xf numFmtId="0" fontId="5" fillId="3" borderId="46" xfId="0" applyFont="1" applyFill="1" applyBorder="1" applyAlignment="1">
      <alignment horizontal="center" vertical="top"/>
    </xf>
    <xf numFmtId="0" fontId="3" fillId="0" borderId="70" xfId="0" applyFont="1" applyFill="1" applyBorder="1" applyAlignment="1">
      <alignment horizontal="center" vertical="top" wrapText="1"/>
    </xf>
    <xf numFmtId="0" fontId="3" fillId="0" borderId="116" xfId="0" applyFont="1" applyBorder="1" applyAlignment="1">
      <alignment horizontal="center" vertical="top"/>
    </xf>
    <xf numFmtId="0" fontId="3" fillId="0" borderId="35" xfId="0" applyFont="1" applyFill="1" applyBorder="1" applyAlignment="1">
      <alignment horizontal="center" vertical="top" wrapText="1"/>
    </xf>
    <xf numFmtId="0" fontId="3" fillId="0" borderId="96" xfId="0" applyFont="1" applyBorder="1" applyAlignment="1">
      <alignment horizontal="center" vertical="top"/>
    </xf>
    <xf numFmtId="0" fontId="3" fillId="0" borderId="98" xfId="0" applyFont="1" applyFill="1" applyBorder="1" applyAlignment="1">
      <alignment horizontal="center" vertical="top" wrapText="1"/>
    </xf>
    <xf numFmtId="0" fontId="3" fillId="0" borderId="67" xfId="0" applyFont="1" applyFill="1" applyBorder="1" applyAlignment="1">
      <alignment horizontal="center" vertical="top" wrapText="1"/>
    </xf>
    <xf numFmtId="0" fontId="3" fillId="0" borderId="117" xfId="0" applyFont="1" applyFill="1" applyBorder="1" applyAlignment="1">
      <alignment horizontal="center" vertical="top" wrapText="1"/>
    </xf>
    <xf numFmtId="43" fontId="3" fillId="0" borderId="46" xfId="1" applyFont="1" applyFill="1" applyBorder="1" applyAlignment="1">
      <alignment horizontal="center" vertical="top" wrapText="1"/>
    </xf>
    <xf numFmtId="0" fontId="5" fillId="8" borderId="68" xfId="0" applyFont="1" applyFill="1" applyBorder="1" applyAlignment="1">
      <alignment horizontal="center" vertical="top"/>
    </xf>
    <xf numFmtId="0" fontId="3" fillId="0" borderId="2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textRotation="90" wrapText="1"/>
    </xf>
    <xf numFmtId="0" fontId="11" fillId="0" borderId="31" xfId="0" applyFont="1" applyBorder="1" applyAlignment="1">
      <alignment vertical="center" textRotation="90" wrapText="1"/>
    </xf>
    <xf numFmtId="0" fontId="17" fillId="7" borderId="31" xfId="0" applyNumberFormat="1" applyFont="1" applyFill="1" applyBorder="1" applyAlignment="1">
      <alignment vertical="center" textRotation="90"/>
    </xf>
    <xf numFmtId="0" fontId="17" fillId="7" borderId="32" xfId="0" applyNumberFormat="1" applyFont="1" applyFill="1" applyBorder="1" applyAlignment="1">
      <alignment vertical="center" textRotation="90"/>
    </xf>
    <xf numFmtId="0" fontId="3" fillId="7" borderId="29" xfId="0" applyNumberFormat="1" applyFont="1" applyFill="1" applyBorder="1" applyAlignment="1">
      <alignment vertical="center" textRotation="90"/>
    </xf>
    <xf numFmtId="0" fontId="3" fillId="7" borderId="28" xfId="0" applyNumberFormat="1" applyFont="1" applyFill="1" applyBorder="1" applyAlignment="1">
      <alignment vertical="center" textRotation="90"/>
    </xf>
    <xf numFmtId="0" fontId="3" fillId="0" borderId="11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14" fillId="0" borderId="25" xfId="0" applyFont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top"/>
    </xf>
    <xf numFmtId="49" fontId="5" fillId="0" borderId="58" xfId="0" applyNumberFormat="1" applyFont="1" applyBorder="1" applyAlignment="1">
      <alignment horizontal="center" vertical="top"/>
    </xf>
    <xf numFmtId="0" fontId="5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vertical="top"/>
    </xf>
    <xf numFmtId="0" fontId="11" fillId="0" borderId="34" xfId="0" applyFont="1" applyBorder="1" applyAlignment="1">
      <alignment vertical="top"/>
    </xf>
    <xf numFmtId="49" fontId="5" fillId="0" borderId="36" xfId="0" applyNumberFormat="1" applyFont="1" applyBorder="1" applyAlignment="1">
      <alignment horizontal="center" vertical="top"/>
    </xf>
    <xf numFmtId="0" fontId="3" fillId="3" borderId="92" xfId="0" applyFont="1" applyFill="1" applyBorder="1" applyAlignment="1">
      <alignment vertical="top" wrapText="1"/>
    </xf>
    <xf numFmtId="164" fontId="3" fillId="0" borderId="90" xfId="0" applyNumberFormat="1" applyFont="1" applyFill="1" applyBorder="1" applyAlignment="1">
      <alignment horizontal="left" vertical="top" wrapText="1"/>
    </xf>
    <xf numFmtId="0" fontId="3" fillId="0" borderId="91" xfId="0" applyNumberFormat="1" applyFont="1" applyFill="1" applyBorder="1" applyAlignment="1">
      <alignment horizontal="center" vertical="top"/>
    </xf>
    <xf numFmtId="0" fontId="3" fillId="0" borderId="122" xfId="0" applyNumberFormat="1" applyFont="1" applyFill="1" applyBorder="1" applyAlignment="1">
      <alignment horizontal="center" vertical="top"/>
    </xf>
    <xf numFmtId="0" fontId="3" fillId="0" borderId="92" xfId="0" applyNumberFormat="1" applyFont="1" applyBorder="1" applyAlignment="1">
      <alignment horizontal="center" vertical="top"/>
    </xf>
    <xf numFmtId="0" fontId="3" fillId="0" borderId="123" xfId="0" applyFont="1" applyFill="1" applyBorder="1" applyAlignment="1">
      <alignment horizontal="center" vertical="center" textRotation="90" wrapText="1"/>
    </xf>
    <xf numFmtId="49" fontId="5" fillId="0" borderId="92" xfId="0" applyNumberFormat="1" applyFont="1" applyBorder="1" applyAlignment="1">
      <alignment horizontal="center" vertical="top"/>
    </xf>
    <xf numFmtId="164" fontId="3" fillId="7" borderId="93" xfId="0" applyNumberFormat="1" applyFont="1" applyFill="1" applyBorder="1" applyAlignment="1">
      <alignment horizontal="left" vertical="top" wrapText="1"/>
    </xf>
    <xf numFmtId="0" fontId="3" fillId="0" borderId="94" xfId="0" applyNumberFormat="1" applyFont="1" applyFill="1" applyBorder="1" applyAlignment="1">
      <alignment horizontal="center" vertical="top"/>
    </xf>
    <xf numFmtId="0" fontId="3" fillId="0" borderId="110" xfId="0" applyNumberFormat="1" applyFont="1" applyFill="1" applyBorder="1" applyAlignment="1">
      <alignment horizontal="center" vertical="top"/>
    </xf>
    <xf numFmtId="0" fontId="3" fillId="0" borderId="95" xfId="0" applyNumberFormat="1" applyFont="1" applyBorder="1" applyAlignment="1">
      <alignment horizontal="center" vertical="top"/>
    </xf>
    <xf numFmtId="49" fontId="5" fillId="0" borderId="50" xfId="0" applyNumberFormat="1" applyFont="1" applyBorder="1" applyAlignment="1">
      <alignment horizontal="center" vertical="top"/>
    </xf>
    <xf numFmtId="0" fontId="3" fillId="0" borderId="93" xfId="0" applyFont="1" applyFill="1" applyBorder="1" applyAlignment="1">
      <alignment vertical="top" wrapText="1"/>
    </xf>
    <xf numFmtId="0" fontId="3" fillId="7" borderId="6" xfId="0" applyFont="1" applyFill="1" applyBorder="1" applyAlignment="1">
      <alignment horizontal="center" vertical="top"/>
    </xf>
    <xf numFmtId="0" fontId="3" fillId="0" borderId="95" xfId="0" applyNumberFormat="1" applyFont="1" applyFill="1" applyBorder="1" applyAlignment="1">
      <alignment horizontal="center" vertical="top"/>
    </xf>
    <xf numFmtId="0" fontId="3" fillId="7" borderId="94" xfId="0" applyNumberFormat="1" applyFont="1" applyFill="1" applyBorder="1" applyAlignment="1">
      <alignment vertical="center"/>
    </xf>
    <xf numFmtId="0" fontId="3" fillId="7" borderId="95" xfId="0" applyNumberFormat="1" applyFont="1" applyFill="1" applyBorder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5" fillId="0" borderId="116" xfId="0" applyFont="1" applyFill="1" applyBorder="1" applyAlignment="1">
      <alignment horizontal="center" vertical="top" wrapText="1"/>
    </xf>
    <xf numFmtId="49" fontId="5" fillId="0" borderId="95" xfId="0" applyNumberFormat="1" applyFont="1" applyBorder="1" applyAlignment="1">
      <alignment horizontal="center" vertical="top"/>
    </xf>
    <xf numFmtId="0" fontId="14" fillId="0" borderId="76" xfId="0" applyFont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top"/>
    </xf>
    <xf numFmtId="49" fontId="5" fillId="0" borderId="58" xfId="0" applyNumberFormat="1" applyFont="1" applyBorder="1" applyAlignment="1">
      <alignment horizontal="center" vertical="top" wrapText="1"/>
    </xf>
    <xf numFmtId="3" fontId="3" fillId="3" borderId="31" xfId="0" applyNumberFormat="1" applyFont="1" applyFill="1" applyBorder="1" applyAlignment="1">
      <alignment horizontal="center" vertical="top" wrapText="1"/>
    </xf>
    <xf numFmtId="0" fontId="18" fillId="0" borderId="46" xfId="0" applyFont="1" applyFill="1" applyBorder="1" applyAlignment="1">
      <alignment horizontal="center" vertical="top" textRotation="90" wrapText="1"/>
    </xf>
    <xf numFmtId="0" fontId="3" fillId="0" borderId="86" xfId="0" applyFont="1" applyFill="1" applyBorder="1" applyAlignment="1">
      <alignment horizontal="left" vertical="top" wrapText="1"/>
    </xf>
    <xf numFmtId="0" fontId="3" fillId="0" borderId="96" xfId="0" applyFont="1" applyBorder="1" applyAlignment="1">
      <alignment vertical="top"/>
    </xf>
    <xf numFmtId="0" fontId="3" fillId="0" borderId="82" xfId="0" applyFont="1" applyBorder="1" applyAlignment="1">
      <alignment vertical="top"/>
    </xf>
    <xf numFmtId="0" fontId="3" fillId="0" borderId="111" xfId="0" applyFont="1" applyBorder="1" applyAlignment="1">
      <alignment vertical="top"/>
    </xf>
    <xf numFmtId="0" fontId="3" fillId="0" borderId="84" xfId="0" applyFont="1" applyBorder="1" applyAlignment="1">
      <alignment vertical="top"/>
    </xf>
    <xf numFmtId="0" fontId="5" fillId="3" borderId="84" xfId="0" applyFont="1" applyFill="1" applyBorder="1" applyAlignment="1">
      <alignment vertical="top" wrapText="1"/>
    </xf>
    <xf numFmtId="3" fontId="3" fillId="3" borderId="17" xfId="0" applyNumberFormat="1" applyFont="1" applyFill="1" applyBorder="1" applyAlignment="1">
      <alignment horizontal="center" vertical="top"/>
    </xf>
    <xf numFmtId="3" fontId="3" fillId="0" borderId="11" xfId="0" applyNumberFormat="1" applyFont="1" applyFill="1" applyBorder="1" applyAlignment="1">
      <alignment horizontal="center" wrapText="1"/>
    </xf>
    <xf numFmtId="3" fontId="3" fillId="0" borderId="18" xfId="0" applyNumberFormat="1" applyFont="1" applyFill="1" applyBorder="1" applyAlignment="1">
      <alignment horizontal="center" wrapText="1"/>
    </xf>
    <xf numFmtId="3" fontId="3" fillId="0" borderId="82" xfId="0" applyNumberFormat="1" applyFont="1" applyFill="1" applyBorder="1" applyAlignment="1">
      <alignment horizontal="center" vertical="top" wrapText="1"/>
    </xf>
    <xf numFmtId="3" fontId="3" fillId="0" borderId="84" xfId="0" applyNumberFormat="1" applyFont="1" applyFill="1" applyBorder="1" applyAlignment="1">
      <alignment horizontal="center" vertical="top" wrapText="1"/>
    </xf>
    <xf numFmtId="0" fontId="3" fillId="0" borderId="112" xfId="0" applyFont="1" applyBorder="1" applyAlignment="1">
      <alignment horizontal="center" vertical="top"/>
    </xf>
    <xf numFmtId="0" fontId="3" fillId="0" borderId="95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top"/>
    </xf>
    <xf numFmtId="49" fontId="3" fillId="3" borderId="29" xfId="0" applyNumberFormat="1" applyFont="1" applyFill="1" applyBorder="1" applyAlignment="1">
      <alignment horizontal="center" vertical="top"/>
    </xf>
    <xf numFmtId="0" fontId="3" fillId="3" borderId="93" xfId="0" applyFont="1" applyFill="1" applyBorder="1" applyAlignment="1">
      <alignment horizontal="left" vertical="top" wrapText="1"/>
    </xf>
    <xf numFmtId="3" fontId="3" fillId="3" borderId="94" xfId="0" applyNumberFormat="1" applyFont="1" applyFill="1" applyBorder="1" applyAlignment="1">
      <alignment horizontal="center" vertical="top"/>
    </xf>
    <xf numFmtId="49" fontId="3" fillId="3" borderId="94" xfId="0" applyNumberFormat="1" applyFont="1" applyFill="1" applyBorder="1" applyAlignment="1">
      <alignment horizontal="center" vertical="top"/>
    </xf>
    <xf numFmtId="3" fontId="3" fillId="3" borderId="95" xfId="0" applyNumberFormat="1" applyFont="1" applyFill="1" applyBorder="1" applyAlignment="1">
      <alignment horizontal="center" vertical="top"/>
    </xf>
    <xf numFmtId="0" fontId="3" fillId="7" borderId="17" xfId="0" applyFont="1" applyFill="1" applyBorder="1" applyAlignment="1">
      <alignment horizontal="left" vertical="top" wrapText="1"/>
    </xf>
    <xf numFmtId="0" fontId="3" fillId="7" borderId="16" xfId="0" applyFont="1" applyFill="1" applyBorder="1" applyAlignment="1">
      <alignment horizontal="left" vertical="top" wrapText="1"/>
    </xf>
    <xf numFmtId="0" fontId="16" fillId="0" borderId="70" xfId="0" applyFont="1" applyFill="1" applyBorder="1" applyAlignment="1">
      <alignment vertical="top" wrapText="1"/>
    </xf>
    <xf numFmtId="0" fontId="16" fillId="0" borderId="39" xfId="0" applyFont="1" applyFill="1" applyBorder="1" applyAlignment="1">
      <alignment horizontal="center" vertical="top" wrapText="1"/>
    </xf>
    <xf numFmtId="0" fontId="16" fillId="0" borderId="36" xfId="0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0" fontId="3" fillId="7" borderId="8" xfId="0" applyFont="1" applyFill="1" applyBorder="1" applyAlignment="1">
      <alignment horizontal="center" vertical="top"/>
    </xf>
    <xf numFmtId="49" fontId="5" fillId="7" borderId="18" xfId="0" applyNumberFormat="1" applyFont="1" applyFill="1" applyBorder="1" applyAlignment="1">
      <alignment horizontal="center" vertical="top"/>
    </xf>
    <xf numFmtId="49" fontId="3" fillId="7" borderId="29" xfId="0" applyNumberFormat="1" applyFont="1" applyFill="1" applyBorder="1" applyAlignment="1">
      <alignment horizontal="center" vertical="top"/>
    </xf>
    <xf numFmtId="49" fontId="5" fillId="7" borderId="28" xfId="0" applyNumberFormat="1" applyFont="1" applyFill="1" applyBorder="1" applyAlignment="1">
      <alignment horizontal="center" vertical="top"/>
    </xf>
    <xf numFmtId="0" fontId="3" fillId="7" borderId="24" xfId="0" applyFont="1" applyFill="1" applyBorder="1" applyAlignment="1">
      <alignment horizontal="center" vertical="top" wrapText="1"/>
    </xf>
    <xf numFmtId="0" fontId="3" fillId="7" borderId="35" xfId="0" applyFont="1" applyFill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top"/>
    </xf>
    <xf numFmtId="0" fontId="16" fillId="7" borderId="55" xfId="0" applyFont="1" applyFill="1" applyBorder="1" applyAlignment="1">
      <alignment vertical="top" wrapText="1"/>
    </xf>
    <xf numFmtId="0" fontId="3" fillId="0" borderId="86" xfId="0" applyFont="1" applyFill="1" applyBorder="1" applyAlignment="1">
      <alignment horizontal="center" vertical="center" textRotation="90" wrapText="1"/>
    </xf>
    <xf numFmtId="0" fontId="3" fillId="0" borderId="86" xfId="0" applyFont="1" applyFill="1" applyBorder="1" applyAlignment="1">
      <alignment horizontal="left" vertical="center" wrapText="1"/>
    </xf>
    <xf numFmtId="3" fontId="3" fillId="0" borderId="87" xfId="0" applyNumberFormat="1" applyFont="1" applyFill="1" applyBorder="1" applyAlignment="1">
      <alignment horizontal="center" vertical="top" wrapText="1"/>
    </xf>
    <xf numFmtId="3" fontId="3" fillId="0" borderId="87" xfId="0" applyNumberFormat="1" applyFont="1" applyFill="1" applyBorder="1" applyAlignment="1">
      <alignment horizontal="center" wrapText="1"/>
    </xf>
    <xf numFmtId="3" fontId="3" fillId="0" borderId="88" xfId="0" applyNumberFormat="1" applyFont="1" applyFill="1" applyBorder="1" applyAlignment="1">
      <alignment horizontal="center" wrapText="1"/>
    </xf>
    <xf numFmtId="3" fontId="3" fillId="3" borderId="18" xfId="0" applyNumberFormat="1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0" fontId="0" fillId="0" borderId="32" xfId="0" applyBorder="1" applyAlignment="1">
      <alignment vertical="top" wrapText="1"/>
    </xf>
    <xf numFmtId="0" fontId="3" fillId="3" borderId="54" xfId="0" applyFont="1" applyFill="1" applyBorder="1" applyAlignment="1">
      <alignment horizontal="left" vertical="top" wrapText="1"/>
    </xf>
    <xf numFmtId="49" fontId="5" fillId="0" borderId="14" xfId="0" applyNumberFormat="1" applyFont="1" applyBorder="1" applyAlignment="1">
      <alignment horizontal="center" vertical="top"/>
    </xf>
    <xf numFmtId="0" fontId="5" fillId="8" borderId="69" xfId="0" applyFont="1" applyFill="1" applyBorder="1" applyAlignment="1">
      <alignment horizontal="right" vertical="top"/>
    </xf>
    <xf numFmtId="0" fontId="3" fillId="7" borderId="82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3" fontId="3" fillId="7" borderId="82" xfId="0" applyNumberFormat="1" applyFont="1" applyFill="1" applyBorder="1" applyAlignment="1">
      <alignment horizontal="center" vertical="top" wrapText="1"/>
    </xf>
    <xf numFmtId="0" fontId="16" fillId="7" borderId="67" xfId="0" applyFont="1" applyFill="1" applyBorder="1" applyAlignment="1">
      <alignment vertical="top" wrapText="1"/>
    </xf>
    <xf numFmtId="0" fontId="16" fillId="7" borderId="17" xfId="0" applyFont="1" applyFill="1" applyBorder="1" applyAlignment="1">
      <alignment vertical="top" wrapText="1"/>
    </xf>
    <xf numFmtId="0" fontId="19" fillId="0" borderId="16" xfId="0" applyFont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wrapText="1"/>
    </xf>
    <xf numFmtId="0" fontId="10" fillId="0" borderId="17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/>
    </xf>
    <xf numFmtId="49" fontId="5" fillId="3" borderId="21" xfId="0" applyNumberFormat="1" applyFont="1" applyFill="1" applyBorder="1" applyAlignment="1">
      <alignment horizontal="center" vertical="top"/>
    </xf>
    <xf numFmtId="0" fontId="3" fillId="0" borderId="38" xfId="0" applyFont="1" applyBorder="1" applyAlignment="1">
      <alignment horizontal="left" vertical="top" wrapText="1"/>
    </xf>
    <xf numFmtId="3" fontId="3" fillId="3" borderId="8" xfId="0" applyNumberFormat="1" applyFont="1" applyFill="1" applyBorder="1" applyAlignment="1">
      <alignment horizontal="right" vertical="top" wrapText="1"/>
    </xf>
    <xf numFmtId="3" fontId="3" fillId="3" borderId="24" xfId="0" applyNumberFormat="1" applyFont="1" applyFill="1" applyBorder="1" applyAlignment="1">
      <alignment horizontal="right" vertical="top" wrapText="1"/>
    </xf>
    <xf numFmtId="3" fontId="3" fillId="3" borderId="55" xfId="0" applyNumberFormat="1" applyFont="1" applyFill="1" applyBorder="1" applyAlignment="1">
      <alignment horizontal="right" vertical="top" wrapText="1"/>
    </xf>
    <xf numFmtId="3" fontId="3" fillId="8" borderId="24" xfId="0" applyNumberFormat="1" applyFont="1" applyFill="1" applyBorder="1" applyAlignment="1">
      <alignment horizontal="right" vertical="top"/>
    </xf>
    <xf numFmtId="3" fontId="3" fillId="8" borderId="6" xfId="0" applyNumberFormat="1" applyFont="1" applyFill="1" applyBorder="1" applyAlignment="1">
      <alignment horizontal="right" vertical="top"/>
    </xf>
    <xf numFmtId="3" fontId="5" fillId="8" borderId="69" xfId="0" applyNumberFormat="1" applyFont="1" applyFill="1" applyBorder="1" applyAlignment="1">
      <alignment horizontal="right" vertical="top"/>
    </xf>
    <xf numFmtId="3" fontId="5" fillId="8" borderId="33" xfId="0" applyNumberFormat="1" applyFont="1" applyFill="1" applyBorder="1" applyAlignment="1">
      <alignment horizontal="right" vertical="top"/>
    </xf>
    <xf numFmtId="3" fontId="3" fillId="3" borderId="6" xfId="0" applyNumberFormat="1" applyFont="1" applyFill="1" applyBorder="1" applyAlignment="1">
      <alignment horizontal="right" vertical="top" wrapText="1"/>
    </xf>
    <xf numFmtId="3" fontId="3" fillId="3" borderId="23" xfId="0" applyNumberFormat="1" applyFont="1" applyFill="1" applyBorder="1" applyAlignment="1">
      <alignment horizontal="right" vertical="top" wrapText="1"/>
    </xf>
    <xf numFmtId="3" fontId="5" fillId="8" borderId="61" xfId="0" applyNumberFormat="1" applyFont="1" applyFill="1" applyBorder="1" applyAlignment="1">
      <alignment horizontal="right" vertical="top"/>
    </xf>
    <xf numFmtId="3" fontId="5" fillId="8" borderId="59" xfId="0" applyNumberFormat="1" applyFont="1" applyFill="1" applyBorder="1" applyAlignment="1">
      <alignment horizontal="right" vertical="top"/>
    </xf>
    <xf numFmtId="3" fontId="3" fillId="3" borderId="45" xfId="0" applyNumberFormat="1" applyFont="1" applyFill="1" applyBorder="1" applyAlignment="1">
      <alignment horizontal="right" vertical="top" wrapText="1"/>
    </xf>
    <xf numFmtId="3" fontId="5" fillId="8" borderId="65" xfId="0" applyNumberFormat="1" applyFont="1" applyFill="1" applyBorder="1" applyAlignment="1">
      <alignment horizontal="right" vertical="top"/>
    </xf>
    <xf numFmtId="3" fontId="5" fillId="2" borderId="25" xfId="0" applyNumberFormat="1" applyFont="1" applyFill="1" applyBorder="1" applyAlignment="1">
      <alignment horizontal="right" vertical="top"/>
    </xf>
    <xf numFmtId="3" fontId="3" fillId="8" borderId="66" xfId="0" applyNumberFormat="1" applyFont="1" applyFill="1" applyBorder="1" applyAlignment="1">
      <alignment horizontal="right" vertical="top"/>
    </xf>
    <xf numFmtId="3" fontId="3" fillId="8" borderId="78" xfId="0" applyNumberFormat="1" applyFont="1" applyFill="1" applyBorder="1" applyAlignment="1">
      <alignment horizontal="right" vertical="top"/>
    </xf>
    <xf numFmtId="3" fontId="3" fillId="8" borderId="122" xfId="0" applyNumberFormat="1" applyFont="1" applyFill="1" applyBorder="1" applyAlignment="1">
      <alignment horizontal="right" vertical="top"/>
    </xf>
    <xf numFmtId="3" fontId="3" fillId="3" borderId="89" xfId="0" applyNumberFormat="1" applyFont="1" applyFill="1" applyBorder="1" applyAlignment="1">
      <alignment horizontal="right" vertical="top" wrapText="1"/>
    </xf>
    <xf numFmtId="3" fontId="3" fillId="3" borderId="104" xfId="0" applyNumberFormat="1" applyFont="1" applyFill="1" applyBorder="1" applyAlignment="1">
      <alignment horizontal="right" vertical="top" wrapText="1"/>
    </xf>
    <xf numFmtId="3" fontId="3" fillId="8" borderId="0" xfId="0" applyNumberFormat="1" applyFont="1" applyFill="1" applyBorder="1" applyAlignment="1">
      <alignment horizontal="right" vertical="top"/>
    </xf>
    <xf numFmtId="3" fontId="5" fillId="2" borderId="22" xfId="0" applyNumberFormat="1" applyFont="1" applyFill="1" applyBorder="1" applyAlignment="1">
      <alignment horizontal="right" vertical="top"/>
    </xf>
    <xf numFmtId="3" fontId="3" fillId="8" borderId="53" xfId="0" applyNumberFormat="1" applyFont="1" applyFill="1" applyBorder="1" applyAlignment="1">
      <alignment horizontal="right" vertical="top"/>
    </xf>
    <xf numFmtId="3" fontId="3" fillId="8" borderId="10" xfId="0" applyNumberFormat="1" applyFont="1" applyFill="1" applyBorder="1" applyAlignment="1">
      <alignment horizontal="right" vertical="top"/>
    </xf>
    <xf numFmtId="3" fontId="3" fillId="8" borderId="66" xfId="0" applyNumberFormat="1" applyFont="1" applyFill="1" applyBorder="1" applyAlignment="1">
      <alignment vertical="top"/>
    </xf>
    <xf numFmtId="3" fontId="5" fillId="5" borderId="10" xfId="0" applyNumberFormat="1" applyFont="1" applyFill="1" applyBorder="1" applyAlignment="1">
      <alignment horizontal="right" vertical="top"/>
    </xf>
    <xf numFmtId="3" fontId="5" fillId="8" borderId="24" xfId="0" applyNumberFormat="1" applyFont="1" applyFill="1" applyBorder="1" applyAlignment="1">
      <alignment horizontal="right" vertical="top"/>
    </xf>
    <xf numFmtId="3" fontId="3" fillId="7" borderId="24" xfId="0" applyNumberFormat="1" applyFont="1" applyFill="1" applyBorder="1" applyAlignment="1">
      <alignment horizontal="right" vertical="top"/>
    </xf>
    <xf numFmtId="3" fontId="3" fillId="0" borderId="24" xfId="0" applyNumberFormat="1" applyFont="1" applyBorder="1" applyAlignment="1">
      <alignment horizontal="right" vertical="top"/>
    </xf>
    <xf numFmtId="3" fontId="5" fillId="5" borderId="24" xfId="0" applyNumberFormat="1" applyFont="1" applyFill="1" applyBorder="1" applyAlignment="1">
      <alignment horizontal="right" vertical="top"/>
    </xf>
    <xf numFmtId="3" fontId="5" fillId="4" borderId="69" xfId="0" applyNumberFormat="1" applyFont="1" applyFill="1" applyBorder="1" applyAlignment="1">
      <alignment horizontal="right" vertical="top"/>
    </xf>
    <xf numFmtId="0" fontId="3" fillId="3" borderId="86" xfId="0" applyFont="1" applyFill="1" applyBorder="1" applyAlignment="1">
      <alignment horizontal="left" vertical="top" wrapText="1"/>
    </xf>
    <xf numFmtId="3" fontId="3" fillId="3" borderId="87" xfId="0" applyNumberFormat="1" applyFont="1" applyFill="1" applyBorder="1" applyAlignment="1">
      <alignment horizontal="center" vertical="top"/>
    </xf>
    <xf numFmtId="3" fontId="3" fillId="3" borderId="88" xfId="0" applyNumberFormat="1" applyFont="1" applyFill="1" applyBorder="1" applyAlignment="1">
      <alignment horizontal="center" vertical="top"/>
    </xf>
    <xf numFmtId="0" fontId="0" fillId="0" borderId="9" xfId="0" applyBorder="1" applyAlignment="1">
      <alignment vertical="top"/>
    </xf>
    <xf numFmtId="0" fontId="3" fillId="0" borderId="55" xfId="0" applyFont="1" applyBorder="1" applyAlignment="1">
      <alignment vertical="top"/>
    </xf>
    <xf numFmtId="0" fontId="18" fillId="0" borderId="35" xfId="0" applyFont="1" applyFill="1" applyBorder="1" applyAlignment="1">
      <alignment horizontal="center" vertical="top" textRotation="90" wrapText="1"/>
    </xf>
    <xf numFmtId="3" fontId="3" fillId="8" borderId="109" xfId="0" applyNumberFormat="1" applyFont="1" applyFill="1" applyBorder="1" applyAlignment="1">
      <alignment horizontal="right" vertical="top"/>
    </xf>
    <xf numFmtId="3" fontId="3" fillId="3" borderId="112" xfId="0" applyNumberFormat="1" applyFont="1" applyFill="1" applyBorder="1" applyAlignment="1">
      <alignment horizontal="right" vertical="top" wrapText="1"/>
    </xf>
    <xf numFmtId="3" fontId="3" fillId="3" borderId="118" xfId="0" applyNumberFormat="1" applyFont="1" applyFill="1" applyBorder="1" applyAlignment="1">
      <alignment horizontal="right" vertical="top" wrapText="1"/>
    </xf>
    <xf numFmtId="3" fontId="3" fillId="8" borderId="107" xfId="0" applyNumberFormat="1" applyFont="1" applyFill="1" applyBorder="1" applyAlignment="1">
      <alignment horizontal="right" vertical="top"/>
    </xf>
    <xf numFmtId="3" fontId="3" fillId="3" borderId="105" xfId="0" applyNumberFormat="1" applyFont="1" applyFill="1" applyBorder="1" applyAlignment="1">
      <alignment horizontal="right" vertical="top" wrapText="1"/>
    </xf>
    <xf numFmtId="3" fontId="3" fillId="3" borderId="108" xfId="0" applyNumberFormat="1" applyFont="1" applyFill="1" applyBorder="1" applyAlignment="1">
      <alignment horizontal="right" vertical="top" wrapText="1"/>
    </xf>
    <xf numFmtId="3" fontId="3" fillId="8" borderId="19" xfId="0" applyNumberFormat="1" applyFont="1" applyFill="1" applyBorder="1" applyAlignment="1">
      <alignment horizontal="right" vertical="top"/>
    </xf>
    <xf numFmtId="3" fontId="3" fillId="3" borderId="78" xfId="0" applyNumberFormat="1" applyFont="1" applyFill="1" applyBorder="1" applyAlignment="1">
      <alignment horizontal="right" vertical="top" wrapText="1"/>
    </xf>
    <xf numFmtId="3" fontId="3" fillId="8" borderId="49" xfId="0" applyNumberFormat="1" applyFont="1" applyFill="1" applyBorder="1" applyAlignment="1">
      <alignment horizontal="right" vertical="top"/>
    </xf>
    <xf numFmtId="3" fontId="3" fillId="3" borderId="0" xfId="0" applyNumberFormat="1" applyFont="1" applyFill="1" applyBorder="1" applyAlignment="1">
      <alignment horizontal="right" vertical="top"/>
    </xf>
    <xf numFmtId="3" fontId="3" fillId="8" borderId="85" xfId="0" applyNumberFormat="1" applyFont="1" applyFill="1" applyBorder="1" applyAlignment="1">
      <alignment horizontal="right" vertical="top"/>
    </xf>
    <xf numFmtId="3" fontId="3" fillId="3" borderId="80" xfId="0" applyNumberFormat="1" applyFont="1" applyFill="1" applyBorder="1" applyAlignment="1">
      <alignment horizontal="right" vertical="top" wrapText="1"/>
    </xf>
    <xf numFmtId="3" fontId="3" fillId="3" borderId="103" xfId="0" applyNumberFormat="1" applyFont="1" applyFill="1" applyBorder="1" applyAlignment="1">
      <alignment horizontal="right" vertical="top" wrapText="1"/>
    </xf>
    <xf numFmtId="3" fontId="3" fillId="8" borderId="47" xfId="0" applyNumberFormat="1" applyFont="1" applyFill="1" applyBorder="1" applyAlignment="1">
      <alignment horizontal="right" vertical="top"/>
    </xf>
    <xf numFmtId="3" fontId="3" fillId="3" borderId="63" xfId="0" applyNumberFormat="1" applyFont="1" applyFill="1" applyBorder="1" applyAlignment="1">
      <alignment horizontal="right" vertical="top" wrapText="1"/>
    </xf>
    <xf numFmtId="3" fontId="3" fillId="8" borderId="23" xfId="0" applyNumberFormat="1" applyFont="1" applyFill="1" applyBorder="1" applyAlignment="1">
      <alignment horizontal="right" vertical="top"/>
    </xf>
    <xf numFmtId="3" fontId="3" fillId="3" borderId="44" xfId="0" applyNumberFormat="1" applyFont="1" applyFill="1" applyBorder="1" applyAlignment="1">
      <alignment horizontal="right" vertical="top" wrapText="1"/>
    </xf>
    <xf numFmtId="3" fontId="3" fillId="3" borderId="66" xfId="0" applyNumberFormat="1" applyFont="1" applyFill="1" applyBorder="1" applyAlignment="1">
      <alignment horizontal="right" vertical="top" wrapText="1"/>
    </xf>
    <xf numFmtId="3" fontId="3" fillId="3" borderId="0" xfId="0" applyNumberFormat="1" applyFont="1" applyFill="1" applyBorder="1" applyAlignment="1">
      <alignment horizontal="right" vertical="top" wrapText="1"/>
    </xf>
    <xf numFmtId="3" fontId="3" fillId="8" borderId="105" xfId="0" applyNumberFormat="1" applyFont="1" applyFill="1" applyBorder="1" applyAlignment="1">
      <alignment horizontal="right" vertical="top"/>
    </xf>
    <xf numFmtId="3" fontId="3" fillId="8" borderId="97" xfId="0" applyNumberFormat="1" applyFont="1" applyFill="1" applyBorder="1" applyAlignment="1">
      <alignment horizontal="right" vertical="top"/>
    </xf>
    <xf numFmtId="3" fontId="3" fillId="0" borderId="119" xfId="0" applyNumberFormat="1" applyFont="1" applyFill="1" applyBorder="1" applyAlignment="1">
      <alignment horizontal="right" vertical="top"/>
    </xf>
    <xf numFmtId="3" fontId="3" fillId="8" borderId="80" xfId="0" applyNumberFormat="1" applyFont="1" applyFill="1" applyBorder="1" applyAlignment="1">
      <alignment horizontal="right" vertical="top"/>
    </xf>
    <xf numFmtId="3" fontId="5" fillId="8" borderId="60" xfId="0" applyNumberFormat="1" applyFont="1" applyFill="1" applyBorder="1" applyAlignment="1">
      <alignment horizontal="right" vertical="top"/>
    </xf>
    <xf numFmtId="3" fontId="5" fillId="8" borderId="10" xfId="0" applyNumberFormat="1" applyFont="1" applyFill="1" applyBorder="1" applyAlignment="1">
      <alignment horizontal="right" vertical="top"/>
    </xf>
    <xf numFmtId="3" fontId="5" fillId="3" borderId="52" xfId="0" applyNumberFormat="1" applyFont="1" applyFill="1" applyBorder="1" applyAlignment="1">
      <alignment horizontal="right" vertical="top"/>
    </xf>
    <xf numFmtId="3" fontId="3" fillId="0" borderId="8" xfId="0" applyNumberFormat="1" applyFont="1" applyFill="1" applyBorder="1" applyAlignment="1">
      <alignment horizontal="right" vertical="top"/>
    </xf>
    <xf numFmtId="3" fontId="3" fillId="0" borderId="80" xfId="0" applyNumberFormat="1" applyFont="1" applyFill="1" applyBorder="1" applyAlignment="1">
      <alignment horizontal="right" vertical="top"/>
    </xf>
    <xf numFmtId="3" fontId="3" fillId="0" borderId="103" xfId="0" applyNumberFormat="1" applyFont="1" applyFill="1" applyBorder="1" applyAlignment="1">
      <alignment horizontal="right" vertical="top"/>
    </xf>
    <xf numFmtId="3" fontId="3" fillId="0" borderId="24" xfId="0" applyNumberFormat="1" applyFont="1" applyFill="1" applyBorder="1" applyAlignment="1">
      <alignment horizontal="right" vertical="top"/>
    </xf>
    <xf numFmtId="3" fontId="3" fillId="0" borderId="55" xfId="0" applyNumberFormat="1" applyFont="1" applyFill="1" applyBorder="1" applyAlignment="1">
      <alignment horizontal="right" vertical="top"/>
    </xf>
    <xf numFmtId="3" fontId="3" fillId="0" borderId="23" xfId="0" applyNumberFormat="1" applyFont="1" applyFill="1" applyBorder="1" applyAlignment="1">
      <alignment horizontal="right" vertical="top"/>
    </xf>
    <xf numFmtId="3" fontId="3" fillId="0" borderId="44" xfId="0" applyNumberFormat="1" applyFont="1" applyFill="1" applyBorder="1" applyAlignment="1">
      <alignment horizontal="right" vertical="top"/>
    </xf>
    <xf numFmtId="3" fontId="3" fillId="3" borderId="6" xfId="0" applyNumberFormat="1" applyFont="1" applyFill="1" applyBorder="1" applyAlignment="1">
      <alignment horizontal="right" vertical="top"/>
    </xf>
    <xf numFmtId="3" fontId="3" fillId="3" borderId="45" xfId="0" applyNumberFormat="1" applyFont="1" applyFill="1" applyBorder="1" applyAlignment="1">
      <alignment horizontal="right" vertical="top"/>
    </xf>
    <xf numFmtId="3" fontId="5" fillId="8" borderId="41" xfId="0" applyNumberFormat="1" applyFont="1" applyFill="1" applyBorder="1" applyAlignment="1">
      <alignment horizontal="right" vertical="top"/>
    </xf>
    <xf numFmtId="3" fontId="5" fillId="3" borderId="76" xfId="0" applyNumberFormat="1" applyFont="1" applyFill="1" applyBorder="1" applyAlignment="1">
      <alignment horizontal="right" vertical="top"/>
    </xf>
    <xf numFmtId="3" fontId="5" fillId="3" borderId="10" xfId="0" applyNumberFormat="1" applyFont="1" applyFill="1" applyBorder="1" applyAlignment="1">
      <alignment horizontal="right" vertical="top"/>
    </xf>
    <xf numFmtId="3" fontId="3" fillId="8" borderId="8" xfId="0" applyNumberFormat="1" applyFont="1" applyFill="1" applyBorder="1" applyAlignment="1">
      <alignment horizontal="right" vertical="top"/>
    </xf>
    <xf numFmtId="3" fontId="3" fillId="3" borderId="110" xfId="0" applyNumberFormat="1" applyFont="1" applyFill="1" applyBorder="1" applyAlignment="1">
      <alignment horizontal="right" vertical="top" wrapText="1"/>
    </xf>
    <xf numFmtId="3" fontId="3" fillId="3" borderId="80" xfId="0" applyNumberFormat="1" applyFont="1" applyFill="1" applyBorder="1" applyAlignment="1">
      <alignment horizontal="right" vertical="top"/>
    </xf>
    <xf numFmtId="3" fontId="3" fillId="3" borderId="111" xfId="0" applyNumberFormat="1" applyFont="1" applyFill="1" applyBorder="1" applyAlignment="1">
      <alignment horizontal="right" vertical="top" wrapText="1"/>
    </xf>
    <xf numFmtId="3" fontId="3" fillId="3" borderId="97" xfId="0" applyNumberFormat="1" applyFont="1" applyFill="1" applyBorder="1" applyAlignment="1">
      <alignment horizontal="right" vertical="top"/>
    </xf>
    <xf numFmtId="3" fontId="5" fillId="3" borderId="72" xfId="0" applyNumberFormat="1" applyFont="1" applyFill="1" applyBorder="1" applyAlignment="1">
      <alignment horizontal="right" vertical="top"/>
    </xf>
    <xf numFmtId="3" fontId="3" fillId="3" borderId="10" xfId="0" applyNumberFormat="1" applyFont="1" applyFill="1" applyBorder="1" applyAlignment="1">
      <alignment horizontal="right" vertical="top"/>
    </xf>
    <xf numFmtId="3" fontId="3" fillId="3" borderId="103" xfId="0" applyNumberFormat="1" applyFont="1" applyFill="1" applyBorder="1" applyAlignment="1">
      <alignment horizontal="right" vertical="top"/>
    </xf>
    <xf numFmtId="3" fontId="3" fillId="0" borderId="45" xfId="0" applyNumberFormat="1" applyFont="1" applyFill="1" applyBorder="1" applyAlignment="1">
      <alignment horizontal="right" vertical="top"/>
    </xf>
    <xf numFmtId="3" fontId="3" fillId="0" borderId="102" xfId="0" applyNumberFormat="1" applyFont="1" applyFill="1" applyBorder="1" applyAlignment="1">
      <alignment horizontal="right" vertical="top"/>
    </xf>
    <xf numFmtId="3" fontId="5" fillId="8" borderId="49" xfId="0" applyNumberFormat="1" applyFont="1" applyFill="1" applyBorder="1" applyAlignment="1">
      <alignment horizontal="right" vertical="top"/>
    </xf>
    <xf numFmtId="3" fontId="5" fillId="8" borderId="7" xfId="0" applyNumberFormat="1" applyFont="1" applyFill="1" applyBorder="1" applyAlignment="1">
      <alignment horizontal="right" vertical="top"/>
    </xf>
    <xf numFmtId="3" fontId="3" fillId="8" borderId="112" xfId="0" applyNumberFormat="1" applyFont="1" applyFill="1" applyBorder="1" applyAlignment="1">
      <alignment horizontal="right" vertical="top"/>
    </xf>
    <xf numFmtId="3" fontId="3" fillId="8" borderId="41" xfId="1" applyNumberFormat="1" applyFont="1" applyFill="1" applyBorder="1" applyAlignment="1">
      <alignment horizontal="right" vertical="top"/>
    </xf>
    <xf numFmtId="3" fontId="3" fillId="7" borderId="41" xfId="1" applyNumberFormat="1" applyFont="1" applyFill="1" applyBorder="1" applyAlignment="1">
      <alignment horizontal="right" vertical="top"/>
    </xf>
    <xf numFmtId="3" fontId="3" fillId="0" borderId="41" xfId="0" applyNumberFormat="1" applyFont="1" applyBorder="1" applyAlignment="1">
      <alignment horizontal="right" vertical="top"/>
    </xf>
    <xf numFmtId="3" fontId="3" fillId="0" borderId="23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3" fontId="3" fillId="0" borderId="45" xfId="0" applyNumberFormat="1" applyFont="1" applyBorder="1" applyAlignment="1">
      <alignment horizontal="right" vertical="top"/>
    </xf>
    <xf numFmtId="3" fontId="3" fillId="3" borderId="10" xfId="0" applyNumberFormat="1" applyFont="1" applyFill="1" applyBorder="1" applyAlignment="1">
      <alignment horizontal="right" vertical="top" wrapText="1"/>
    </xf>
    <xf numFmtId="3" fontId="3" fillId="8" borderId="111" xfId="0" applyNumberFormat="1" applyFont="1" applyFill="1" applyBorder="1" applyAlignment="1">
      <alignment horizontal="right" vertical="top"/>
    </xf>
    <xf numFmtId="3" fontId="3" fillId="7" borderId="23" xfId="0" applyNumberFormat="1" applyFont="1" applyFill="1" applyBorder="1" applyAlignment="1">
      <alignment horizontal="right" vertical="top" wrapText="1"/>
    </xf>
    <xf numFmtId="3" fontId="3" fillId="7" borderId="66" xfId="0" applyNumberFormat="1" applyFont="1" applyFill="1" applyBorder="1" applyAlignment="1">
      <alignment horizontal="right" vertical="top" wrapText="1"/>
    </xf>
    <xf numFmtId="3" fontId="3" fillId="7" borderId="44" xfId="0" applyNumberFormat="1" applyFont="1" applyFill="1" applyBorder="1" applyAlignment="1">
      <alignment horizontal="right" vertical="top" wrapText="1"/>
    </xf>
    <xf numFmtId="3" fontId="5" fillId="8" borderId="63" xfId="0" applyNumberFormat="1" applyFont="1" applyFill="1" applyBorder="1" applyAlignment="1">
      <alignment horizontal="right" vertical="top"/>
    </xf>
    <xf numFmtId="3" fontId="3" fillId="0" borderId="6" xfId="0" applyNumberFormat="1" applyFont="1" applyFill="1" applyBorder="1" applyAlignment="1">
      <alignment horizontal="right" vertical="top"/>
    </xf>
    <xf numFmtId="3" fontId="5" fillId="8" borderId="62" xfId="0" applyNumberFormat="1" applyFont="1" applyFill="1" applyBorder="1" applyAlignment="1">
      <alignment horizontal="right" vertical="top"/>
    </xf>
    <xf numFmtId="3" fontId="3" fillId="0" borderId="41" xfId="0" applyNumberFormat="1" applyFont="1" applyFill="1" applyBorder="1" applyAlignment="1">
      <alignment horizontal="right" vertical="top"/>
    </xf>
    <xf numFmtId="3" fontId="3" fillId="3" borderId="53" xfId="0" applyNumberFormat="1" applyFont="1" applyFill="1" applyBorder="1" applyAlignment="1">
      <alignment horizontal="right" vertical="top"/>
    </xf>
    <xf numFmtId="3" fontId="3" fillId="3" borderId="55" xfId="0" applyNumberFormat="1" applyFont="1" applyFill="1" applyBorder="1" applyAlignment="1">
      <alignment horizontal="right" vertical="top"/>
    </xf>
    <xf numFmtId="3" fontId="3" fillId="3" borderId="72" xfId="0" applyNumberFormat="1" applyFont="1" applyFill="1" applyBorder="1" applyAlignment="1">
      <alignment horizontal="right" vertical="top" wrapText="1"/>
    </xf>
    <xf numFmtId="3" fontId="3" fillId="0" borderId="78" xfId="0" applyNumberFormat="1" applyFont="1" applyFill="1" applyBorder="1" applyAlignment="1">
      <alignment horizontal="right" vertical="top"/>
    </xf>
    <xf numFmtId="3" fontId="3" fillId="3" borderId="24" xfId="0" applyNumberFormat="1" applyFont="1" applyFill="1" applyBorder="1" applyAlignment="1">
      <alignment horizontal="right" vertical="top"/>
    </xf>
    <xf numFmtId="164" fontId="3" fillId="8" borderId="76" xfId="0" applyNumberFormat="1" applyFont="1" applyFill="1" applyBorder="1" applyAlignment="1">
      <alignment vertical="top"/>
    </xf>
    <xf numFmtId="164" fontId="3" fillId="3" borderId="10" xfId="0" applyNumberFormat="1" applyFont="1" applyFill="1" applyBorder="1" applyAlignment="1">
      <alignment vertical="top" wrapText="1"/>
    </xf>
    <xf numFmtId="3" fontId="3" fillId="8" borderId="0" xfId="0" applyNumberFormat="1" applyFont="1" applyFill="1" applyBorder="1" applyAlignment="1">
      <alignment vertical="top"/>
    </xf>
    <xf numFmtId="3" fontId="3" fillId="3" borderId="6" xfId="0" applyNumberFormat="1" applyFont="1" applyFill="1" applyBorder="1" applyAlignment="1">
      <alignment vertical="top" wrapText="1"/>
    </xf>
    <xf numFmtId="3" fontId="3" fillId="3" borderId="23" xfId="0" applyNumberFormat="1" applyFont="1" applyFill="1" applyBorder="1" applyAlignment="1">
      <alignment vertical="top" wrapText="1"/>
    </xf>
    <xf numFmtId="3" fontId="5" fillId="8" borderId="33" xfId="0" applyNumberFormat="1" applyFont="1" applyFill="1" applyBorder="1" applyAlignment="1">
      <alignment vertical="top"/>
    </xf>
    <xf numFmtId="3" fontId="5" fillId="8" borderId="69" xfId="0" applyNumberFormat="1" applyFont="1" applyFill="1" applyBorder="1" applyAlignment="1">
      <alignment vertical="top"/>
    </xf>
    <xf numFmtId="3" fontId="3" fillId="8" borderId="53" xfId="0" applyNumberFormat="1" applyFont="1" applyFill="1" applyBorder="1" applyAlignment="1">
      <alignment vertical="top"/>
    </xf>
    <xf numFmtId="3" fontId="3" fillId="3" borderId="41" xfId="0" applyNumberFormat="1" applyFont="1" applyFill="1" applyBorder="1" applyAlignment="1">
      <alignment vertical="top" wrapText="1"/>
    </xf>
    <xf numFmtId="3" fontId="3" fillId="3" borderId="52" xfId="0" applyNumberFormat="1" applyFont="1" applyFill="1" applyBorder="1" applyAlignment="1">
      <alignment vertical="top" wrapText="1"/>
    </xf>
    <xf numFmtId="3" fontId="3" fillId="8" borderId="78" xfId="0" applyNumberFormat="1" applyFont="1" applyFill="1" applyBorder="1" applyAlignment="1">
      <alignment vertical="top"/>
    </xf>
    <xf numFmtId="3" fontId="3" fillId="3" borderId="24" xfId="0" applyNumberFormat="1" applyFont="1" applyFill="1" applyBorder="1" applyAlignment="1">
      <alignment vertical="top" wrapText="1"/>
    </xf>
    <xf numFmtId="3" fontId="3" fillId="3" borderId="55" xfId="0" applyNumberFormat="1" applyFont="1" applyFill="1" applyBorder="1" applyAlignment="1">
      <alignment vertical="top" wrapText="1"/>
    </xf>
    <xf numFmtId="3" fontId="3" fillId="3" borderId="45" xfId="0" applyNumberFormat="1" applyFont="1" applyFill="1" applyBorder="1" applyAlignment="1">
      <alignment vertical="top" wrapText="1"/>
    </xf>
    <xf numFmtId="3" fontId="5" fillId="8" borderId="54" xfId="0" applyNumberFormat="1" applyFont="1" applyFill="1" applyBorder="1" applyAlignment="1">
      <alignment vertical="top"/>
    </xf>
    <xf numFmtId="3" fontId="5" fillId="8" borderId="68" xfId="0" applyNumberFormat="1" applyFont="1" applyFill="1" applyBorder="1" applyAlignment="1">
      <alignment vertical="top"/>
    </xf>
    <xf numFmtId="3" fontId="5" fillId="8" borderId="61" xfId="0" applyNumberFormat="1" applyFont="1" applyFill="1" applyBorder="1" applyAlignment="1">
      <alignment vertical="top"/>
    </xf>
    <xf numFmtId="3" fontId="5" fillId="8" borderId="65" xfId="0" applyNumberFormat="1" applyFont="1" applyFill="1" applyBorder="1" applyAlignment="1">
      <alignment vertical="top"/>
    </xf>
    <xf numFmtId="3" fontId="3" fillId="8" borderId="122" xfId="0" applyNumberFormat="1" applyFont="1" applyFill="1" applyBorder="1" applyAlignment="1">
      <alignment vertical="top"/>
    </xf>
    <xf numFmtId="3" fontId="3" fillId="3" borderId="89" xfId="0" applyNumberFormat="1" applyFont="1" applyFill="1" applyBorder="1" applyAlignment="1">
      <alignment vertical="top" wrapText="1"/>
    </xf>
    <xf numFmtId="3" fontId="3" fillId="3" borderId="104" xfId="0" applyNumberFormat="1" applyFont="1" applyFill="1" applyBorder="1" applyAlignment="1">
      <alignment vertical="top" wrapText="1"/>
    </xf>
    <xf numFmtId="3" fontId="5" fillId="8" borderId="59" xfId="0" applyNumberFormat="1" applyFont="1" applyFill="1" applyBorder="1" applyAlignment="1">
      <alignment vertical="top"/>
    </xf>
    <xf numFmtId="3" fontId="5" fillId="2" borderId="57" xfId="0" applyNumberFormat="1" applyFont="1" applyFill="1" applyBorder="1" applyAlignment="1">
      <alignment vertical="top"/>
    </xf>
    <xf numFmtId="3" fontId="5" fillId="2" borderId="25" xfId="0" applyNumberFormat="1" applyFont="1" applyFill="1" applyBorder="1" applyAlignment="1">
      <alignment vertical="top"/>
    </xf>
    <xf numFmtId="3" fontId="5" fillId="2" borderId="22" xfId="0" applyNumberFormat="1" applyFont="1" applyFill="1" applyBorder="1" applyAlignment="1">
      <alignment vertical="top"/>
    </xf>
    <xf numFmtId="3" fontId="5" fillId="9" borderId="73" xfId="0" applyNumberFormat="1" applyFont="1" applyFill="1" applyBorder="1" applyAlignment="1">
      <alignment vertical="top"/>
    </xf>
    <xf numFmtId="3" fontId="5" fillId="9" borderId="25" xfId="0" applyNumberFormat="1" applyFont="1" applyFill="1" applyBorder="1" applyAlignment="1">
      <alignment vertical="top"/>
    </xf>
    <xf numFmtId="3" fontId="5" fillId="9" borderId="22" xfId="0" applyNumberFormat="1" applyFont="1" applyFill="1" applyBorder="1" applyAlignment="1">
      <alignment vertical="top"/>
    </xf>
    <xf numFmtId="3" fontId="5" fillId="5" borderId="57" xfId="0" applyNumberFormat="1" applyFont="1" applyFill="1" applyBorder="1" applyAlignment="1">
      <alignment vertical="top"/>
    </xf>
    <xf numFmtId="3" fontId="5" fillId="5" borderId="25" xfId="0" applyNumberFormat="1" applyFont="1" applyFill="1" applyBorder="1" applyAlignment="1">
      <alignment vertical="top"/>
    </xf>
    <xf numFmtId="3" fontId="5" fillId="5" borderId="22" xfId="0" applyNumberFormat="1" applyFont="1" applyFill="1" applyBorder="1" applyAlignment="1">
      <alignment vertical="top"/>
    </xf>
    <xf numFmtId="49" fontId="5" fillId="7" borderId="43" xfId="0" applyNumberFormat="1" applyFont="1" applyFill="1" applyBorder="1" applyAlignment="1">
      <alignment vertical="top"/>
    </xf>
    <xf numFmtId="49" fontId="5" fillId="0" borderId="39" xfId="0" applyNumberFormat="1" applyFont="1" applyBorder="1" applyAlignment="1">
      <alignment horizontal="center" vertical="top"/>
    </xf>
    <xf numFmtId="3" fontId="3" fillId="3" borderId="1" xfId="0" applyNumberFormat="1" applyFont="1" applyFill="1" applyBorder="1" applyAlignment="1">
      <alignment horizontal="center" wrapText="1"/>
    </xf>
    <xf numFmtId="3" fontId="3" fillId="3" borderId="125" xfId="0" applyNumberFormat="1" applyFont="1" applyFill="1" applyBorder="1" applyAlignment="1">
      <alignment horizontal="right" vertical="top"/>
    </xf>
    <xf numFmtId="3" fontId="3" fillId="3" borderId="112" xfId="0" applyNumberFormat="1" applyFont="1" applyFill="1" applyBorder="1" applyAlignment="1">
      <alignment horizontal="right" vertical="top"/>
    </xf>
    <xf numFmtId="3" fontId="3" fillId="0" borderId="11" xfId="0" applyNumberFormat="1" applyFont="1" applyFill="1" applyBorder="1" applyAlignment="1">
      <alignment horizontal="center" vertical="top"/>
    </xf>
    <xf numFmtId="0" fontId="3" fillId="0" borderId="124" xfId="0" applyFont="1" applyFill="1" applyBorder="1" applyAlignment="1">
      <alignment horizontal="center" vertical="top"/>
    </xf>
    <xf numFmtId="3" fontId="3" fillId="3" borderId="124" xfId="0" applyNumberFormat="1" applyFont="1" applyFill="1" applyBorder="1" applyAlignment="1">
      <alignment horizontal="right" vertical="top" wrapText="1"/>
    </xf>
    <xf numFmtId="0" fontId="3" fillId="0" borderId="95" xfId="0" applyFont="1" applyBorder="1" applyAlignment="1">
      <alignment vertical="top" wrapText="1"/>
    </xf>
    <xf numFmtId="0" fontId="3" fillId="3" borderId="95" xfId="0" applyFont="1" applyFill="1" applyBorder="1" applyAlignment="1">
      <alignment horizontal="left" vertical="top" wrapText="1"/>
    </xf>
    <xf numFmtId="0" fontId="5" fillId="0" borderId="117" xfId="0" applyFont="1" applyFill="1" applyBorder="1" applyAlignment="1">
      <alignment horizontal="center" vertical="top" wrapText="1"/>
    </xf>
    <xf numFmtId="0" fontId="7" fillId="0" borderId="71" xfId="0" applyFont="1" applyFill="1" applyBorder="1" applyAlignment="1">
      <alignment horizontal="center" vertical="center" wrapText="1"/>
    </xf>
    <xf numFmtId="3" fontId="3" fillId="8" borderId="76" xfId="0" applyNumberFormat="1" applyFont="1" applyFill="1" applyBorder="1" applyAlignment="1">
      <alignment horizontal="right" vertical="top"/>
    </xf>
    <xf numFmtId="3" fontId="3" fillId="8" borderId="127" xfId="0" applyNumberFormat="1" applyFont="1" applyFill="1" applyBorder="1" applyAlignment="1">
      <alignment horizontal="right" vertical="top"/>
    </xf>
    <xf numFmtId="3" fontId="3" fillId="3" borderId="128" xfId="0" applyNumberFormat="1" applyFont="1" applyFill="1" applyBorder="1" applyAlignment="1">
      <alignment horizontal="right" vertical="top" wrapText="1"/>
    </xf>
    <xf numFmtId="0" fontId="3" fillId="7" borderId="124" xfId="0" applyFont="1" applyFill="1" applyBorder="1" applyAlignment="1">
      <alignment horizontal="center" vertical="top"/>
    </xf>
    <xf numFmtId="0" fontId="3" fillId="0" borderId="120" xfId="0" applyFont="1" applyFill="1" applyBorder="1" applyAlignment="1">
      <alignment horizontal="left" vertical="top" wrapText="1"/>
    </xf>
    <xf numFmtId="3" fontId="3" fillId="0" borderId="121" xfId="0" applyNumberFormat="1" applyFont="1" applyFill="1" applyBorder="1" applyAlignment="1">
      <alignment horizontal="center" vertical="top"/>
    </xf>
    <xf numFmtId="3" fontId="3" fillId="0" borderId="126" xfId="0" applyNumberFormat="1" applyFont="1" applyFill="1" applyBorder="1" applyAlignment="1">
      <alignment horizontal="center" vertical="top"/>
    </xf>
    <xf numFmtId="0" fontId="3" fillId="7" borderId="83" xfId="0" applyFont="1" applyFill="1" applyBorder="1" applyAlignment="1">
      <alignment vertical="top" wrapText="1"/>
    </xf>
    <xf numFmtId="0" fontId="5" fillId="0" borderId="81" xfId="0" applyFont="1" applyFill="1" applyBorder="1" applyAlignment="1">
      <alignment horizontal="center" vertical="top" wrapText="1"/>
    </xf>
    <xf numFmtId="49" fontId="5" fillId="0" borderId="84" xfId="0" applyNumberFormat="1" applyFont="1" applyBorder="1" applyAlignment="1">
      <alignment horizontal="center" vertical="top"/>
    </xf>
    <xf numFmtId="0" fontId="3" fillId="7" borderId="103" xfId="0" applyFont="1" applyFill="1" applyBorder="1" applyAlignment="1">
      <alignment horizontal="center" vertical="top"/>
    </xf>
    <xf numFmtId="0" fontId="16" fillId="0" borderId="81" xfId="0" applyFont="1" applyFill="1" applyBorder="1" applyAlignment="1">
      <alignment horizontal="left" vertical="top" wrapText="1"/>
    </xf>
    <xf numFmtId="0" fontId="3" fillId="7" borderId="82" xfId="0" applyNumberFormat="1" applyFont="1" applyFill="1" applyBorder="1" applyAlignment="1">
      <alignment horizontal="center" vertical="top"/>
    </xf>
    <xf numFmtId="0" fontId="3" fillId="7" borderId="82" xfId="0" applyNumberFormat="1" applyFont="1" applyFill="1" applyBorder="1" applyAlignment="1">
      <alignment vertical="center" textRotation="90"/>
    </xf>
    <xf numFmtId="0" fontId="3" fillId="7" borderId="84" xfId="0" applyNumberFormat="1" applyFont="1" applyFill="1" applyBorder="1" applyAlignment="1">
      <alignment vertical="center" textRotation="90"/>
    </xf>
    <xf numFmtId="3" fontId="3" fillId="8" borderId="20" xfId="0" applyNumberFormat="1" applyFont="1" applyFill="1" applyBorder="1" applyAlignment="1">
      <alignment horizontal="right" vertical="top"/>
    </xf>
    <xf numFmtId="3" fontId="3" fillId="7" borderId="8" xfId="0" applyNumberFormat="1" applyFont="1" applyFill="1" applyBorder="1" applyAlignment="1">
      <alignment horizontal="right" vertical="top"/>
    </xf>
    <xf numFmtId="3" fontId="3" fillId="7" borderId="40" xfId="0" applyNumberFormat="1" applyFont="1" applyFill="1" applyBorder="1" applyAlignment="1">
      <alignment horizontal="right" vertical="top"/>
    </xf>
    <xf numFmtId="0" fontId="3" fillId="7" borderId="90" xfId="0" applyFont="1" applyFill="1" applyBorder="1" applyAlignment="1">
      <alignment vertical="top" wrapText="1"/>
    </xf>
    <xf numFmtId="3" fontId="3" fillId="7" borderId="91" xfId="0" applyNumberFormat="1" applyFont="1" applyFill="1" applyBorder="1" applyAlignment="1">
      <alignment horizontal="center" vertical="top"/>
    </xf>
    <xf numFmtId="3" fontId="3" fillId="7" borderId="92" xfId="0" applyNumberFormat="1" applyFont="1" applyFill="1" applyBorder="1" applyAlignment="1">
      <alignment horizontal="center" vertical="top"/>
    </xf>
    <xf numFmtId="0" fontId="3" fillId="0" borderId="82" xfId="0" applyNumberFormat="1" applyFont="1" applyFill="1" applyBorder="1" applyAlignment="1">
      <alignment horizontal="center" vertical="top"/>
    </xf>
    <xf numFmtId="0" fontId="3" fillId="0" borderId="84" xfId="0" applyNumberFormat="1" applyFont="1" applyFill="1" applyBorder="1" applyAlignment="1">
      <alignment horizontal="center" vertical="top"/>
    </xf>
    <xf numFmtId="3" fontId="3" fillId="7" borderId="89" xfId="0" applyNumberFormat="1" applyFont="1" applyFill="1" applyBorder="1" applyAlignment="1">
      <alignment vertical="top"/>
    </xf>
    <xf numFmtId="3" fontId="3" fillId="7" borderId="104" xfId="0" applyNumberFormat="1" applyFont="1" applyFill="1" applyBorder="1" applyAlignment="1">
      <alignment vertical="top"/>
    </xf>
    <xf numFmtId="3" fontId="3" fillId="7" borderId="6" xfId="0" applyNumberFormat="1" applyFont="1" applyFill="1" applyBorder="1" applyAlignment="1">
      <alignment vertical="top"/>
    </xf>
    <xf numFmtId="3" fontId="3" fillId="7" borderId="0" xfId="0" applyNumberFormat="1" applyFont="1" applyFill="1" applyBorder="1" applyAlignment="1">
      <alignment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3" fontId="5" fillId="8" borderId="71" xfId="0" applyNumberFormat="1" applyFont="1" applyFill="1" applyBorder="1" applyAlignment="1">
      <alignment horizontal="right" vertical="top"/>
    </xf>
    <xf numFmtId="3" fontId="3" fillId="8" borderId="63" xfId="0" applyNumberFormat="1" applyFont="1" applyFill="1" applyBorder="1" applyAlignment="1">
      <alignment horizontal="right" vertical="top"/>
    </xf>
    <xf numFmtId="3" fontId="3" fillId="8" borderId="110" xfId="0" applyNumberFormat="1" applyFont="1" applyFill="1" applyBorder="1" applyAlignment="1">
      <alignment horizontal="right" vertical="top"/>
    </xf>
    <xf numFmtId="3" fontId="3" fillId="8" borderId="125" xfId="0" applyNumberFormat="1" applyFont="1" applyFill="1" applyBorder="1" applyAlignment="1">
      <alignment horizontal="right" vertical="top"/>
    </xf>
    <xf numFmtId="3" fontId="5" fillId="8" borderId="68" xfId="0" applyNumberFormat="1" applyFont="1" applyFill="1" applyBorder="1" applyAlignment="1">
      <alignment horizontal="right" vertical="top"/>
    </xf>
    <xf numFmtId="3" fontId="3" fillId="8" borderId="71" xfId="0" applyNumberFormat="1" applyFont="1" applyFill="1" applyBorder="1" applyAlignment="1">
      <alignment horizontal="right" vertical="top"/>
    </xf>
    <xf numFmtId="3" fontId="3" fillId="8" borderId="96" xfId="0" applyNumberFormat="1" applyFont="1" applyFill="1" applyBorder="1" applyAlignment="1">
      <alignment horizontal="right" vertical="top"/>
    </xf>
    <xf numFmtId="3" fontId="3" fillId="8" borderId="117" xfId="0" applyNumberFormat="1" applyFont="1" applyFill="1" applyBorder="1" applyAlignment="1">
      <alignment horizontal="right" vertical="top"/>
    </xf>
    <xf numFmtId="3" fontId="3" fillId="8" borderId="67" xfId="0" applyNumberFormat="1" applyFont="1" applyFill="1" applyBorder="1" applyAlignment="1">
      <alignment horizontal="right" vertical="top"/>
    </xf>
    <xf numFmtId="3" fontId="3" fillId="8" borderId="70" xfId="0" applyNumberFormat="1" applyFont="1" applyFill="1" applyBorder="1" applyAlignment="1">
      <alignment horizontal="right" vertical="top"/>
    </xf>
    <xf numFmtId="3" fontId="5" fillId="8" borderId="75" xfId="0" applyNumberFormat="1" applyFont="1" applyFill="1" applyBorder="1" applyAlignment="1">
      <alignment horizontal="right" vertical="top"/>
    </xf>
    <xf numFmtId="3" fontId="5" fillId="2" borderId="73" xfId="0" applyNumberFormat="1" applyFont="1" applyFill="1" applyBorder="1" applyAlignment="1">
      <alignment horizontal="right" vertical="top"/>
    </xf>
    <xf numFmtId="3" fontId="3" fillId="3" borderId="44" xfId="0" applyNumberFormat="1" applyFont="1" applyFill="1" applyBorder="1" applyAlignment="1">
      <alignment vertical="top" wrapText="1"/>
    </xf>
    <xf numFmtId="3" fontId="3" fillId="8" borderId="35" xfId="0" applyNumberFormat="1" applyFont="1" applyFill="1" applyBorder="1" applyAlignment="1">
      <alignment horizontal="right" vertical="top"/>
    </xf>
    <xf numFmtId="3" fontId="3" fillId="8" borderId="116" xfId="0" applyNumberFormat="1" applyFont="1" applyFill="1" applyBorder="1" applyAlignment="1">
      <alignment horizontal="right" vertical="top"/>
    </xf>
    <xf numFmtId="3" fontId="3" fillId="8" borderId="98" xfId="0" applyNumberFormat="1" applyFont="1" applyFill="1" applyBorder="1" applyAlignment="1">
      <alignment horizontal="right" vertical="top"/>
    </xf>
    <xf numFmtId="3" fontId="3" fillId="8" borderId="46" xfId="1" applyNumberFormat="1" applyFont="1" applyFill="1" applyBorder="1" applyAlignment="1">
      <alignment horizontal="right" vertical="top"/>
    </xf>
    <xf numFmtId="3" fontId="5" fillId="2" borderId="57" xfId="0" applyNumberFormat="1" applyFont="1" applyFill="1" applyBorder="1" applyAlignment="1">
      <alignment horizontal="right" vertical="top"/>
    </xf>
    <xf numFmtId="3" fontId="3" fillId="7" borderId="112" xfId="0" applyNumberFormat="1" applyFont="1" applyFill="1" applyBorder="1" applyAlignment="1">
      <alignment horizontal="right" vertical="top"/>
    </xf>
    <xf numFmtId="3" fontId="3" fillId="7" borderId="80" xfId="0" applyNumberFormat="1" applyFont="1" applyFill="1" applyBorder="1" applyAlignment="1">
      <alignment horizontal="right" vertical="top"/>
    </xf>
    <xf numFmtId="3" fontId="3" fillId="7" borderId="103" xfId="0" applyNumberFormat="1" applyFont="1" applyFill="1" applyBorder="1" applyAlignment="1">
      <alignment horizontal="right" vertical="top"/>
    </xf>
    <xf numFmtId="0" fontId="5" fillId="8" borderId="69" xfId="0" applyFont="1" applyFill="1" applyBorder="1" applyAlignment="1">
      <alignment horizontal="center" vertical="top"/>
    </xf>
    <xf numFmtId="0" fontId="5" fillId="3" borderId="71" xfId="0" applyFont="1" applyFill="1" applyBorder="1" applyAlignment="1">
      <alignment horizontal="center" vertical="top"/>
    </xf>
    <xf numFmtId="3" fontId="3" fillId="7" borderId="45" xfId="0" applyNumberFormat="1" applyFont="1" applyFill="1" applyBorder="1" applyAlignment="1">
      <alignment horizontal="center" vertical="top"/>
    </xf>
    <xf numFmtId="0" fontId="3" fillId="0" borderId="51" xfId="0" applyFont="1" applyFill="1" applyBorder="1" applyAlignment="1">
      <alignment horizontal="center" vertical="top" wrapText="1"/>
    </xf>
    <xf numFmtId="0" fontId="3" fillId="7" borderId="67" xfId="0" applyFont="1" applyFill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left" vertical="top"/>
    </xf>
    <xf numFmtId="3" fontId="3" fillId="0" borderId="0" xfId="0" applyNumberFormat="1" applyFont="1" applyBorder="1" applyAlignment="1">
      <alignment vertical="top"/>
    </xf>
    <xf numFmtId="0" fontId="3" fillId="7" borderId="93" xfId="0" applyFont="1" applyFill="1" applyBorder="1" applyAlignment="1">
      <alignment vertical="top" wrapText="1"/>
    </xf>
    <xf numFmtId="3" fontId="3" fillId="7" borderId="94" xfId="0" applyNumberFormat="1" applyFont="1" applyFill="1" applyBorder="1" applyAlignment="1">
      <alignment horizontal="center" vertical="top" wrapText="1"/>
    </xf>
    <xf numFmtId="3" fontId="3" fillId="0" borderId="94" xfId="0" applyNumberFormat="1" applyFont="1" applyFill="1" applyBorder="1" applyAlignment="1">
      <alignment horizontal="center" vertical="top" wrapText="1"/>
    </xf>
    <xf numFmtId="3" fontId="3" fillId="0" borderId="95" xfId="0" applyNumberFormat="1" applyFont="1" applyFill="1" applyBorder="1" applyAlignment="1">
      <alignment horizontal="center" vertical="top" wrapText="1"/>
    </xf>
    <xf numFmtId="3" fontId="3" fillId="3" borderId="97" xfId="0" applyNumberFormat="1" applyFont="1" applyFill="1" applyBorder="1" applyAlignment="1">
      <alignment horizontal="right" vertical="top" wrapText="1"/>
    </xf>
    <xf numFmtId="3" fontId="3" fillId="8" borderId="81" xfId="0" applyNumberFormat="1" applyFont="1" applyFill="1" applyBorder="1" applyAlignment="1">
      <alignment horizontal="right" vertical="top"/>
    </xf>
    <xf numFmtId="0" fontId="3" fillId="0" borderId="116" xfId="0" applyFont="1" applyFill="1" applyBorder="1" applyAlignment="1">
      <alignment horizontal="center" vertical="top" wrapText="1"/>
    </xf>
    <xf numFmtId="3" fontId="3" fillId="3" borderId="125" xfId="0" applyNumberFormat="1" applyFont="1" applyFill="1" applyBorder="1" applyAlignment="1">
      <alignment horizontal="right" vertical="top" wrapText="1"/>
    </xf>
    <xf numFmtId="3" fontId="3" fillId="0" borderId="78" xfId="0" applyNumberFormat="1" applyFont="1" applyFill="1" applyBorder="1" applyAlignment="1">
      <alignment horizontal="right" vertical="top" wrapText="1"/>
    </xf>
    <xf numFmtId="49" fontId="5" fillId="2" borderId="0" xfId="0" applyNumberFormat="1" applyFont="1" applyFill="1" applyBorder="1" applyAlignment="1">
      <alignment horizontal="center" vertical="top"/>
    </xf>
    <xf numFmtId="3" fontId="3" fillId="0" borderId="72" xfId="0" applyNumberFormat="1" applyFont="1" applyFill="1" applyBorder="1" applyAlignment="1">
      <alignment horizontal="right" vertical="top"/>
    </xf>
    <xf numFmtId="3" fontId="3" fillId="0" borderId="10" xfId="0" applyNumberFormat="1" applyFont="1" applyFill="1" applyBorder="1" applyAlignment="1">
      <alignment horizontal="right" vertical="top"/>
    </xf>
    <xf numFmtId="0" fontId="7" fillId="7" borderId="35" xfId="0" applyFont="1" applyFill="1" applyBorder="1" applyAlignment="1">
      <alignment horizontal="center" vertical="center" wrapText="1"/>
    </xf>
    <xf numFmtId="0" fontId="3" fillId="7" borderId="45" xfId="0" applyFont="1" applyFill="1" applyBorder="1" applyAlignment="1">
      <alignment horizontal="center" vertical="top"/>
    </xf>
    <xf numFmtId="0" fontId="3" fillId="7" borderId="5" xfId="0" applyFont="1" applyFill="1" applyBorder="1" applyAlignment="1">
      <alignment vertical="top" wrapText="1"/>
    </xf>
    <xf numFmtId="3" fontId="3" fillId="7" borderId="87" xfId="0" applyNumberFormat="1" applyFont="1" applyFill="1" applyBorder="1" applyAlignment="1">
      <alignment horizontal="center" vertical="center"/>
    </xf>
    <xf numFmtId="0" fontId="3" fillId="7" borderId="112" xfId="0" applyFont="1" applyFill="1" applyBorder="1" applyAlignment="1">
      <alignment horizontal="center" vertical="top"/>
    </xf>
    <xf numFmtId="3" fontId="3" fillId="8" borderId="118" xfId="0" applyNumberFormat="1" applyFont="1" applyFill="1" applyBorder="1" applyAlignment="1">
      <alignment horizontal="right" vertical="top"/>
    </xf>
    <xf numFmtId="0" fontId="2" fillId="7" borderId="7" xfId="0" applyFont="1" applyFill="1" applyBorder="1" applyAlignment="1">
      <alignment horizontal="center" vertical="center" textRotation="90" wrapText="1"/>
    </xf>
    <xf numFmtId="0" fontId="0" fillId="7" borderId="7" xfId="0" applyFill="1" applyBorder="1" applyAlignment="1">
      <alignment horizontal="center" vertical="center" wrapText="1"/>
    </xf>
    <xf numFmtId="3" fontId="3" fillId="0" borderId="106" xfId="0" applyNumberFormat="1" applyFont="1" applyFill="1" applyBorder="1" applyAlignment="1">
      <alignment horizontal="center" vertical="top"/>
    </xf>
    <xf numFmtId="3" fontId="3" fillId="0" borderId="113" xfId="0" applyNumberFormat="1" applyFont="1" applyFill="1" applyBorder="1" applyAlignment="1">
      <alignment horizontal="center" vertical="top"/>
    </xf>
    <xf numFmtId="3" fontId="3" fillId="0" borderId="58" xfId="0" applyNumberFormat="1" applyFont="1" applyFill="1" applyBorder="1" applyAlignment="1">
      <alignment horizontal="center" vertical="top"/>
    </xf>
    <xf numFmtId="49" fontId="5" fillId="7" borderId="36" xfId="0" applyNumberFormat="1" applyFont="1" applyFill="1" applyBorder="1" applyAlignment="1">
      <alignment horizontal="center" vertical="top"/>
    </xf>
    <xf numFmtId="0" fontId="7" fillId="7" borderId="67" xfId="0" applyFont="1" applyFill="1" applyBorder="1" applyAlignment="1">
      <alignment horizontal="center" vertical="center" wrapText="1"/>
    </xf>
    <xf numFmtId="0" fontId="3" fillId="0" borderId="97" xfId="0" applyFont="1" applyFill="1" applyBorder="1" applyAlignment="1">
      <alignment horizontal="center" vertical="top"/>
    </xf>
    <xf numFmtId="3" fontId="3" fillId="8" borderId="119" xfId="0" applyNumberFormat="1" applyFont="1" applyFill="1" applyBorder="1" applyAlignment="1">
      <alignment horizontal="right" vertical="top"/>
    </xf>
    <xf numFmtId="3" fontId="3" fillId="3" borderId="102" xfId="0" applyNumberFormat="1" applyFont="1" applyFill="1" applyBorder="1" applyAlignment="1">
      <alignment horizontal="right" vertical="top" wrapText="1"/>
    </xf>
    <xf numFmtId="0" fontId="3" fillId="0" borderId="67" xfId="0" applyFont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 wrapText="1"/>
    </xf>
    <xf numFmtId="3" fontId="3" fillId="3" borderId="32" xfId="0" applyNumberFormat="1" applyFont="1" applyFill="1" applyBorder="1" applyAlignment="1">
      <alignment horizontal="center" vertical="top" wrapText="1"/>
    </xf>
    <xf numFmtId="0" fontId="22" fillId="3" borderId="12" xfId="0" applyFont="1" applyFill="1" applyBorder="1" applyAlignment="1">
      <alignment horizontal="center" vertical="center" textRotation="90" wrapText="1"/>
    </xf>
    <xf numFmtId="0" fontId="22" fillId="0" borderId="16" xfId="0" applyFont="1" applyFill="1" applyBorder="1" applyAlignment="1">
      <alignment horizontal="center" vertical="center" textRotation="90" wrapText="1"/>
    </xf>
    <xf numFmtId="0" fontId="3" fillId="7" borderId="81" xfId="0" applyFont="1" applyFill="1" applyBorder="1" applyAlignment="1">
      <alignment vertical="top" wrapText="1"/>
    </xf>
    <xf numFmtId="3" fontId="3" fillId="7" borderId="85" xfId="0" applyNumberFormat="1" applyFont="1" applyFill="1" applyBorder="1" applyAlignment="1">
      <alignment horizontal="center" vertical="top" wrapText="1"/>
    </xf>
    <xf numFmtId="3" fontId="3" fillId="7" borderId="84" xfId="0" applyNumberFormat="1" applyFont="1" applyFill="1" applyBorder="1" applyAlignment="1">
      <alignment horizontal="center" vertical="top" wrapText="1"/>
    </xf>
    <xf numFmtId="3" fontId="3" fillId="7" borderId="121" xfId="0" applyNumberFormat="1" applyFont="1" applyFill="1" applyBorder="1" applyAlignment="1">
      <alignment horizontal="center" vertical="top"/>
    </xf>
    <xf numFmtId="0" fontId="3" fillId="7" borderId="35" xfId="0" applyFont="1" applyFill="1" applyBorder="1" applyAlignment="1">
      <alignment horizontal="center" vertical="top" wrapText="1"/>
    </xf>
    <xf numFmtId="49" fontId="17" fillId="0" borderId="11" xfId="0" applyNumberFormat="1" applyFont="1" applyFill="1" applyBorder="1" applyAlignment="1">
      <alignment horizontal="center" vertical="top"/>
    </xf>
    <xf numFmtId="49" fontId="17" fillId="0" borderId="18" xfId="0" applyNumberFormat="1" applyFont="1" applyFill="1" applyBorder="1" applyAlignment="1">
      <alignment horizontal="center" vertical="top"/>
    </xf>
    <xf numFmtId="0" fontId="17" fillId="0" borderId="0" xfId="0" applyFont="1" applyBorder="1" applyAlignment="1">
      <alignment vertical="top"/>
    </xf>
    <xf numFmtId="3" fontId="3" fillId="7" borderId="88" xfId="0" applyNumberFormat="1" applyFont="1" applyFill="1" applyBorder="1" applyAlignment="1">
      <alignment horizontal="center" vertical="top"/>
    </xf>
    <xf numFmtId="3" fontId="3" fillId="0" borderId="0" xfId="0" applyNumberFormat="1" applyFont="1" applyAlignment="1">
      <alignment vertical="top"/>
    </xf>
    <xf numFmtId="0" fontId="0" fillId="7" borderId="86" xfId="0" applyFill="1" applyBorder="1" applyAlignment="1">
      <alignment horizontal="center" vertical="center" wrapText="1"/>
    </xf>
    <xf numFmtId="49" fontId="5" fillId="7" borderId="43" xfId="0" applyNumberFormat="1" applyFont="1" applyFill="1" applyBorder="1" applyAlignment="1">
      <alignment horizontal="center" vertical="top"/>
    </xf>
    <xf numFmtId="49" fontId="5" fillId="7" borderId="50" xfId="0" applyNumberFormat="1" applyFont="1" applyFill="1" applyBorder="1" applyAlignment="1">
      <alignment horizontal="center" vertical="top"/>
    </xf>
    <xf numFmtId="3" fontId="5" fillId="8" borderId="67" xfId="0" applyNumberFormat="1" applyFont="1" applyFill="1" applyBorder="1" applyAlignment="1">
      <alignment horizontal="right" vertical="top"/>
    </xf>
    <xf numFmtId="49" fontId="5" fillId="0" borderId="126" xfId="0" applyNumberFormat="1" applyFont="1" applyBorder="1" applyAlignment="1">
      <alignment horizontal="center" vertical="top"/>
    </xf>
    <xf numFmtId="3" fontId="17" fillId="7" borderId="0" xfId="0" applyNumberFormat="1" applyFont="1" applyFill="1" applyBorder="1" applyAlignment="1">
      <alignment vertical="top"/>
    </xf>
    <xf numFmtId="0" fontId="5" fillId="0" borderId="7" xfId="0" applyFont="1" applyBorder="1" applyAlignment="1">
      <alignment horizontal="center" vertical="center"/>
    </xf>
    <xf numFmtId="0" fontId="3" fillId="3" borderId="126" xfId="0" applyFont="1" applyFill="1" applyBorder="1" applyAlignment="1">
      <alignment horizontal="left" vertical="top" wrapText="1"/>
    </xf>
    <xf numFmtId="0" fontId="11" fillId="7" borderId="120" xfId="0" applyFont="1" applyFill="1" applyBorder="1" applyAlignment="1">
      <alignment horizontal="center" vertical="center" wrapText="1"/>
    </xf>
    <xf numFmtId="0" fontId="11" fillId="7" borderId="67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0" borderId="61" xfId="0" applyFont="1" applyFill="1" applyBorder="1" applyAlignment="1">
      <alignment horizontal="center" vertical="top"/>
    </xf>
    <xf numFmtId="3" fontId="3" fillId="8" borderId="33" xfId="0" applyNumberFormat="1" applyFont="1" applyFill="1" applyBorder="1" applyAlignment="1">
      <alignment vertical="top"/>
    </xf>
    <xf numFmtId="3" fontId="3" fillId="3" borderId="69" xfId="0" applyNumberFormat="1" applyFont="1" applyFill="1" applyBorder="1" applyAlignment="1">
      <alignment vertical="top" wrapText="1"/>
    </xf>
    <xf numFmtId="0" fontId="3" fillId="0" borderId="60" xfId="0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center" vertical="top"/>
    </xf>
    <xf numFmtId="3" fontId="3" fillId="0" borderId="3" xfId="0" applyNumberFormat="1" applyFont="1" applyFill="1" applyBorder="1" applyAlignment="1">
      <alignment horizontal="center" vertical="top"/>
    </xf>
    <xf numFmtId="0" fontId="3" fillId="0" borderId="95" xfId="0" applyFont="1" applyFill="1" applyBorder="1" applyAlignment="1">
      <alignment horizontal="left" vertical="top" wrapText="1"/>
    </xf>
    <xf numFmtId="165" fontId="3" fillId="7" borderId="11" xfId="0" applyNumberFormat="1" applyFont="1" applyFill="1" applyBorder="1" applyAlignment="1">
      <alignment horizontal="center" vertical="top"/>
    </xf>
    <xf numFmtId="165" fontId="3" fillId="7" borderId="18" xfId="0" applyNumberFormat="1" applyFont="1" applyFill="1" applyBorder="1" applyAlignment="1">
      <alignment horizontal="center" vertical="top"/>
    </xf>
    <xf numFmtId="0" fontId="3" fillId="7" borderId="120" xfId="0" applyFont="1" applyFill="1" applyBorder="1" applyAlignment="1">
      <alignment horizontal="left" vertical="top" wrapText="1"/>
    </xf>
    <xf numFmtId="3" fontId="3" fillId="7" borderId="126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0" fontId="3" fillId="3" borderId="18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left" vertical="top" wrapText="1"/>
    </xf>
    <xf numFmtId="0" fontId="11" fillId="0" borderId="32" xfId="0" applyFont="1" applyBorder="1" applyAlignment="1">
      <alignment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7" borderId="31" xfId="0" applyNumberFormat="1" applyFont="1" applyFill="1" applyBorder="1" applyAlignment="1">
      <alignment horizontal="center" vertical="top"/>
    </xf>
    <xf numFmtId="49" fontId="5" fillId="7" borderId="26" xfId="0" applyNumberFormat="1" applyFont="1" applyFill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3" borderId="28" xfId="0" applyFont="1" applyFill="1" applyBorder="1" applyAlignment="1">
      <alignment horizontal="left" vertical="top" wrapText="1"/>
    </xf>
    <xf numFmtId="0" fontId="5" fillId="3" borderId="38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49" fontId="5" fillId="0" borderId="21" xfId="0" applyNumberFormat="1" applyFont="1" applyBorder="1" applyAlignment="1">
      <alignment horizontal="center" vertical="top"/>
    </xf>
    <xf numFmtId="0" fontId="3" fillId="0" borderId="30" xfId="0" applyFont="1" applyFill="1" applyBorder="1" applyAlignment="1">
      <alignment horizontal="left" vertical="top" wrapText="1"/>
    </xf>
    <xf numFmtId="49" fontId="5" fillId="0" borderId="28" xfId="0" applyNumberFormat="1" applyFont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9" borderId="5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0" fontId="3" fillId="3" borderId="18" xfId="0" applyFont="1" applyFill="1" applyBorder="1" applyAlignment="1">
      <alignment vertical="top" wrapText="1"/>
    </xf>
    <xf numFmtId="0" fontId="3" fillId="3" borderId="32" xfId="0" applyFont="1" applyFill="1" applyBorder="1" applyAlignment="1">
      <alignment vertical="top" wrapText="1"/>
    </xf>
    <xf numFmtId="0" fontId="11" fillId="3" borderId="28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center" vertical="top" wrapText="1"/>
    </xf>
    <xf numFmtId="0" fontId="3" fillId="0" borderId="46" xfId="0" applyFont="1" applyFill="1" applyBorder="1" applyAlignment="1">
      <alignment horizontal="center" vertical="center" textRotation="90" wrapText="1"/>
    </xf>
    <xf numFmtId="0" fontId="3" fillId="0" borderId="75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7" borderId="58" xfId="0" applyNumberFormat="1" applyFont="1" applyFill="1" applyBorder="1" applyAlignment="1">
      <alignment horizontal="center" vertical="top"/>
    </xf>
    <xf numFmtId="0" fontId="3" fillId="3" borderId="30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center" vertical="top" wrapText="1"/>
    </xf>
    <xf numFmtId="49" fontId="5" fillId="9" borderId="35" xfId="0" applyNumberFormat="1" applyFont="1" applyFill="1" applyBorder="1" applyAlignment="1">
      <alignment horizontal="center" vertical="top"/>
    </xf>
    <xf numFmtId="49" fontId="5" fillId="0" borderId="88" xfId="0" applyNumberFormat="1" applyFont="1" applyBorder="1" applyAlignment="1">
      <alignment horizontal="center" vertical="top"/>
    </xf>
    <xf numFmtId="0" fontId="19" fillId="0" borderId="7" xfId="0" applyFont="1" applyBorder="1" applyAlignment="1">
      <alignment horizontal="center" vertical="top" wrapText="1"/>
    </xf>
    <xf numFmtId="0" fontId="5" fillId="3" borderId="51" xfId="0" applyFont="1" applyFill="1" applyBorder="1" applyAlignment="1">
      <alignment horizontal="center" vertical="top" wrapText="1"/>
    </xf>
    <xf numFmtId="49" fontId="5" fillId="3" borderId="48" xfId="0" applyNumberFormat="1" applyFont="1" applyFill="1" applyBorder="1" applyAlignment="1">
      <alignment horizontal="center" vertical="top"/>
    </xf>
    <xf numFmtId="49" fontId="5" fillId="9" borderId="30" xfId="0" applyNumberFormat="1" applyFont="1" applyFill="1" applyBorder="1" applyAlignment="1">
      <alignment horizontal="center" vertical="top"/>
    </xf>
    <xf numFmtId="49" fontId="5" fillId="2" borderId="29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vertical="top" wrapText="1"/>
    </xf>
    <xf numFmtId="49" fontId="5" fillId="0" borderId="17" xfId="0" applyNumberFormat="1" applyFont="1" applyBorder="1" applyAlignment="1">
      <alignment horizontal="center" vertical="top"/>
    </xf>
    <xf numFmtId="0" fontId="5" fillId="0" borderId="67" xfId="0" applyFont="1" applyFill="1" applyBorder="1" applyAlignment="1">
      <alignment horizontal="center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7" borderId="30" xfId="0" applyFont="1" applyFill="1" applyBorder="1" applyAlignment="1">
      <alignment horizontal="left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left" vertical="top" wrapText="1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26" xfId="0" applyNumberFormat="1" applyFont="1" applyFill="1" applyBorder="1" applyAlignment="1">
      <alignment horizontal="left" vertical="top" wrapText="1"/>
    </xf>
    <xf numFmtId="3" fontId="3" fillId="0" borderId="18" xfId="0" applyNumberFormat="1" applyFont="1" applyFill="1" applyBorder="1" applyAlignment="1">
      <alignment horizontal="center" vertical="center"/>
    </xf>
    <xf numFmtId="164" fontId="3" fillId="8" borderId="66" xfId="0" applyNumberFormat="1" applyFont="1" applyFill="1" applyBorder="1" applyAlignment="1">
      <alignment horizontal="right" vertical="top"/>
    </xf>
    <xf numFmtId="3" fontId="3" fillId="8" borderId="87" xfId="0" applyNumberFormat="1" applyFont="1" applyFill="1" applyBorder="1" applyAlignment="1">
      <alignment horizontal="right" vertical="top"/>
    </xf>
    <xf numFmtId="3" fontId="3" fillId="8" borderId="94" xfId="0" applyNumberFormat="1" applyFont="1" applyFill="1" applyBorder="1" applyAlignment="1">
      <alignment horizontal="right" vertical="top"/>
    </xf>
    <xf numFmtId="3" fontId="3" fillId="8" borderId="29" xfId="0" applyNumberFormat="1" applyFont="1" applyFill="1" applyBorder="1" applyAlignment="1">
      <alignment horizontal="right" vertical="top"/>
    </xf>
    <xf numFmtId="3" fontId="3" fillId="8" borderId="82" xfId="0" applyNumberFormat="1" applyFont="1" applyFill="1" applyBorder="1" applyAlignment="1">
      <alignment horizontal="right" vertical="top"/>
    </xf>
    <xf numFmtId="3" fontId="3" fillId="8" borderId="11" xfId="0" applyNumberFormat="1" applyFont="1" applyFill="1" applyBorder="1" applyAlignment="1">
      <alignment horizontal="right" vertical="top"/>
    </xf>
    <xf numFmtId="3" fontId="3" fillId="8" borderId="1" xfId="0" applyNumberFormat="1" applyFont="1" applyFill="1" applyBorder="1" applyAlignment="1">
      <alignment horizontal="right" vertical="top"/>
    </xf>
    <xf numFmtId="3" fontId="5" fillId="8" borderId="2" xfId="0" applyNumberFormat="1" applyFont="1" applyFill="1" applyBorder="1" applyAlignment="1">
      <alignment horizontal="right" vertical="top"/>
    </xf>
    <xf numFmtId="3" fontId="3" fillId="0" borderId="108" xfId="0" applyNumberFormat="1" applyFont="1" applyFill="1" applyBorder="1" applyAlignment="1">
      <alignment horizontal="right" vertical="top"/>
    </xf>
    <xf numFmtId="3" fontId="3" fillId="8" borderId="100" xfId="0" applyNumberFormat="1" applyFont="1" applyFill="1" applyBorder="1" applyAlignment="1">
      <alignment horizontal="right" vertical="top"/>
    </xf>
    <xf numFmtId="3" fontId="5" fillId="8" borderId="13" xfId="0" applyNumberFormat="1" applyFont="1" applyFill="1" applyBorder="1" applyAlignment="1">
      <alignment horizontal="right" vertical="top"/>
    </xf>
    <xf numFmtId="3" fontId="5" fillId="8" borderId="26" xfId="0" applyNumberFormat="1" applyFont="1" applyFill="1" applyBorder="1" applyAlignment="1">
      <alignment horizontal="right" vertical="top"/>
    </xf>
    <xf numFmtId="3" fontId="5" fillId="8" borderId="31" xfId="0" applyNumberFormat="1" applyFont="1" applyFill="1" applyBorder="1" applyAlignment="1">
      <alignment horizontal="right" vertical="top"/>
    </xf>
    <xf numFmtId="3" fontId="5" fillId="8" borderId="11" xfId="0" applyNumberFormat="1" applyFont="1" applyFill="1" applyBorder="1" applyAlignment="1">
      <alignment horizontal="right" vertical="top"/>
    </xf>
    <xf numFmtId="3" fontId="3" fillId="8" borderId="26" xfId="1" applyNumberFormat="1" applyFont="1" applyFill="1" applyBorder="1" applyAlignment="1">
      <alignment horizontal="right" vertical="top"/>
    </xf>
    <xf numFmtId="3" fontId="5" fillId="2" borderId="4" xfId="0" applyNumberFormat="1" applyFont="1" applyFill="1" applyBorder="1" applyAlignment="1">
      <alignment horizontal="right" vertical="top"/>
    </xf>
    <xf numFmtId="3" fontId="3" fillId="8" borderId="26" xfId="0" applyNumberFormat="1" applyFont="1" applyFill="1" applyBorder="1" applyAlignment="1">
      <alignment horizontal="right" vertical="top"/>
    </xf>
    <xf numFmtId="3" fontId="3" fillId="8" borderId="91" xfId="0" applyNumberFormat="1" applyFont="1" applyFill="1" applyBorder="1" applyAlignment="1">
      <alignment horizontal="right" vertical="top"/>
    </xf>
    <xf numFmtId="3" fontId="3" fillId="8" borderId="31" xfId="0" applyNumberFormat="1" applyFont="1" applyFill="1" applyBorder="1" applyAlignment="1">
      <alignment vertical="top"/>
    </xf>
    <xf numFmtId="3" fontId="3" fillId="8" borderId="11" xfId="0" applyNumberFormat="1" applyFont="1" applyFill="1" applyBorder="1" applyAlignment="1">
      <alignment vertical="top"/>
    </xf>
    <xf numFmtId="3" fontId="3" fillId="8" borderId="29" xfId="0" applyNumberFormat="1" applyFont="1" applyFill="1" applyBorder="1" applyAlignment="1">
      <alignment vertical="top"/>
    </xf>
    <xf numFmtId="3" fontId="5" fillId="8" borderId="31" xfId="0" applyNumberFormat="1" applyFont="1" applyFill="1" applyBorder="1" applyAlignment="1">
      <alignment vertical="top"/>
    </xf>
    <xf numFmtId="3" fontId="3" fillId="8" borderId="26" xfId="0" applyNumberFormat="1" applyFont="1" applyFill="1" applyBorder="1" applyAlignment="1">
      <alignment vertical="top"/>
    </xf>
    <xf numFmtId="3" fontId="3" fillId="8" borderId="1" xfId="0" applyNumberFormat="1" applyFont="1" applyFill="1" applyBorder="1" applyAlignment="1">
      <alignment vertical="top"/>
    </xf>
    <xf numFmtId="3" fontId="3" fillId="8" borderId="91" xfId="0" applyNumberFormat="1" applyFont="1" applyFill="1" applyBorder="1" applyAlignment="1">
      <alignment vertical="top"/>
    </xf>
    <xf numFmtId="3" fontId="5" fillId="8" borderId="2" xfId="0" applyNumberFormat="1" applyFont="1" applyFill="1" applyBorder="1" applyAlignment="1">
      <alignment vertical="top"/>
    </xf>
    <xf numFmtId="3" fontId="5" fillId="5" borderId="71" xfId="0" applyNumberFormat="1" applyFont="1" applyFill="1" applyBorder="1" applyAlignment="1">
      <alignment horizontal="right" vertical="top"/>
    </xf>
    <xf numFmtId="3" fontId="3" fillId="7" borderId="67" xfId="0" applyNumberFormat="1" applyFont="1" applyFill="1" applyBorder="1" applyAlignment="1">
      <alignment horizontal="right" vertical="top"/>
    </xf>
    <xf numFmtId="3" fontId="3" fillId="0" borderId="67" xfId="0" applyNumberFormat="1" applyFont="1" applyBorder="1" applyAlignment="1">
      <alignment horizontal="right" vertical="top"/>
    </xf>
    <xf numFmtId="3" fontId="5" fillId="5" borderId="67" xfId="0" applyNumberFormat="1" applyFont="1" applyFill="1" applyBorder="1" applyAlignment="1">
      <alignment horizontal="right" vertical="top"/>
    </xf>
    <xf numFmtId="3" fontId="5" fillId="4" borderId="75" xfId="0" applyNumberFormat="1" applyFont="1" applyFill="1" applyBorder="1" applyAlignment="1">
      <alignment horizontal="right" vertical="top"/>
    </xf>
    <xf numFmtId="0" fontId="3" fillId="7" borderId="80" xfId="0" applyFont="1" applyFill="1" applyBorder="1" applyAlignment="1">
      <alignment horizontal="center" vertical="top" wrapText="1"/>
    </xf>
    <xf numFmtId="0" fontId="3" fillId="7" borderId="117" xfId="0" applyFont="1" applyFill="1" applyBorder="1" applyAlignment="1">
      <alignment horizontal="center" vertical="top" wrapText="1"/>
    </xf>
    <xf numFmtId="0" fontId="3" fillId="7" borderId="116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textRotation="90" shrinkToFit="1"/>
    </xf>
    <xf numFmtId="0" fontId="2" fillId="0" borderId="3" xfId="0" applyFont="1" applyBorder="1" applyAlignment="1">
      <alignment horizontal="center" vertical="center" textRotation="90" shrinkToFit="1"/>
    </xf>
    <xf numFmtId="3" fontId="3" fillId="7" borderId="110" xfId="0" applyNumberFormat="1" applyFont="1" applyFill="1" applyBorder="1" applyAlignment="1">
      <alignment horizontal="right" vertical="top" wrapText="1"/>
    </xf>
    <xf numFmtId="3" fontId="3" fillId="7" borderId="29" xfId="0" applyNumberFormat="1" applyFont="1" applyFill="1" applyBorder="1" applyAlignment="1">
      <alignment horizontal="center" vertical="top" wrapText="1"/>
    </xf>
    <xf numFmtId="0" fontId="3" fillId="7" borderId="9" xfId="0" applyFont="1" applyFill="1" applyBorder="1" applyAlignment="1">
      <alignment horizontal="left" vertical="top" wrapText="1"/>
    </xf>
    <xf numFmtId="3" fontId="3" fillId="7" borderId="28" xfId="0" applyNumberFormat="1" applyFont="1" applyFill="1" applyBorder="1" applyAlignment="1">
      <alignment horizontal="center" wrapText="1"/>
    </xf>
    <xf numFmtId="0" fontId="3" fillId="7" borderId="12" xfId="0" applyFont="1" applyFill="1" applyBorder="1" applyAlignment="1">
      <alignment horizontal="left" vertical="top" wrapText="1"/>
    </xf>
    <xf numFmtId="3" fontId="3" fillId="7" borderId="13" xfId="0" applyNumberFormat="1" applyFont="1" applyFill="1" applyBorder="1" applyAlignment="1">
      <alignment horizontal="center" vertical="top" wrapText="1"/>
    </xf>
    <xf numFmtId="3" fontId="3" fillId="7" borderId="15" xfId="0" applyNumberFormat="1" applyFont="1" applyFill="1" applyBorder="1" applyAlignment="1">
      <alignment horizontal="center" vertical="top" wrapText="1"/>
    </xf>
    <xf numFmtId="3" fontId="3" fillId="7" borderId="1" xfId="0" applyNumberFormat="1" applyFont="1" applyFill="1" applyBorder="1" applyAlignment="1">
      <alignment horizontal="center" wrapText="1"/>
    </xf>
    <xf numFmtId="3" fontId="3" fillId="7" borderId="1" xfId="0" applyNumberFormat="1" applyFont="1" applyFill="1" applyBorder="1" applyAlignment="1">
      <alignment horizontal="center" vertical="top" wrapText="1"/>
    </xf>
    <xf numFmtId="3" fontId="3" fillId="7" borderId="17" xfId="0" applyNumberFormat="1" applyFont="1" applyFill="1" applyBorder="1" applyAlignment="1">
      <alignment horizontal="center" vertical="top" wrapText="1"/>
    </xf>
    <xf numFmtId="3" fontId="3" fillId="7" borderId="31" xfId="0" applyNumberFormat="1" applyFont="1" applyFill="1" applyBorder="1" applyAlignment="1">
      <alignment horizontal="center" vertical="top" wrapText="1"/>
    </xf>
    <xf numFmtId="3" fontId="3" fillId="7" borderId="32" xfId="0" applyNumberFormat="1" applyFont="1" applyFill="1" applyBorder="1" applyAlignment="1">
      <alignment horizontal="center" vertical="top" wrapText="1"/>
    </xf>
    <xf numFmtId="3" fontId="3" fillId="7" borderId="24" xfId="0" applyNumberFormat="1" applyFont="1" applyFill="1" applyBorder="1" applyAlignment="1">
      <alignment horizontal="right" vertical="top" wrapText="1"/>
    </xf>
    <xf numFmtId="3" fontId="17" fillId="0" borderId="0" xfId="0" applyNumberFormat="1" applyFont="1" applyBorder="1" applyAlignment="1">
      <alignment vertical="top"/>
    </xf>
    <xf numFmtId="0" fontId="17" fillId="3" borderId="93" xfId="0" applyFont="1" applyFill="1" applyBorder="1" applyAlignment="1">
      <alignment horizontal="left" vertical="top" wrapText="1"/>
    </xf>
    <xf numFmtId="3" fontId="17" fillId="3" borderId="94" xfId="0" applyNumberFormat="1" applyFont="1" applyFill="1" applyBorder="1" applyAlignment="1">
      <alignment horizontal="center" vertical="top"/>
    </xf>
    <xf numFmtId="49" fontId="17" fillId="3" borderId="94" xfId="0" applyNumberFormat="1" applyFont="1" applyFill="1" applyBorder="1" applyAlignment="1">
      <alignment horizontal="center" vertical="top"/>
    </xf>
    <xf numFmtId="3" fontId="17" fillId="3" borderId="95" xfId="0" applyNumberFormat="1" applyFont="1" applyFill="1" applyBorder="1" applyAlignment="1">
      <alignment horizontal="center" vertical="top"/>
    </xf>
    <xf numFmtId="3" fontId="17" fillId="3" borderId="11" xfId="0" applyNumberFormat="1" applyFont="1" applyFill="1" applyBorder="1" applyAlignment="1">
      <alignment horizontal="center" vertical="top"/>
    </xf>
    <xf numFmtId="3" fontId="17" fillId="3" borderId="29" xfId="0" applyNumberFormat="1" applyFont="1" applyFill="1" applyBorder="1" applyAlignment="1">
      <alignment horizontal="center" vertical="top"/>
    </xf>
    <xf numFmtId="0" fontId="3" fillId="3" borderId="84" xfId="0" applyFont="1" applyFill="1" applyBorder="1" applyAlignment="1">
      <alignment horizontal="left" vertical="top" wrapText="1"/>
    </xf>
    <xf numFmtId="49" fontId="3" fillId="3" borderId="87" xfId="0" applyNumberFormat="1" applyFont="1" applyFill="1" applyBorder="1" applyAlignment="1">
      <alignment horizontal="center" vertical="top"/>
    </xf>
    <xf numFmtId="3" fontId="3" fillId="3" borderId="121" xfId="0" applyNumberFormat="1" applyFont="1" applyFill="1" applyBorder="1" applyAlignment="1">
      <alignment horizontal="center" vertical="top"/>
    </xf>
    <xf numFmtId="49" fontId="3" fillId="3" borderId="121" xfId="0" applyNumberFormat="1" applyFont="1" applyFill="1" applyBorder="1" applyAlignment="1">
      <alignment horizontal="center" vertical="top"/>
    </xf>
    <xf numFmtId="3" fontId="3" fillId="3" borderId="126" xfId="0" applyNumberFormat="1" applyFont="1" applyFill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9" borderId="7" xfId="0" applyNumberFormat="1" applyFont="1" applyFill="1" applyBorder="1" applyAlignment="1">
      <alignment horizontal="center" vertical="top"/>
    </xf>
    <xf numFmtId="49" fontId="5" fillId="9" borderId="35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5" fillId="0" borderId="88" xfId="0" applyNumberFormat="1" applyFont="1" applyBorder="1" applyAlignment="1">
      <alignment horizontal="center" vertical="top"/>
    </xf>
    <xf numFmtId="0" fontId="3" fillId="3" borderId="18" xfId="0" applyFont="1" applyFill="1" applyBorder="1" applyAlignment="1">
      <alignment horizontal="left" vertical="top" wrapText="1"/>
    </xf>
    <xf numFmtId="0" fontId="19" fillId="0" borderId="7" xfId="0" applyFont="1" applyBorder="1" applyAlignment="1">
      <alignment horizontal="center" vertical="top" wrapText="1"/>
    </xf>
    <xf numFmtId="0" fontId="5" fillId="3" borderId="35" xfId="0" applyFont="1" applyFill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center" vertical="top"/>
    </xf>
    <xf numFmtId="0" fontId="5" fillId="0" borderId="38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3" fillId="3" borderId="28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49" fontId="5" fillId="9" borderId="9" xfId="0" applyNumberFormat="1" applyFont="1" applyFill="1" applyBorder="1" applyAlignment="1">
      <alignment horizontal="center" vertical="top"/>
    </xf>
    <xf numFmtId="0" fontId="3" fillId="3" borderId="18" xfId="0" applyFont="1" applyFill="1" applyBorder="1" applyAlignment="1">
      <alignment vertical="top" wrapText="1"/>
    </xf>
    <xf numFmtId="0" fontId="3" fillId="3" borderId="32" xfId="0" applyFont="1" applyFill="1" applyBorder="1" applyAlignment="1">
      <alignment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0" borderId="75" xfId="0" applyFont="1" applyFill="1" applyBorder="1" applyAlignment="1">
      <alignment horizontal="center" vertical="center" textRotation="90" wrapText="1"/>
    </xf>
    <xf numFmtId="49" fontId="5" fillId="9" borderId="5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7" borderId="26" xfId="0" applyNumberFormat="1" applyFont="1" applyFill="1" applyBorder="1" applyAlignment="1">
      <alignment horizontal="center" vertical="top"/>
    </xf>
    <xf numFmtId="49" fontId="5" fillId="7" borderId="31" xfId="0" applyNumberFormat="1" applyFont="1" applyFill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49" fontId="5" fillId="7" borderId="58" xfId="0" applyNumberFormat="1" applyFont="1" applyFill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0" borderId="46" xfId="0" applyFont="1" applyFill="1" applyBorder="1" applyAlignment="1">
      <alignment horizontal="center" vertical="center" textRotation="90" wrapText="1"/>
    </xf>
    <xf numFmtId="0" fontId="3" fillId="2" borderId="57" xfId="0" applyFont="1" applyFill="1" applyBorder="1" applyAlignment="1">
      <alignment horizontal="center" vertical="top" wrapText="1"/>
    </xf>
    <xf numFmtId="0" fontId="3" fillId="3" borderId="38" xfId="0" applyFont="1" applyFill="1" applyBorder="1" applyAlignment="1">
      <alignment horizontal="left" vertical="top" wrapText="1"/>
    </xf>
    <xf numFmtId="0" fontId="11" fillId="3" borderId="28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7" borderId="38" xfId="0" applyFont="1" applyFill="1" applyBorder="1" applyAlignment="1">
      <alignment horizontal="left" vertical="top" wrapText="1"/>
    </xf>
    <xf numFmtId="0" fontId="11" fillId="0" borderId="32" xfId="0" applyFont="1" applyBorder="1" applyAlignment="1">
      <alignment vertical="top"/>
    </xf>
    <xf numFmtId="0" fontId="16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5" fillId="3" borderId="38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0" fontId="3" fillId="7" borderId="7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left" vertical="top" wrapText="1"/>
    </xf>
    <xf numFmtId="49" fontId="5" fillId="9" borderId="30" xfId="0" applyNumberFormat="1" applyFont="1" applyFill="1" applyBorder="1" applyAlignment="1">
      <alignment horizontal="center" vertical="top"/>
    </xf>
    <xf numFmtId="49" fontId="5" fillId="2" borderId="29" xfId="0" applyNumberFormat="1" applyFont="1" applyFill="1" applyBorder="1" applyAlignment="1">
      <alignment horizontal="center" vertical="top"/>
    </xf>
    <xf numFmtId="0" fontId="5" fillId="3" borderId="51" xfId="0" applyFont="1" applyFill="1" applyBorder="1" applyAlignment="1">
      <alignment horizontal="center" vertical="top" wrapText="1"/>
    </xf>
    <xf numFmtId="49" fontId="5" fillId="3" borderId="48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 wrapText="1"/>
    </xf>
    <xf numFmtId="0" fontId="3" fillId="3" borderId="30" xfId="0" applyFont="1" applyFill="1" applyBorder="1" applyAlignment="1">
      <alignment horizontal="left" vertical="top" wrapText="1"/>
    </xf>
    <xf numFmtId="0" fontId="3" fillId="7" borderId="30" xfId="0" applyFont="1" applyFill="1" applyBorder="1" applyAlignment="1">
      <alignment horizontal="left" vertical="top" wrapText="1"/>
    </xf>
    <xf numFmtId="0" fontId="3" fillId="3" borderId="120" xfId="0" applyFont="1" applyFill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center"/>
    </xf>
    <xf numFmtId="3" fontId="3" fillId="0" borderId="26" xfId="0" applyNumberFormat="1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left" vertical="top" wrapText="1"/>
    </xf>
    <xf numFmtId="3" fontId="3" fillId="0" borderId="27" xfId="0" applyNumberFormat="1" applyFont="1" applyFill="1" applyBorder="1" applyAlignment="1">
      <alignment horizontal="left" vertical="top" wrapText="1"/>
    </xf>
    <xf numFmtId="3" fontId="3" fillId="0" borderId="11" xfId="0" applyNumberFormat="1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right" vertical="top"/>
    </xf>
    <xf numFmtId="3" fontId="17" fillId="7" borderId="111" xfId="0" applyNumberFormat="1" applyFont="1" applyFill="1" applyBorder="1" applyAlignment="1">
      <alignment horizontal="right" vertical="top"/>
    </xf>
    <xf numFmtId="49" fontId="5" fillId="0" borderId="0" xfId="0" applyNumberFormat="1" applyFont="1" applyFill="1" applyBorder="1" applyAlignment="1">
      <alignment horizontal="center" vertical="top" wrapText="1"/>
    </xf>
    <xf numFmtId="3" fontId="3" fillId="3" borderId="114" xfId="0" applyNumberFormat="1" applyFont="1" applyFill="1" applyBorder="1" applyAlignment="1">
      <alignment horizontal="right" vertical="top" wrapText="1"/>
    </xf>
    <xf numFmtId="3" fontId="3" fillId="3" borderId="36" xfId="0" applyNumberFormat="1" applyFont="1" applyFill="1" applyBorder="1" applyAlignment="1">
      <alignment horizontal="right" vertical="top" wrapText="1"/>
    </xf>
    <xf numFmtId="3" fontId="3" fillId="3" borderId="50" xfId="0" applyNumberFormat="1" applyFont="1" applyFill="1" applyBorder="1" applyAlignment="1">
      <alignment horizontal="right" vertical="top"/>
    </xf>
    <xf numFmtId="3" fontId="3" fillId="3" borderId="83" xfId="0" applyNumberFormat="1" applyFont="1" applyFill="1" applyBorder="1" applyAlignment="1">
      <alignment horizontal="right" vertical="top" wrapText="1"/>
    </xf>
    <xf numFmtId="3" fontId="3" fillId="3" borderId="50" xfId="0" applyNumberFormat="1" applyFont="1" applyFill="1" applyBorder="1" applyAlignment="1">
      <alignment horizontal="right" vertical="top" wrapText="1"/>
    </xf>
    <xf numFmtId="3" fontId="3" fillId="3" borderId="48" xfId="0" applyNumberFormat="1" applyFont="1" applyFill="1" applyBorder="1" applyAlignment="1">
      <alignment horizontal="right" vertical="top" wrapText="1"/>
    </xf>
    <xf numFmtId="3" fontId="3" fillId="3" borderId="106" xfId="0" applyNumberFormat="1" applyFont="1" applyFill="1" applyBorder="1" applyAlignment="1">
      <alignment horizontal="right" vertical="top" wrapText="1"/>
    </xf>
    <xf numFmtId="3" fontId="3" fillId="3" borderId="39" xfId="0" applyNumberFormat="1" applyFont="1" applyFill="1" applyBorder="1" applyAlignment="1">
      <alignment horizontal="right" vertical="top" wrapText="1"/>
    </xf>
    <xf numFmtId="3" fontId="3" fillId="0" borderId="50" xfId="0" applyNumberFormat="1" applyFont="1" applyFill="1" applyBorder="1" applyAlignment="1">
      <alignment horizontal="right" vertical="top"/>
    </xf>
    <xf numFmtId="3" fontId="3" fillId="0" borderId="36" xfId="0" applyNumberFormat="1" applyFont="1" applyFill="1" applyBorder="1" applyAlignment="1">
      <alignment horizontal="right" vertical="top"/>
    </xf>
    <xf numFmtId="3" fontId="5" fillId="3" borderId="43" xfId="0" applyNumberFormat="1" applyFont="1" applyFill="1" applyBorder="1" applyAlignment="1">
      <alignment horizontal="right" vertical="top"/>
    </xf>
    <xf numFmtId="3" fontId="17" fillId="3" borderId="36" xfId="0" applyNumberFormat="1" applyFont="1" applyFill="1" applyBorder="1" applyAlignment="1">
      <alignment horizontal="right" vertical="top" wrapText="1"/>
    </xf>
    <xf numFmtId="3" fontId="5" fillId="8" borderId="58" xfId="0" applyNumberFormat="1" applyFont="1" applyFill="1" applyBorder="1" applyAlignment="1">
      <alignment horizontal="right" vertical="top"/>
    </xf>
    <xf numFmtId="3" fontId="3" fillId="7" borderId="50" xfId="1" applyNumberFormat="1" applyFont="1" applyFill="1" applyBorder="1" applyAlignment="1">
      <alignment horizontal="right" vertical="top"/>
    </xf>
    <xf numFmtId="164" fontId="3" fillId="3" borderId="17" xfId="0" applyNumberFormat="1" applyFont="1" applyFill="1" applyBorder="1" applyAlignment="1">
      <alignment horizontal="right" vertical="top" wrapText="1"/>
    </xf>
    <xf numFmtId="3" fontId="3" fillId="3" borderId="88" xfId="0" applyNumberFormat="1" applyFont="1" applyFill="1" applyBorder="1" applyAlignment="1">
      <alignment horizontal="right" vertical="top"/>
    </xf>
    <xf numFmtId="3" fontId="3" fillId="0" borderId="88" xfId="0" applyNumberFormat="1" applyFont="1" applyFill="1" applyBorder="1" applyAlignment="1">
      <alignment horizontal="right" vertical="top"/>
    </xf>
    <xf numFmtId="3" fontId="3" fillId="3" borderId="84" xfId="0" applyNumberFormat="1" applyFont="1" applyFill="1" applyBorder="1" applyAlignment="1">
      <alignment horizontal="right" vertical="top" wrapText="1"/>
    </xf>
    <xf numFmtId="3" fontId="17" fillId="0" borderId="84" xfId="0" applyNumberFormat="1" applyFont="1" applyFill="1" applyBorder="1" applyAlignment="1">
      <alignment horizontal="right" vertical="top"/>
    </xf>
    <xf numFmtId="3" fontId="17" fillId="7" borderId="114" xfId="0" applyNumberFormat="1" applyFont="1" applyFill="1" applyBorder="1" applyAlignment="1">
      <alignment horizontal="right" vertical="top"/>
    </xf>
    <xf numFmtId="3" fontId="17" fillId="7" borderId="88" xfId="0" applyNumberFormat="1" applyFont="1" applyFill="1" applyBorder="1" applyAlignment="1">
      <alignment horizontal="right" vertical="top"/>
    </xf>
    <xf numFmtId="0" fontId="5" fillId="8" borderId="33" xfId="0" applyFont="1" applyFill="1" applyBorder="1" applyAlignment="1">
      <alignment horizontal="right" vertical="top"/>
    </xf>
    <xf numFmtId="3" fontId="17" fillId="3" borderId="17" xfId="0" applyNumberFormat="1" applyFont="1" applyFill="1" applyBorder="1" applyAlignment="1">
      <alignment horizontal="right" vertical="top"/>
    </xf>
    <xf numFmtId="3" fontId="3" fillId="3" borderId="115" xfId="0" applyNumberFormat="1" applyFont="1" applyFill="1" applyBorder="1" applyAlignment="1">
      <alignment horizontal="right" vertical="top" wrapText="1"/>
    </xf>
    <xf numFmtId="3" fontId="3" fillId="7" borderId="18" xfId="0" applyNumberFormat="1" applyFont="1" applyFill="1" applyBorder="1" applyAlignment="1">
      <alignment horizontal="center" vertical="top" wrapText="1"/>
    </xf>
    <xf numFmtId="3" fontId="3" fillId="0" borderId="48" xfId="0" applyNumberFormat="1" applyFont="1" applyFill="1" applyBorder="1" applyAlignment="1">
      <alignment horizontal="center" vertical="top" wrapText="1"/>
    </xf>
    <xf numFmtId="3" fontId="3" fillId="7" borderId="50" xfId="0" applyNumberFormat="1" applyFont="1" applyFill="1" applyBorder="1" applyAlignment="1">
      <alignment horizontal="center" vertical="top" wrapText="1"/>
    </xf>
    <xf numFmtId="3" fontId="17" fillId="3" borderId="95" xfId="0" applyNumberFormat="1" applyFont="1" applyFill="1" applyBorder="1" applyAlignment="1">
      <alignment horizontal="right" vertical="top" wrapText="1"/>
    </xf>
    <xf numFmtId="3" fontId="17" fillId="3" borderId="84" xfId="0" applyNumberFormat="1" applyFont="1" applyFill="1" applyBorder="1" applyAlignment="1">
      <alignment horizontal="right" vertical="top"/>
    </xf>
    <xf numFmtId="3" fontId="17" fillId="3" borderId="84" xfId="0" applyNumberFormat="1" applyFont="1" applyFill="1" applyBorder="1" applyAlignment="1">
      <alignment horizontal="right" vertical="top" wrapText="1"/>
    </xf>
    <xf numFmtId="3" fontId="17" fillId="3" borderId="115" xfId="0" applyNumberFormat="1" applyFont="1" applyFill="1" applyBorder="1" applyAlignment="1">
      <alignment horizontal="right" vertical="top"/>
    </xf>
    <xf numFmtId="3" fontId="3" fillId="7" borderId="118" xfId="0" applyNumberFormat="1" applyFont="1" applyFill="1" applyBorder="1" applyAlignment="1">
      <alignment horizontal="right" vertical="top"/>
    </xf>
    <xf numFmtId="3" fontId="3" fillId="3" borderId="118" xfId="0" applyNumberFormat="1" applyFont="1" applyFill="1" applyBorder="1" applyAlignment="1">
      <alignment horizontal="right" vertical="top"/>
    </xf>
    <xf numFmtId="0" fontId="3" fillId="7" borderId="96" xfId="0" applyFont="1" applyFill="1" applyBorder="1" applyAlignment="1">
      <alignment horizontal="center" vertical="top" wrapText="1"/>
    </xf>
    <xf numFmtId="3" fontId="17" fillId="0" borderId="28" xfId="0" applyNumberFormat="1" applyFont="1" applyFill="1" applyBorder="1" applyAlignment="1">
      <alignment horizontal="right" vertical="top"/>
    </xf>
    <xf numFmtId="3" fontId="3" fillId="0" borderId="40" xfId="0" applyNumberFormat="1" applyFont="1" applyFill="1" applyBorder="1" applyAlignment="1">
      <alignment horizontal="right" vertical="top"/>
    </xf>
    <xf numFmtId="3" fontId="3" fillId="3" borderId="95" xfId="0" applyNumberFormat="1" applyFont="1" applyFill="1" applyBorder="1" applyAlignment="1">
      <alignment horizontal="right" vertical="top" wrapText="1"/>
    </xf>
    <xf numFmtId="164" fontId="5" fillId="0" borderId="7" xfId="0" applyNumberFormat="1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vertical="top" wrapText="1"/>
    </xf>
    <xf numFmtId="3" fontId="17" fillId="3" borderId="17" xfId="0" applyNumberFormat="1" applyFont="1" applyFill="1" applyBorder="1" applyAlignment="1">
      <alignment horizontal="right" vertical="top" wrapText="1"/>
    </xf>
    <xf numFmtId="3" fontId="26" fillId="8" borderId="32" xfId="0" applyNumberFormat="1" applyFont="1" applyFill="1" applyBorder="1" applyAlignment="1">
      <alignment horizontal="right" vertical="top"/>
    </xf>
    <xf numFmtId="3" fontId="5" fillId="3" borderId="15" xfId="0" applyNumberFormat="1" applyFont="1" applyFill="1" applyBorder="1" applyAlignment="1">
      <alignment horizontal="right" vertical="top"/>
    </xf>
    <xf numFmtId="3" fontId="3" fillId="3" borderId="17" xfId="0" applyNumberFormat="1" applyFont="1" applyFill="1" applyBorder="1" applyAlignment="1">
      <alignment horizontal="right" vertical="top"/>
    </xf>
    <xf numFmtId="3" fontId="3" fillId="3" borderId="28" xfId="0" applyNumberFormat="1" applyFont="1" applyFill="1" applyBorder="1" applyAlignment="1">
      <alignment horizontal="right" vertical="top" wrapText="1"/>
    </xf>
    <xf numFmtId="3" fontId="5" fillId="8" borderId="32" xfId="0" applyNumberFormat="1" applyFont="1" applyFill="1" applyBorder="1" applyAlignment="1">
      <alignment horizontal="right" vertical="top"/>
    </xf>
    <xf numFmtId="3" fontId="5" fillId="2" borderId="79" xfId="0" applyNumberFormat="1" applyFont="1" applyFill="1" applyBorder="1" applyAlignment="1">
      <alignment horizontal="right" vertical="top"/>
    </xf>
    <xf numFmtId="0" fontId="3" fillId="0" borderId="81" xfId="0" applyFont="1" applyBorder="1" applyAlignment="1">
      <alignment vertical="top"/>
    </xf>
    <xf numFmtId="0" fontId="5" fillId="8" borderId="75" xfId="0" applyFont="1" applyFill="1" applyBorder="1" applyAlignment="1">
      <alignment horizontal="center" vertical="top"/>
    </xf>
    <xf numFmtId="3" fontId="3" fillId="7" borderId="63" xfId="0" applyNumberFormat="1" applyFont="1" applyFill="1" applyBorder="1" applyAlignment="1">
      <alignment horizontal="right" vertical="top"/>
    </xf>
    <xf numFmtId="3" fontId="3" fillId="3" borderId="14" xfId="0" applyNumberFormat="1" applyFont="1" applyFill="1" applyBorder="1" applyAlignment="1">
      <alignment horizontal="right" vertical="top" wrapText="1"/>
    </xf>
    <xf numFmtId="3" fontId="3" fillId="7" borderId="39" xfId="0" applyNumberFormat="1" applyFont="1" applyFill="1" applyBorder="1" applyAlignment="1">
      <alignment horizontal="right" vertical="top" wrapText="1"/>
    </xf>
    <xf numFmtId="3" fontId="5" fillId="8" borderId="50" xfId="0" applyNumberFormat="1" applyFont="1" applyFill="1" applyBorder="1" applyAlignment="1">
      <alignment horizontal="right" vertical="top"/>
    </xf>
    <xf numFmtId="3" fontId="3" fillId="3" borderId="43" xfId="0" applyNumberFormat="1" applyFont="1" applyFill="1" applyBorder="1" applyAlignment="1">
      <alignment horizontal="right" vertical="top" wrapText="1"/>
    </xf>
    <xf numFmtId="3" fontId="3" fillId="3" borderId="113" xfId="0" applyNumberFormat="1" applyFont="1" applyFill="1" applyBorder="1" applyAlignment="1">
      <alignment horizontal="right" vertical="top" wrapText="1"/>
    </xf>
    <xf numFmtId="3" fontId="3" fillId="3" borderId="43" xfId="0" applyNumberFormat="1" applyFont="1" applyFill="1" applyBorder="1" applyAlignment="1">
      <alignment horizontal="right" vertical="top"/>
    </xf>
    <xf numFmtId="3" fontId="3" fillId="0" borderId="83" xfId="0" applyNumberFormat="1" applyFont="1" applyFill="1" applyBorder="1" applyAlignment="1">
      <alignment horizontal="right" vertical="top"/>
    </xf>
    <xf numFmtId="3" fontId="3" fillId="7" borderId="50" xfId="0" applyNumberFormat="1" applyFont="1" applyFill="1" applyBorder="1" applyAlignment="1">
      <alignment horizontal="right" vertical="top"/>
    </xf>
    <xf numFmtId="3" fontId="17" fillId="3" borderId="36" xfId="0" applyNumberFormat="1" applyFont="1" applyFill="1" applyBorder="1" applyAlignment="1">
      <alignment horizontal="right" vertical="top"/>
    </xf>
    <xf numFmtId="3" fontId="3" fillId="0" borderId="43" xfId="0" applyNumberFormat="1" applyFont="1" applyFill="1" applyBorder="1" applyAlignment="1">
      <alignment horizontal="right" vertical="top"/>
    </xf>
    <xf numFmtId="3" fontId="17" fillId="7" borderId="95" xfId="0" applyNumberFormat="1" applyFont="1" applyFill="1" applyBorder="1" applyAlignment="1">
      <alignment horizontal="right" vertical="top" wrapText="1"/>
    </xf>
    <xf numFmtId="3" fontId="17" fillId="7" borderId="17" xfId="0" applyNumberFormat="1" applyFont="1" applyFill="1" applyBorder="1" applyAlignment="1">
      <alignment horizontal="right" vertical="top"/>
    </xf>
    <xf numFmtId="3" fontId="3" fillId="0" borderId="17" xfId="0" applyNumberFormat="1" applyFont="1" applyFill="1" applyBorder="1" applyAlignment="1">
      <alignment horizontal="right" vertical="top"/>
    </xf>
    <xf numFmtId="3" fontId="3" fillId="0" borderId="28" xfId="0" applyNumberFormat="1" applyFont="1" applyFill="1" applyBorder="1" applyAlignment="1">
      <alignment horizontal="right" vertical="top"/>
    </xf>
    <xf numFmtId="3" fontId="3" fillId="7" borderId="17" xfId="0" applyNumberFormat="1" applyFont="1" applyFill="1" applyBorder="1" applyAlignment="1">
      <alignment horizontal="right" vertical="top" wrapText="1"/>
    </xf>
    <xf numFmtId="3" fontId="3" fillId="3" borderId="28" xfId="0" applyNumberFormat="1" applyFont="1" applyFill="1" applyBorder="1" applyAlignment="1">
      <alignment horizontal="right" vertical="top"/>
    </xf>
    <xf numFmtId="3" fontId="17" fillId="3" borderId="17" xfId="0" applyNumberFormat="1" applyFont="1" applyFill="1" applyBorder="1" applyAlignment="1">
      <alignment vertical="top" wrapText="1"/>
    </xf>
    <xf numFmtId="3" fontId="17" fillId="3" borderId="28" xfId="0" applyNumberFormat="1" applyFont="1" applyFill="1" applyBorder="1" applyAlignment="1">
      <alignment vertical="top" wrapText="1"/>
    </xf>
    <xf numFmtId="3" fontId="17" fillId="3" borderId="15" xfId="0" applyNumberFormat="1" applyFont="1" applyFill="1" applyBorder="1" applyAlignment="1">
      <alignment vertical="top" wrapText="1"/>
    </xf>
    <xf numFmtId="164" fontId="3" fillId="3" borderId="15" xfId="0" applyNumberFormat="1" applyFont="1" applyFill="1" applyBorder="1" applyAlignment="1">
      <alignment vertical="top" wrapText="1"/>
    </xf>
    <xf numFmtId="3" fontId="3" fillId="3" borderId="32" xfId="0" applyNumberFormat="1" applyFont="1" applyFill="1" applyBorder="1" applyAlignment="1">
      <alignment vertical="top" wrapText="1"/>
    </xf>
    <xf numFmtId="3" fontId="26" fillId="8" borderId="32" xfId="0" applyNumberFormat="1" applyFont="1" applyFill="1" applyBorder="1" applyAlignment="1">
      <alignment vertical="top"/>
    </xf>
    <xf numFmtId="3" fontId="17" fillId="3" borderId="27" xfId="0" applyNumberFormat="1" applyFont="1" applyFill="1" applyBorder="1" applyAlignment="1">
      <alignment vertical="top" wrapText="1"/>
    </xf>
    <xf numFmtId="3" fontId="17" fillId="3" borderId="18" xfId="0" applyNumberFormat="1" applyFont="1" applyFill="1" applyBorder="1" applyAlignment="1">
      <alignment vertical="top" wrapText="1"/>
    </xf>
    <xf numFmtId="3" fontId="17" fillId="7" borderId="18" xfId="0" applyNumberFormat="1" applyFont="1" applyFill="1" applyBorder="1" applyAlignment="1">
      <alignment vertical="top"/>
    </xf>
    <xf numFmtId="3" fontId="17" fillId="7" borderId="28" xfId="0" applyNumberFormat="1" applyFont="1" applyFill="1" applyBorder="1" applyAlignment="1">
      <alignment vertical="top"/>
    </xf>
    <xf numFmtId="3" fontId="17" fillId="3" borderId="92" xfId="0" applyNumberFormat="1" applyFont="1" applyFill="1" applyBorder="1" applyAlignment="1">
      <alignment vertical="top" wrapText="1"/>
    </xf>
    <xf numFmtId="3" fontId="26" fillId="2" borderId="79" xfId="0" applyNumberFormat="1" applyFont="1" applyFill="1" applyBorder="1" applyAlignment="1">
      <alignment vertical="top"/>
    </xf>
    <xf numFmtId="3" fontId="26" fillId="9" borderId="79" xfId="0" applyNumberFormat="1" applyFont="1" applyFill="1" applyBorder="1" applyAlignment="1">
      <alignment vertical="top"/>
    </xf>
    <xf numFmtId="164" fontId="3" fillId="0" borderId="0" xfId="0" applyNumberFormat="1" applyFont="1" applyFill="1" applyAlignment="1">
      <alignment vertical="top"/>
    </xf>
    <xf numFmtId="164" fontId="3" fillId="0" borderId="0" xfId="0" applyNumberFormat="1" applyFont="1" applyFill="1" applyBorder="1" applyAlignment="1">
      <alignment vertical="top"/>
    </xf>
    <xf numFmtId="0" fontId="11" fillId="0" borderId="32" xfId="0" applyFont="1" applyBorder="1" applyAlignment="1">
      <alignment vertical="top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6" xfId="0" applyFont="1" applyFill="1" applyBorder="1" applyAlignment="1">
      <alignment horizontal="center" vertical="center" wrapText="1"/>
    </xf>
    <xf numFmtId="0" fontId="3" fillId="7" borderId="31" xfId="0" applyNumberFormat="1" applyFont="1" applyFill="1" applyBorder="1" applyAlignment="1">
      <alignment vertical="center" textRotation="90"/>
    </xf>
    <xf numFmtId="0" fontId="3" fillId="7" borderId="32" xfId="0" applyNumberFormat="1" applyFont="1" applyFill="1" applyBorder="1" applyAlignment="1">
      <alignment vertical="center" textRotation="90"/>
    </xf>
    <xf numFmtId="0" fontId="11" fillId="0" borderId="9" xfId="0" applyFont="1" applyBorder="1" applyAlignment="1">
      <alignment vertical="top"/>
    </xf>
    <xf numFmtId="3" fontId="5" fillId="3" borderId="27" xfId="0" applyNumberFormat="1" applyFont="1" applyFill="1" applyBorder="1" applyAlignment="1">
      <alignment horizontal="right" vertical="top"/>
    </xf>
    <xf numFmtId="3" fontId="17" fillId="7" borderId="84" xfId="0" applyNumberFormat="1" applyFont="1" applyFill="1" applyBorder="1" applyAlignment="1">
      <alignment horizontal="right" vertical="top"/>
    </xf>
    <xf numFmtId="3" fontId="3" fillId="8" borderId="7" xfId="0" applyNumberFormat="1" applyFont="1" applyFill="1" applyBorder="1" applyAlignment="1">
      <alignment horizontal="right" vertical="top"/>
    </xf>
    <xf numFmtId="3" fontId="3" fillId="8" borderId="93" xfId="0" applyNumberFormat="1" applyFont="1" applyFill="1" applyBorder="1" applyAlignment="1">
      <alignment horizontal="right" vertical="top"/>
    </xf>
    <xf numFmtId="3" fontId="17" fillId="3" borderId="88" xfId="0" applyNumberFormat="1" applyFont="1" applyFill="1" applyBorder="1" applyAlignment="1">
      <alignment horizontal="right" vertical="top" wrapText="1"/>
    </xf>
    <xf numFmtId="3" fontId="3" fillId="8" borderId="30" xfId="0" applyNumberFormat="1" applyFont="1" applyFill="1" applyBorder="1" applyAlignment="1">
      <alignment horizontal="right" vertical="top"/>
    </xf>
    <xf numFmtId="3" fontId="17" fillId="3" borderId="28" xfId="0" applyNumberFormat="1" applyFont="1" applyFill="1" applyBorder="1" applyAlignment="1">
      <alignment horizontal="right" vertical="top" wrapText="1"/>
    </xf>
    <xf numFmtId="3" fontId="3" fillId="8" borderId="86" xfId="0" applyNumberFormat="1" applyFont="1" applyFill="1" applyBorder="1" applyAlignment="1">
      <alignment horizontal="right" vertical="top"/>
    </xf>
    <xf numFmtId="3" fontId="3" fillId="8" borderId="16" xfId="0" applyNumberFormat="1" applyFont="1" applyFill="1" applyBorder="1" applyAlignment="1">
      <alignment horizontal="right" vertical="top"/>
    </xf>
    <xf numFmtId="3" fontId="5" fillId="8" borderId="9" xfId="0" applyNumberFormat="1" applyFont="1" applyFill="1" applyBorder="1" applyAlignment="1">
      <alignment horizontal="right" vertical="top"/>
    </xf>
    <xf numFmtId="3" fontId="5" fillId="8" borderId="5" xfId="0" applyNumberFormat="1" applyFont="1" applyFill="1" applyBorder="1" applyAlignment="1">
      <alignment horizontal="right" vertical="top"/>
    </xf>
    <xf numFmtId="3" fontId="17" fillId="3" borderId="18" xfId="0" applyNumberFormat="1" applyFont="1" applyFill="1" applyBorder="1" applyAlignment="1">
      <alignment horizontal="right" vertical="top" wrapText="1"/>
    </xf>
    <xf numFmtId="3" fontId="17" fillId="3" borderId="18" xfId="0" applyNumberFormat="1" applyFont="1" applyFill="1" applyBorder="1" applyAlignment="1">
      <alignment horizontal="right" vertical="top"/>
    </xf>
    <xf numFmtId="3" fontId="3" fillId="3" borderId="15" xfId="0" applyNumberFormat="1" applyFont="1" applyFill="1" applyBorder="1" applyAlignment="1">
      <alignment horizontal="right" vertical="top"/>
    </xf>
    <xf numFmtId="3" fontId="3" fillId="8" borderId="99" xfId="0" applyNumberFormat="1" applyFont="1" applyFill="1" applyBorder="1" applyAlignment="1">
      <alignment horizontal="right" vertical="top"/>
    </xf>
    <xf numFmtId="3" fontId="3" fillId="3" borderId="92" xfId="0" applyNumberFormat="1" applyFont="1" applyFill="1" applyBorder="1" applyAlignment="1">
      <alignment horizontal="right" vertical="top" wrapText="1"/>
    </xf>
    <xf numFmtId="0" fontId="17" fillId="0" borderId="91" xfId="0" applyFont="1" applyBorder="1" applyAlignment="1">
      <alignment horizontal="left" vertical="top" wrapText="1"/>
    </xf>
    <xf numFmtId="0" fontId="17" fillId="7" borderId="90" xfId="0" applyFont="1" applyFill="1" applyBorder="1" applyAlignment="1">
      <alignment vertical="top" wrapText="1"/>
    </xf>
    <xf numFmtId="0" fontId="17" fillId="0" borderId="121" xfId="0" applyFont="1" applyBorder="1" applyAlignment="1">
      <alignment horizontal="left" vertical="top"/>
    </xf>
    <xf numFmtId="3" fontId="17" fillId="7" borderId="31" xfId="0" applyNumberFormat="1" applyFont="1" applyFill="1" applyBorder="1" applyAlignment="1">
      <alignment horizontal="center" vertical="top"/>
    </xf>
    <xf numFmtId="0" fontId="17" fillId="0" borderId="7" xfId="0" applyFont="1" applyBorder="1" applyAlignment="1">
      <alignment vertical="top" wrapText="1"/>
    </xf>
    <xf numFmtId="3" fontId="3" fillId="7" borderId="78" xfId="0" applyNumberFormat="1" applyFont="1" applyFill="1" applyBorder="1" applyAlignment="1">
      <alignment horizontal="right" vertical="top"/>
    </xf>
    <xf numFmtId="0" fontId="3" fillId="0" borderId="93" xfId="0" applyFont="1" applyBorder="1" applyAlignment="1">
      <alignment vertical="top" wrapText="1"/>
    </xf>
    <xf numFmtId="0" fontId="3" fillId="0" borderId="94" xfId="0" applyFont="1" applyBorder="1" applyAlignment="1">
      <alignment horizontal="center" vertical="top"/>
    </xf>
    <xf numFmtId="3" fontId="3" fillId="7" borderId="106" xfId="0" applyNumberFormat="1" applyFont="1" applyFill="1" applyBorder="1" applyAlignment="1">
      <alignment horizontal="right" vertical="top" wrapText="1"/>
    </xf>
    <xf numFmtId="0" fontId="3" fillId="7" borderId="7" xfId="0" applyFont="1" applyFill="1" applyBorder="1" applyAlignment="1">
      <alignment horizontal="left" vertical="top" wrapText="1"/>
    </xf>
    <xf numFmtId="3" fontId="17" fillId="7" borderId="0" xfId="0" applyNumberFormat="1" applyFont="1" applyFill="1" applyBorder="1" applyAlignment="1">
      <alignment horizontal="right" vertical="top"/>
    </xf>
    <xf numFmtId="3" fontId="17" fillId="7" borderId="18" xfId="0" applyNumberFormat="1" applyFont="1" applyFill="1" applyBorder="1" applyAlignment="1">
      <alignment horizontal="right" vertical="top"/>
    </xf>
    <xf numFmtId="3" fontId="17" fillId="7" borderId="21" xfId="0" applyNumberFormat="1" applyFont="1" applyFill="1" applyBorder="1" applyAlignment="1">
      <alignment horizontal="right" vertical="top"/>
    </xf>
    <xf numFmtId="3" fontId="17" fillId="7" borderId="28" xfId="0" applyNumberFormat="1" applyFont="1" applyFill="1" applyBorder="1" applyAlignment="1">
      <alignment horizontal="right" vertical="top"/>
    </xf>
    <xf numFmtId="3" fontId="17" fillId="7" borderId="84" xfId="0" applyNumberFormat="1" applyFont="1" applyFill="1" applyBorder="1" applyAlignment="1">
      <alignment horizontal="right" vertical="top" wrapText="1"/>
    </xf>
    <xf numFmtId="3" fontId="17" fillId="7" borderId="48" xfId="0" applyNumberFormat="1" applyFont="1" applyFill="1" applyBorder="1" applyAlignment="1">
      <alignment horizontal="right" vertical="top" wrapText="1"/>
    </xf>
    <xf numFmtId="3" fontId="3" fillId="7" borderId="95" xfId="0" applyNumberFormat="1" applyFont="1" applyFill="1" applyBorder="1" applyAlignment="1">
      <alignment horizontal="right" vertical="top" wrapText="1"/>
    </xf>
    <xf numFmtId="3" fontId="3" fillId="7" borderId="78" xfId="0" applyNumberFormat="1" applyFont="1" applyFill="1" applyBorder="1" applyAlignment="1">
      <alignment horizontal="right" vertical="top" wrapText="1"/>
    </xf>
    <xf numFmtId="3" fontId="3" fillId="7" borderId="36" xfId="0" applyNumberFormat="1" applyFont="1" applyFill="1" applyBorder="1" applyAlignment="1">
      <alignment horizontal="right" vertical="top" wrapText="1"/>
    </xf>
    <xf numFmtId="3" fontId="3" fillId="7" borderId="63" xfId="0" applyNumberFormat="1" applyFont="1" applyFill="1" applyBorder="1" applyAlignment="1">
      <alignment horizontal="right" vertical="top" wrapText="1"/>
    </xf>
    <xf numFmtId="3" fontId="3" fillId="7" borderId="50" xfId="0" applyNumberFormat="1" applyFont="1" applyFill="1" applyBorder="1" applyAlignment="1">
      <alignment horizontal="right" vertical="top" wrapText="1"/>
    </xf>
    <xf numFmtId="3" fontId="3" fillId="7" borderId="125" xfId="0" applyNumberFormat="1" applyFont="1" applyFill="1" applyBorder="1" applyAlignment="1">
      <alignment horizontal="right" vertical="top" wrapText="1"/>
    </xf>
    <xf numFmtId="3" fontId="3" fillId="7" borderId="88" xfId="0" applyNumberFormat="1" applyFont="1" applyFill="1" applyBorder="1" applyAlignment="1">
      <alignment horizontal="right" vertical="top" wrapText="1"/>
    </xf>
    <xf numFmtId="0" fontId="17" fillId="7" borderId="86" xfId="0" applyFont="1" applyFill="1" applyBorder="1" applyAlignment="1">
      <alignment vertical="top" wrapText="1"/>
    </xf>
    <xf numFmtId="0" fontId="17" fillId="0" borderId="87" xfId="0" applyFont="1" applyBorder="1" applyAlignment="1">
      <alignment horizontal="left" vertical="top" wrapText="1"/>
    </xf>
    <xf numFmtId="0" fontId="3" fillId="0" borderId="87" xfId="0" applyNumberFormat="1" applyFont="1" applyFill="1" applyBorder="1" applyAlignment="1">
      <alignment horizontal="center" vertical="top"/>
    </xf>
    <xf numFmtId="0" fontId="7" fillId="0" borderId="57" xfId="0" applyFont="1" applyBorder="1" applyAlignment="1">
      <alignment horizontal="center" vertical="center" wrapText="1"/>
    </xf>
    <xf numFmtId="3" fontId="3" fillId="7" borderId="122" xfId="0" applyNumberFormat="1" applyFont="1" applyFill="1" applyBorder="1" applyAlignment="1">
      <alignment vertical="top"/>
    </xf>
    <xf numFmtId="3" fontId="5" fillId="8" borderId="55" xfId="0" applyNumberFormat="1" applyFont="1" applyFill="1" applyBorder="1" applyAlignment="1">
      <alignment horizontal="right" vertical="top"/>
    </xf>
    <xf numFmtId="3" fontId="3" fillId="7" borderId="55" xfId="0" applyNumberFormat="1" applyFont="1" applyFill="1" applyBorder="1" applyAlignment="1">
      <alignment horizontal="right" vertical="top"/>
    </xf>
    <xf numFmtId="3" fontId="3" fillId="0" borderId="55" xfId="0" applyNumberFormat="1" applyFont="1" applyBorder="1" applyAlignment="1">
      <alignment horizontal="right" vertical="top"/>
    </xf>
    <xf numFmtId="3" fontId="3" fillId="8" borderId="55" xfId="0" applyNumberFormat="1" applyFont="1" applyFill="1" applyBorder="1" applyAlignment="1">
      <alignment horizontal="right" vertical="top"/>
    </xf>
    <xf numFmtId="3" fontId="3" fillId="8" borderId="43" xfId="0" applyNumberFormat="1" applyFont="1" applyFill="1" applyBorder="1" applyAlignment="1">
      <alignment vertical="top"/>
    </xf>
    <xf numFmtId="3" fontId="3" fillId="8" borderId="50" xfId="0" applyNumberFormat="1" applyFont="1" applyFill="1" applyBorder="1" applyAlignment="1">
      <alignment vertical="top"/>
    </xf>
    <xf numFmtId="3" fontId="3" fillId="8" borderId="36" xfId="0" applyNumberFormat="1" applyFont="1" applyFill="1" applyBorder="1" applyAlignment="1">
      <alignment vertical="top"/>
    </xf>
    <xf numFmtId="3" fontId="5" fillId="8" borderId="58" xfId="0" applyNumberFormat="1" applyFont="1" applyFill="1" applyBorder="1" applyAlignment="1">
      <alignment vertical="top"/>
    </xf>
    <xf numFmtId="164" fontId="3" fillId="3" borderId="72" xfId="0" applyNumberFormat="1" applyFont="1" applyFill="1" applyBorder="1" applyAlignment="1">
      <alignment vertical="top" wrapText="1"/>
    </xf>
    <xf numFmtId="3" fontId="3" fillId="3" borderId="34" xfId="0" applyNumberFormat="1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left" vertical="top" wrapText="1"/>
    </xf>
    <xf numFmtId="49" fontId="5" fillId="0" borderId="18" xfId="0" applyNumberFormat="1" applyFont="1" applyBorder="1" applyAlignment="1">
      <alignment horizontal="center" vertical="top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0" fontId="3" fillId="0" borderId="50" xfId="0" applyFont="1" applyBorder="1" applyAlignment="1">
      <alignment horizontal="left" vertical="top" wrapText="1"/>
    </xf>
    <xf numFmtId="3" fontId="17" fillId="7" borderId="53" xfId="1" applyNumberFormat="1" applyFont="1" applyFill="1" applyBorder="1" applyAlignment="1">
      <alignment horizontal="right" vertical="top"/>
    </xf>
    <xf numFmtId="3" fontId="3" fillId="7" borderId="11" xfId="0" applyNumberFormat="1" applyFont="1" applyFill="1" applyBorder="1" applyAlignment="1">
      <alignment vertical="top"/>
    </xf>
    <xf numFmtId="0" fontId="0" fillId="0" borderId="75" xfId="0" applyBorder="1" applyAlignment="1">
      <alignment horizontal="left" vertical="top" wrapText="1"/>
    </xf>
    <xf numFmtId="0" fontId="17" fillId="0" borderId="13" xfId="0" applyNumberFormat="1" applyFont="1" applyFill="1" applyBorder="1" applyAlignment="1">
      <alignment horizontal="center" vertical="top" wrapText="1"/>
    </xf>
    <xf numFmtId="0" fontId="3" fillId="0" borderId="88" xfId="0" applyNumberFormat="1" applyFont="1" applyBorder="1" applyAlignment="1">
      <alignment horizontal="center" vertical="top"/>
    </xf>
    <xf numFmtId="164" fontId="17" fillId="0" borderId="12" xfId="0" applyNumberFormat="1" applyFont="1" applyFill="1" applyBorder="1" applyAlignment="1">
      <alignment horizontal="left" vertical="top" wrapText="1"/>
    </xf>
    <xf numFmtId="0" fontId="3" fillId="0" borderId="76" xfId="0" applyNumberFormat="1" applyFont="1" applyFill="1" applyBorder="1" applyAlignment="1">
      <alignment horizontal="center" vertical="top"/>
    </xf>
    <xf numFmtId="0" fontId="3" fillId="0" borderId="15" xfId="0" applyNumberFormat="1" applyFont="1" applyBorder="1" applyAlignment="1">
      <alignment horizontal="center" vertical="top"/>
    </xf>
    <xf numFmtId="0" fontId="0" fillId="0" borderId="31" xfId="0" applyBorder="1" applyAlignment="1">
      <alignment vertical="top"/>
    </xf>
    <xf numFmtId="49" fontId="5" fillId="7" borderId="11" xfId="0" applyNumberFormat="1" applyFont="1" applyFill="1" applyBorder="1" applyAlignment="1">
      <alignment horizontal="center" vertical="top"/>
    </xf>
    <xf numFmtId="49" fontId="5" fillId="0" borderId="88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0" fontId="3" fillId="3" borderId="18" xfId="0" applyFont="1" applyFill="1" applyBorder="1" applyAlignment="1">
      <alignment horizontal="left" vertical="top" wrapText="1"/>
    </xf>
    <xf numFmtId="49" fontId="5" fillId="0" borderId="28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horizontal="left" vertical="top" wrapText="1"/>
    </xf>
    <xf numFmtId="49" fontId="5" fillId="7" borderId="26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2" borderId="57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0" fontId="17" fillId="7" borderId="6" xfId="0" applyFont="1" applyFill="1" applyBorder="1" applyAlignment="1">
      <alignment horizontal="center"/>
    </xf>
    <xf numFmtId="0" fontId="29" fillId="7" borderId="6" xfId="0" applyFont="1" applyFill="1" applyBorder="1" applyAlignment="1">
      <alignment horizontal="center"/>
    </xf>
    <xf numFmtId="0" fontId="3" fillId="7" borderId="0" xfId="0" applyFont="1" applyFill="1" applyBorder="1" applyAlignment="1">
      <alignment vertical="top"/>
    </xf>
    <xf numFmtId="3" fontId="3" fillId="3" borderId="40" xfId="0" applyNumberFormat="1" applyFont="1" applyFill="1" applyBorder="1" applyAlignment="1">
      <alignment horizontal="right" vertical="top" wrapText="1"/>
    </xf>
    <xf numFmtId="3" fontId="3" fillId="8" borderId="124" xfId="0" applyNumberFormat="1" applyFont="1" applyFill="1" applyBorder="1" applyAlignment="1">
      <alignment horizontal="right" vertical="top"/>
    </xf>
    <xf numFmtId="3" fontId="3" fillId="8" borderId="50" xfId="0" applyNumberFormat="1" applyFont="1" applyFill="1" applyBorder="1" applyAlignment="1"/>
    <xf numFmtId="3" fontId="3" fillId="8" borderId="129" xfId="0" applyNumberFormat="1" applyFont="1" applyFill="1" applyBorder="1" applyAlignment="1">
      <alignment vertical="top"/>
    </xf>
    <xf numFmtId="3" fontId="5" fillId="9" borderId="74" xfId="0" applyNumberFormat="1" applyFont="1" applyFill="1" applyBorder="1" applyAlignment="1">
      <alignment vertical="top"/>
    </xf>
    <xf numFmtId="164" fontId="3" fillId="8" borderId="10" xfId="0" applyNumberFormat="1" applyFont="1" applyFill="1" applyBorder="1" applyAlignment="1">
      <alignment vertical="top"/>
    </xf>
    <xf numFmtId="3" fontId="3" fillId="8" borderId="69" xfId="0" applyNumberFormat="1" applyFont="1" applyFill="1" applyBorder="1" applyAlignment="1">
      <alignment vertical="top"/>
    </xf>
    <xf numFmtId="3" fontId="3" fillId="8" borderId="41" xfId="0" applyNumberFormat="1" applyFont="1" applyFill="1" applyBorder="1" applyAlignment="1">
      <alignment vertical="top"/>
    </xf>
    <xf numFmtId="3" fontId="3" fillId="8" borderId="6" xfId="0" applyNumberFormat="1" applyFont="1" applyFill="1" applyBorder="1" applyAlignment="1"/>
    <xf numFmtId="3" fontId="3" fillId="8" borderId="6" xfId="0" applyNumberFormat="1" applyFont="1" applyFill="1" applyBorder="1" applyAlignment="1">
      <alignment vertical="top"/>
    </xf>
    <xf numFmtId="3" fontId="3" fillId="8" borderId="24" xfId="0" applyNumberFormat="1" applyFont="1" applyFill="1" applyBorder="1" applyAlignment="1">
      <alignment vertical="top"/>
    </xf>
    <xf numFmtId="3" fontId="3" fillId="8" borderId="23" xfId="0" applyNumberFormat="1" applyFont="1" applyFill="1" applyBorder="1" applyAlignment="1">
      <alignment vertical="top"/>
    </xf>
    <xf numFmtId="3" fontId="3" fillId="8" borderId="89" xfId="0" applyNumberFormat="1" applyFont="1" applyFill="1" applyBorder="1" applyAlignment="1">
      <alignment vertical="top"/>
    </xf>
    <xf numFmtId="3" fontId="3" fillId="8" borderId="48" xfId="0" applyNumberFormat="1" applyFont="1" applyFill="1" applyBorder="1" applyAlignment="1">
      <alignment horizontal="right" vertical="top"/>
    </xf>
    <xf numFmtId="3" fontId="3" fillId="8" borderId="114" xfId="0" applyNumberFormat="1" applyFont="1" applyFill="1" applyBorder="1" applyAlignment="1">
      <alignment horizontal="right" vertical="top"/>
    </xf>
    <xf numFmtId="3" fontId="3" fillId="8" borderId="106" xfId="0" applyNumberFormat="1" applyFont="1" applyFill="1" applyBorder="1" applyAlignment="1">
      <alignment horizontal="right" vertical="top"/>
    </xf>
    <xf numFmtId="3" fontId="3" fillId="7" borderId="66" xfId="0" applyNumberFormat="1" applyFont="1" applyFill="1" applyBorder="1" applyAlignment="1">
      <alignment horizontal="right" vertical="top"/>
    </xf>
    <xf numFmtId="3" fontId="5" fillId="8" borderId="8" xfId="0" applyNumberFormat="1" applyFont="1" applyFill="1" applyBorder="1" applyAlignment="1">
      <alignment horizontal="right" vertical="top"/>
    </xf>
    <xf numFmtId="3" fontId="3" fillId="8" borderId="89" xfId="0" applyNumberFormat="1" applyFont="1" applyFill="1" applyBorder="1" applyAlignment="1">
      <alignment horizontal="right" vertical="top"/>
    </xf>
    <xf numFmtId="3" fontId="3" fillId="8" borderId="41" xfId="0" applyNumberFormat="1" applyFont="1" applyFill="1" applyBorder="1" applyAlignment="1">
      <alignment horizontal="right" vertical="top"/>
    </xf>
    <xf numFmtId="3" fontId="3" fillId="0" borderId="72" xfId="0" applyNumberFormat="1" applyFont="1" applyBorder="1" applyAlignment="1">
      <alignment horizontal="right" vertical="top"/>
    </xf>
    <xf numFmtId="3" fontId="3" fillId="0" borderId="44" xfId="0" applyNumberFormat="1" applyFont="1" applyBorder="1" applyAlignment="1">
      <alignment horizontal="right" vertical="top"/>
    </xf>
    <xf numFmtId="3" fontId="3" fillId="0" borderId="103" xfId="0" applyNumberFormat="1" applyFont="1" applyBorder="1" applyAlignment="1">
      <alignment horizontal="right" vertical="top"/>
    </xf>
    <xf numFmtId="3" fontId="5" fillId="8" borderId="34" xfId="0" applyNumberFormat="1" applyFont="1" applyFill="1" applyBorder="1" applyAlignment="1">
      <alignment horizontal="right" vertical="top"/>
    </xf>
    <xf numFmtId="3" fontId="5" fillId="2" borderId="74" xfId="0" applyNumberFormat="1" applyFont="1" applyFill="1" applyBorder="1" applyAlignment="1">
      <alignment horizontal="right" vertical="top"/>
    </xf>
    <xf numFmtId="3" fontId="3" fillId="8" borderId="5" xfId="0" applyNumberFormat="1" applyFont="1" applyFill="1" applyBorder="1" applyAlignment="1">
      <alignment horizontal="right" vertical="top"/>
    </xf>
    <xf numFmtId="3" fontId="17" fillId="7" borderId="66" xfId="0" applyNumberFormat="1" applyFont="1" applyFill="1" applyBorder="1" applyAlignment="1">
      <alignment horizontal="right" vertical="top" wrapText="1"/>
    </xf>
    <xf numFmtId="3" fontId="17" fillId="7" borderId="119" xfId="0" applyNumberFormat="1" applyFont="1" applyFill="1" applyBorder="1" applyAlignment="1">
      <alignment horizontal="right" vertical="top"/>
    </xf>
    <xf numFmtId="3" fontId="17" fillId="7" borderId="83" xfId="0" applyNumberFormat="1" applyFont="1" applyFill="1" applyBorder="1" applyAlignment="1">
      <alignment horizontal="right" vertical="top"/>
    </xf>
    <xf numFmtId="3" fontId="17" fillId="7" borderId="83" xfId="0" applyNumberFormat="1" applyFont="1" applyFill="1" applyBorder="1" applyAlignment="1">
      <alignment horizontal="right" vertical="top" wrapText="1"/>
    </xf>
    <xf numFmtId="3" fontId="17" fillId="7" borderId="106" xfId="0" applyNumberFormat="1" applyFont="1" applyFill="1" applyBorder="1" applyAlignment="1">
      <alignment horizontal="right" vertical="top" wrapText="1"/>
    </xf>
    <xf numFmtId="3" fontId="17" fillId="7" borderId="63" xfId="0" applyNumberFormat="1" applyFont="1" applyFill="1" applyBorder="1" applyAlignment="1">
      <alignment horizontal="right" vertical="top" wrapText="1"/>
    </xf>
    <xf numFmtId="3" fontId="17" fillId="7" borderId="110" xfId="0" applyNumberFormat="1" applyFont="1" applyFill="1" applyBorder="1" applyAlignment="1">
      <alignment horizontal="right" vertical="top" wrapText="1"/>
    </xf>
    <xf numFmtId="3" fontId="17" fillId="7" borderId="78" xfId="0" applyNumberFormat="1" applyFont="1" applyFill="1" applyBorder="1" applyAlignment="1">
      <alignment horizontal="right" vertical="top" wrapText="1"/>
    </xf>
    <xf numFmtId="3" fontId="17" fillId="7" borderId="122" xfId="0" applyNumberFormat="1" applyFont="1" applyFill="1" applyBorder="1" applyAlignment="1">
      <alignment horizontal="right" vertical="top" wrapText="1"/>
    </xf>
    <xf numFmtId="3" fontId="17" fillId="7" borderId="33" xfId="0" applyNumberFormat="1" applyFont="1" applyFill="1" applyBorder="1" applyAlignment="1">
      <alignment vertical="top" wrapText="1"/>
    </xf>
    <xf numFmtId="3" fontId="17" fillId="7" borderId="78" xfId="0" applyNumberFormat="1" applyFont="1" applyFill="1" applyBorder="1" applyAlignment="1">
      <alignment vertical="top"/>
    </xf>
    <xf numFmtId="3" fontId="17" fillId="7" borderId="78" xfId="0" applyNumberFormat="1" applyFont="1" applyFill="1" applyBorder="1" applyAlignment="1">
      <alignment vertical="top" wrapText="1"/>
    </xf>
    <xf numFmtId="0" fontId="3" fillId="0" borderId="28" xfId="0" applyFont="1" applyBorder="1" applyAlignment="1">
      <alignment vertical="top"/>
    </xf>
    <xf numFmtId="3" fontId="17" fillId="7" borderId="78" xfId="0" applyNumberFormat="1" applyFont="1" applyFill="1" applyBorder="1" applyAlignment="1">
      <alignment horizontal="right" vertical="top"/>
    </xf>
    <xf numFmtId="49" fontId="5" fillId="0" borderId="21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3" fontId="17" fillId="7" borderId="118" xfId="0" applyNumberFormat="1" applyFont="1" applyFill="1" applyBorder="1" applyAlignment="1">
      <alignment vertical="top"/>
    </xf>
    <xf numFmtId="3" fontId="3" fillId="8" borderId="112" xfId="0" applyNumberFormat="1" applyFont="1" applyFill="1" applyBorder="1" applyAlignment="1">
      <alignment vertical="top"/>
    </xf>
    <xf numFmtId="3" fontId="3" fillId="7" borderId="23" xfId="0" applyNumberFormat="1" applyFont="1" applyFill="1" applyBorder="1" applyAlignment="1">
      <alignment horizontal="right" vertical="top"/>
    </xf>
    <xf numFmtId="3" fontId="3" fillId="7" borderId="15" xfId="0" applyNumberFormat="1" applyFont="1" applyFill="1" applyBorder="1" applyAlignment="1">
      <alignment horizontal="right" vertical="top"/>
    </xf>
    <xf numFmtId="3" fontId="17" fillId="7" borderId="0" xfId="0" applyNumberFormat="1" applyFont="1" applyFill="1" applyBorder="1" applyAlignment="1">
      <alignment vertical="top" wrapText="1"/>
    </xf>
    <xf numFmtId="0" fontId="3" fillId="7" borderId="8" xfId="0" applyFont="1" applyFill="1" applyBorder="1" applyAlignment="1">
      <alignment horizontal="center" vertical="top" wrapText="1"/>
    </xf>
    <xf numFmtId="3" fontId="3" fillId="0" borderId="20" xfId="0" applyNumberFormat="1" applyFont="1" applyFill="1" applyBorder="1" applyAlignment="1">
      <alignment horizontal="center" wrapText="1"/>
    </xf>
    <xf numFmtId="3" fontId="3" fillId="0" borderId="21" xfId="0" applyNumberFormat="1" applyFont="1" applyFill="1" applyBorder="1" applyAlignment="1">
      <alignment horizontal="center" wrapText="1"/>
    </xf>
    <xf numFmtId="49" fontId="29" fillId="3" borderId="20" xfId="0" applyNumberFormat="1" applyFont="1" applyFill="1" applyBorder="1" applyAlignment="1">
      <alignment horizontal="center" vertical="top" wrapText="1"/>
    </xf>
    <xf numFmtId="3" fontId="17" fillId="0" borderId="20" xfId="0" applyNumberFormat="1" applyFont="1" applyFill="1" applyBorder="1" applyAlignment="1">
      <alignment horizontal="center" vertical="top" wrapText="1"/>
    </xf>
    <xf numFmtId="3" fontId="17" fillId="3" borderId="11" xfId="0" applyNumberFormat="1" applyFont="1" applyFill="1" applyBorder="1" applyAlignment="1">
      <alignment horizontal="center" vertical="top" wrapText="1"/>
    </xf>
    <xf numFmtId="3" fontId="17" fillId="0" borderId="11" xfId="0" applyNumberFormat="1" applyFont="1" applyFill="1" applyBorder="1" applyAlignment="1">
      <alignment horizontal="center" vertical="top" wrapText="1"/>
    </xf>
    <xf numFmtId="3" fontId="17" fillId="0" borderId="29" xfId="0" applyNumberFormat="1" applyFont="1" applyFill="1" applyBorder="1" applyAlignment="1">
      <alignment horizontal="center" vertical="top" wrapText="1"/>
    </xf>
    <xf numFmtId="3" fontId="3" fillId="8" borderId="70" xfId="0" applyNumberFormat="1" applyFont="1" applyFill="1" applyBorder="1" applyAlignment="1">
      <alignment vertical="top"/>
    </xf>
    <xf numFmtId="3" fontId="3" fillId="7" borderId="105" xfId="0" applyNumberFormat="1" applyFont="1" applyFill="1" applyBorder="1" applyAlignment="1">
      <alignment horizontal="right" vertical="top" wrapText="1"/>
    </xf>
    <xf numFmtId="49" fontId="29" fillId="7" borderId="11" xfId="0" applyNumberFormat="1" applyFont="1" applyFill="1" applyBorder="1" applyAlignment="1">
      <alignment horizontal="center" vertical="top"/>
    </xf>
    <xf numFmtId="3" fontId="17" fillId="7" borderId="11" xfId="0" applyNumberFormat="1" applyFont="1" applyFill="1" applyBorder="1" applyAlignment="1">
      <alignment horizontal="center" vertical="top"/>
    </xf>
    <xf numFmtId="0" fontId="31" fillId="0" borderId="70" xfId="0" applyFont="1" applyFill="1" applyBorder="1" applyAlignment="1">
      <alignment vertical="top" wrapText="1"/>
    </xf>
    <xf numFmtId="0" fontId="32" fillId="0" borderId="39" xfId="0" applyFont="1" applyFill="1" applyBorder="1" applyAlignment="1">
      <alignment horizontal="center" vertical="top" wrapText="1"/>
    </xf>
    <xf numFmtId="0" fontId="31" fillId="0" borderId="39" xfId="0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left" vertical="center" wrapText="1"/>
    </xf>
    <xf numFmtId="49" fontId="29" fillId="7" borderId="1" xfId="0" applyNumberFormat="1" applyFont="1" applyFill="1" applyBorder="1" applyAlignment="1">
      <alignment horizontal="center" vertical="top"/>
    </xf>
    <xf numFmtId="0" fontId="33" fillId="7" borderId="16" xfId="0" applyFont="1" applyFill="1" applyBorder="1" applyAlignment="1">
      <alignment horizontal="left" vertical="center" wrapText="1"/>
    </xf>
    <xf numFmtId="49" fontId="29" fillId="0" borderId="94" xfId="0" applyNumberFormat="1" applyFont="1" applyFill="1" applyBorder="1" applyAlignment="1">
      <alignment horizontal="center" vertical="top" wrapText="1"/>
    </xf>
    <xf numFmtId="0" fontId="17" fillId="0" borderId="110" xfId="0" applyNumberFormat="1" applyFont="1" applyFill="1" applyBorder="1" applyAlignment="1">
      <alignment horizontal="center" vertical="top"/>
    </xf>
    <xf numFmtId="3" fontId="17" fillId="0" borderId="31" xfId="0" applyNumberFormat="1" applyFont="1" applyFill="1" applyBorder="1" applyAlignment="1">
      <alignment horizontal="center" vertical="top"/>
    </xf>
    <xf numFmtId="3" fontId="3" fillId="7" borderId="83" xfId="0" applyNumberFormat="1" applyFont="1" applyFill="1" applyBorder="1" applyAlignment="1">
      <alignment horizontal="right" vertical="top" wrapText="1"/>
    </xf>
    <xf numFmtId="3" fontId="3" fillId="7" borderId="101" xfId="0" applyNumberFormat="1" applyFont="1" applyFill="1" applyBorder="1" applyAlignment="1">
      <alignment horizontal="right" vertical="top" wrapText="1"/>
    </xf>
    <xf numFmtId="3" fontId="26" fillId="7" borderId="2" xfId="0" applyNumberFormat="1" applyFont="1" applyFill="1" applyBorder="1" applyAlignment="1">
      <alignment horizontal="right" vertical="top"/>
    </xf>
    <xf numFmtId="3" fontId="5" fillId="7" borderId="53" xfId="0" applyNumberFormat="1" applyFont="1" applyFill="1" applyBorder="1" applyAlignment="1">
      <alignment horizontal="right" vertical="top"/>
    </xf>
    <xf numFmtId="3" fontId="17" fillId="7" borderId="125" xfId="0" applyNumberFormat="1" applyFont="1" applyFill="1" applyBorder="1" applyAlignment="1">
      <alignment horizontal="right" vertical="top" wrapText="1"/>
    </xf>
    <xf numFmtId="3" fontId="17" fillId="7" borderId="66" xfId="0" applyNumberFormat="1" applyFont="1" applyFill="1" applyBorder="1" applyAlignment="1">
      <alignment horizontal="right" vertical="top"/>
    </xf>
    <xf numFmtId="3" fontId="26" fillId="7" borderId="31" xfId="0" applyNumberFormat="1" applyFont="1" applyFill="1" applyBorder="1" applyAlignment="1">
      <alignment horizontal="right" vertical="top"/>
    </xf>
    <xf numFmtId="3" fontId="5" fillId="7" borderId="76" xfId="0" applyNumberFormat="1" applyFont="1" applyFill="1" applyBorder="1" applyAlignment="1">
      <alignment horizontal="right" vertical="top"/>
    </xf>
    <xf numFmtId="3" fontId="17" fillId="7" borderId="0" xfId="0" applyNumberFormat="1" applyFont="1" applyFill="1" applyBorder="1" applyAlignment="1">
      <alignment horizontal="right" vertical="top" wrapText="1"/>
    </xf>
    <xf numFmtId="3" fontId="17" fillId="7" borderId="101" xfId="0" applyNumberFormat="1" applyFont="1" applyFill="1" applyBorder="1" applyAlignment="1">
      <alignment horizontal="right" vertical="top"/>
    </xf>
    <xf numFmtId="3" fontId="3" fillId="7" borderId="76" xfId="0" applyNumberFormat="1" applyFont="1" applyFill="1" applyBorder="1" applyAlignment="1">
      <alignment horizontal="right" vertical="top"/>
    </xf>
    <xf numFmtId="3" fontId="17" fillId="7" borderId="36" xfId="0" applyNumberFormat="1" applyFont="1" applyFill="1" applyBorder="1" applyAlignment="1">
      <alignment horizontal="right" vertical="top"/>
    </xf>
    <xf numFmtId="3" fontId="5" fillId="7" borderId="31" xfId="0" applyNumberFormat="1" applyFont="1" applyFill="1" applyBorder="1" applyAlignment="1">
      <alignment horizontal="right" vertical="top"/>
    </xf>
    <xf numFmtId="3" fontId="26" fillId="7" borderId="14" xfId="0" applyNumberFormat="1" applyFont="1" applyFill="1" applyBorder="1" applyAlignment="1">
      <alignment horizontal="right" vertical="top"/>
    </xf>
    <xf numFmtId="3" fontId="26" fillId="7" borderId="33" xfId="0" applyNumberFormat="1" applyFont="1" applyFill="1" applyBorder="1" applyAlignment="1">
      <alignment horizontal="right" vertical="top"/>
    </xf>
    <xf numFmtId="3" fontId="17" fillId="7" borderId="36" xfId="0" applyNumberFormat="1" applyFont="1" applyFill="1" applyBorder="1" applyAlignment="1">
      <alignment horizontal="right" vertical="top" wrapText="1"/>
    </xf>
    <xf numFmtId="0" fontId="3" fillId="7" borderId="33" xfId="0" applyFont="1" applyFill="1" applyBorder="1" applyAlignment="1">
      <alignment vertical="top"/>
    </xf>
    <xf numFmtId="164" fontId="3" fillId="7" borderId="66" xfId="0" applyNumberFormat="1" applyFont="1" applyFill="1" applyBorder="1" applyAlignment="1">
      <alignment horizontal="right" vertical="top" wrapText="1"/>
    </xf>
    <xf numFmtId="3" fontId="3" fillId="7" borderId="83" xfId="0" applyNumberFormat="1" applyFont="1" applyFill="1" applyBorder="1" applyAlignment="1">
      <alignment horizontal="right" vertical="top"/>
    </xf>
    <xf numFmtId="3" fontId="3" fillId="7" borderId="0" xfId="0" applyNumberFormat="1" applyFont="1" applyFill="1" applyBorder="1" applyAlignment="1">
      <alignment horizontal="right" vertical="top"/>
    </xf>
    <xf numFmtId="3" fontId="17" fillId="7" borderId="111" xfId="0" applyNumberFormat="1" applyFont="1" applyFill="1" applyBorder="1" applyAlignment="1">
      <alignment horizontal="right" vertical="top" wrapText="1"/>
    </xf>
    <xf numFmtId="3" fontId="17" fillId="7" borderId="118" xfId="0" applyNumberFormat="1" applyFont="1" applyFill="1" applyBorder="1" applyAlignment="1">
      <alignment horizontal="right" vertical="top" wrapText="1"/>
    </xf>
    <xf numFmtId="3" fontId="17" fillId="7" borderId="108" xfId="0" applyNumberFormat="1" applyFont="1" applyFill="1" applyBorder="1" applyAlignment="1">
      <alignment horizontal="right" vertical="top" wrapText="1"/>
    </xf>
    <xf numFmtId="3" fontId="17" fillId="7" borderId="102" xfId="0" applyNumberFormat="1" applyFont="1" applyFill="1" applyBorder="1" applyAlignment="1">
      <alignment horizontal="right" vertical="top" wrapText="1"/>
    </xf>
    <xf numFmtId="3" fontId="26" fillId="7" borderId="32" xfId="0" applyNumberFormat="1" applyFont="1" applyFill="1" applyBorder="1" applyAlignment="1">
      <alignment horizontal="right" vertical="top"/>
    </xf>
    <xf numFmtId="3" fontId="3" fillId="7" borderId="76" xfId="0" applyNumberFormat="1" applyFont="1" applyFill="1" applyBorder="1" applyAlignment="1">
      <alignment horizontal="right" vertical="top" wrapText="1"/>
    </xf>
    <xf numFmtId="3" fontId="3" fillId="7" borderId="111" xfId="0" applyNumberFormat="1" applyFont="1" applyFill="1" applyBorder="1" applyAlignment="1">
      <alignment horizontal="right" vertical="top" wrapText="1"/>
    </xf>
    <xf numFmtId="3" fontId="3" fillId="7" borderId="0" xfId="0" applyNumberFormat="1" applyFont="1" applyFill="1" applyBorder="1" applyAlignment="1">
      <alignment horizontal="right" vertical="top" wrapText="1"/>
    </xf>
    <xf numFmtId="3" fontId="3" fillId="7" borderId="127" xfId="0" applyNumberFormat="1" applyFont="1" applyFill="1" applyBorder="1" applyAlignment="1">
      <alignment horizontal="right" vertical="top" wrapText="1"/>
    </xf>
    <xf numFmtId="3" fontId="5" fillId="7" borderId="47" xfId="0" applyNumberFormat="1" applyFont="1" applyFill="1" applyBorder="1" applyAlignment="1">
      <alignment horizontal="right" vertical="top"/>
    </xf>
    <xf numFmtId="3" fontId="17" fillId="7" borderId="127" xfId="0" applyNumberFormat="1" applyFont="1" applyFill="1" applyBorder="1" applyAlignment="1">
      <alignment horizontal="right" vertical="top" wrapText="1"/>
    </xf>
    <xf numFmtId="3" fontId="26" fillId="7" borderId="61" xfId="0" applyNumberFormat="1" applyFont="1" applyFill="1" applyBorder="1" applyAlignment="1">
      <alignment horizontal="right" vertical="top"/>
    </xf>
    <xf numFmtId="3" fontId="17" fillId="7" borderId="53" xfId="0" applyNumberFormat="1" applyFont="1" applyFill="1" applyBorder="1" applyAlignment="1">
      <alignment horizontal="right" vertical="top"/>
    </xf>
    <xf numFmtId="3" fontId="3" fillId="7" borderId="111" xfId="0" applyNumberFormat="1" applyFont="1" applyFill="1" applyBorder="1" applyAlignment="1">
      <alignment horizontal="right" vertical="top"/>
    </xf>
    <xf numFmtId="3" fontId="5" fillId="7" borderId="59" xfId="0" applyNumberFormat="1" applyFont="1" applyFill="1" applyBorder="1" applyAlignment="1">
      <alignment horizontal="right" vertical="top"/>
    </xf>
    <xf numFmtId="3" fontId="26" fillId="7" borderId="59" xfId="0" applyNumberFormat="1" applyFont="1" applyFill="1" applyBorder="1" applyAlignment="1">
      <alignment horizontal="right" vertical="top"/>
    </xf>
    <xf numFmtId="3" fontId="26" fillId="7" borderId="54" xfId="0" applyNumberFormat="1" applyFont="1" applyFill="1" applyBorder="1" applyAlignment="1">
      <alignment horizontal="right" vertical="top"/>
    </xf>
    <xf numFmtId="3" fontId="3" fillId="7" borderId="53" xfId="0" applyNumberFormat="1" applyFont="1" applyFill="1" applyBorder="1" applyAlignment="1">
      <alignment horizontal="right" vertical="top"/>
    </xf>
    <xf numFmtId="164" fontId="3" fillId="7" borderId="76" xfId="0" applyNumberFormat="1" applyFont="1" applyFill="1" applyBorder="1" applyAlignment="1">
      <alignment vertical="top" wrapText="1"/>
    </xf>
    <xf numFmtId="3" fontId="3" fillId="7" borderId="52" xfId="0" applyNumberFormat="1" applyFont="1" applyFill="1" applyBorder="1" applyAlignment="1">
      <alignment vertical="top" wrapText="1"/>
    </xf>
    <xf numFmtId="3" fontId="17" fillId="7" borderId="45" xfId="0" applyNumberFormat="1" applyFont="1" applyFill="1" applyBorder="1" applyAlignment="1">
      <alignment wrapText="1"/>
    </xf>
    <xf numFmtId="49" fontId="29" fillId="7" borderId="45" xfId="0" applyNumberFormat="1" applyFont="1" applyFill="1" applyBorder="1" applyAlignment="1">
      <alignment horizontal="right" vertical="top" wrapText="1"/>
    </xf>
    <xf numFmtId="3" fontId="17" fillId="7" borderId="45" xfId="0" applyNumberFormat="1" applyFont="1" applyFill="1" applyBorder="1" applyAlignment="1">
      <alignment vertical="top" wrapText="1"/>
    </xf>
    <xf numFmtId="3" fontId="17" fillId="7" borderId="55" xfId="0" applyNumberFormat="1" applyFont="1" applyFill="1" applyBorder="1" applyAlignment="1">
      <alignment vertical="top" wrapText="1"/>
    </xf>
    <xf numFmtId="3" fontId="5" fillId="7" borderId="33" xfId="0" applyNumberFormat="1" applyFont="1" applyFill="1" applyBorder="1" applyAlignment="1">
      <alignment vertical="top"/>
    </xf>
    <xf numFmtId="3" fontId="3" fillId="7" borderId="53" xfId="0" applyNumberFormat="1" applyFont="1" applyFill="1" applyBorder="1" applyAlignment="1">
      <alignment vertical="top" wrapText="1"/>
    </xf>
    <xf numFmtId="3" fontId="3" fillId="7" borderId="78" xfId="0" applyNumberFormat="1" applyFont="1" applyFill="1" applyBorder="1" applyAlignment="1">
      <alignment vertical="top" wrapText="1"/>
    </xf>
    <xf numFmtId="3" fontId="3" fillId="7" borderId="0" xfId="0" applyNumberFormat="1" applyFont="1" applyFill="1" applyBorder="1" applyAlignment="1">
      <alignment vertical="top" wrapText="1"/>
    </xf>
    <xf numFmtId="3" fontId="3" fillId="7" borderId="66" xfId="0" applyNumberFormat="1" applyFont="1" applyFill="1" applyBorder="1" applyAlignment="1">
      <alignment vertical="top" wrapText="1"/>
    </xf>
    <xf numFmtId="3" fontId="5" fillId="7" borderId="54" xfId="0" applyNumberFormat="1" applyFont="1" applyFill="1" applyBorder="1" applyAlignment="1">
      <alignment vertical="top"/>
    </xf>
    <xf numFmtId="3" fontId="26" fillId="7" borderId="59" xfId="0" applyNumberFormat="1" applyFont="1" applyFill="1" applyBorder="1" applyAlignment="1">
      <alignment vertical="top"/>
    </xf>
    <xf numFmtId="3" fontId="17" fillId="7" borderId="122" xfId="0" applyNumberFormat="1" applyFont="1" applyFill="1" applyBorder="1" applyAlignment="1">
      <alignment vertical="top" wrapText="1"/>
    </xf>
    <xf numFmtId="3" fontId="3" fillId="7" borderId="76" xfId="0" applyNumberFormat="1" applyFont="1" applyFill="1" applyBorder="1" applyAlignment="1">
      <alignment vertical="top" wrapText="1"/>
    </xf>
    <xf numFmtId="3" fontId="5" fillId="7" borderId="62" xfId="0" applyNumberFormat="1" applyFont="1" applyFill="1" applyBorder="1" applyAlignment="1">
      <alignment vertical="top"/>
    </xf>
    <xf numFmtId="0" fontId="7" fillId="7" borderId="74" xfId="0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vertical="top"/>
    </xf>
    <xf numFmtId="0" fontId="3" fillId="7" borderId="0" xfId="0" applyFont="1" applyFill="1" applyAlignment="1">
      <alignment vertical="top"/>
    </xf>
    <xf numFmtId="3" fontId="26" fillId="11" borderId="73" xfId="0" applyNumberFormat="1" applyFont="1" applyFill="1" applyBorder="1" applyAlignment="1">
      <alignment vertical="top"/>
    </xf>
    <xf numFmtId="3" fontId="5" fillId="12" borderId="25" xfId="0" applyNumberFormat="1" applyFont="1" applyFill="1" applyBorder="1" applyAlignment="1">
      <alignment vertical="top"/>
    </xf>
    <xf numFmtId="3" fontId="5" fillId="12" borderId="22" xfId="0" applyNumberFormat="1" applyFont="1" applyFill="1" applyBorder="1" applyAlignment="1">
      <alignment vertical="top"/>
    </xf>
    <xf numFmtId="3" fontId="26" fillId="12" borderId="79" xfId="0" applyNumberFormat="1" applyFont="1" applyFill="1" applyBorder="1" applyAlignment="1">
      <alignment vertical="top"/>
    </xf>
    <xf numFmtId="3" fontId="5" fillId="10" borderId="69" xfId="0" applyNumberFormat="1" applyFont="1" applyFill="1" applyBorder="1" applyAlignment="1">
      <alignment horizontal="right" vertical="top"/>
    </xf>
    <xf numFmtId="3" fontId="5" fillId="10" borderId="34" xfId="0" applyNumberFormat="1" applyFont="1" applyFill="1" applyBorder="1" applyAlignment="1">
      <alignment horizontal="right" vertical="top"/>
    </xf>
    <xf numFmtId="3" fontId="5" fillId="12" borderId="10" xfId="0" applyNumberFormat="1" applyFont="1" applyFill="1" applyBorder="1" applyAlignment="1">
      <alignment horizontal="right" vertical="top"/>
    </xf>
    <xf numFmtId="3" fontId="5" fillId="12" borderId="72" xfId="0" applyNumberFormat="1" applyFont="1" applyFill="1" applyBorder="1" applyAlignment="1">
      <alignment horizontal="right" vertical="top"/>
    </xf>
    <xf numFmtId="3" fontId="5" fillId="12" borderId="24" xfId="0" applyNumberFormat="1" applyFont="1" applyFill="1" applyBorder="1" applyAlignment="1">
      <alignment horizontal="right" vertical="top"/>
    </xf>
    <xf numFmtId="3" fontId="5" fillId="12" borderId="55" xfId="0" applyNumberFormat="1" applyFont="1" applyFill="1" applyBorder="1" applyAlignment="1">
      <alignment horizontal="right" vertical="top"/>
    </xf>
    <xf numFmtId="3" fontId="5" fillId="11" borderId="22" xfId="0" applyNumberFormat="1" applyFont="1" applyFill="1" applyBorder="1" applyAlignment="1">
      <alignment horizontal="right" vertical="top"/>
    </xf>
    <xf numFmtId="3" fontId="26" fillId="11" borderId="74" xfId="0" applyNumberFormat="1" applyFont="1" applyFill="1" applyBorder="1" applyAlignment="1">
      <alignment horizontal="right" vertical="top"/>
    </xf>
    <xf numFmtId="3" fontId="5" fillId="11" borderId="4" xfId="0" applyNumberFormat="1" applyFont="1" applyFill="1" applyBorder="1" applyAlignment="1">
      <alignment horizontal="right" vertical="top"/>
    </xf>
    <xf numFmtId="0" fontId="3" fillId="3" borderId="70" xfId="0" applyFont="1" applyFill="1" applyBorder="1" applyAlignment="1">
      <alignment horizontal="left" vertical="top" wrapText="1"/>
    </xf>
    <xf numFmtId="0" fontId="3" fillId="3" borderId="66" xfId="0" applyFont="1" applyFill="1" applyBorder="1" applyAlignment="1">
      <alignment horizontal="left" vertical="top" wrapText="1"/>
    </xf>
    <xf numFmtId="0" fontId="3" fillId="3" borderId="44" xfId="0" applyFont="1" applyFill="1" applyBorder="1" applyAlignment="1">
      <alignment horizontal="left" vertical="top" wrapText="1"/>
    </xf>
    <xf numFmtId="49" fontId="5" fillId="9" borderId="35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7" borderId="11" xfId="0" applyNumberFormat="1" applyFont="1" applyFill="1" applyBorder="1" applyAlignment="1">
      <alignment horizontal="center" vertical="top"/>
    </xf>
    <xf numFmtId="0" fontId="3" fillId="3" borderId="21" xfId="0" applyFont="1" applyFill="1" applyBorder="1" applyAlignment="1">
      <alignment horizontal="left" vertical="top" wrapText="1"/>
    </xf>
    <xf numFmtId="0" fontId="3" fillId="3" borderId="88" xfId="0" applyFont="1" applyFill="1" applyBorder="1" applyAlignment="1">
      <alignment horizontal="left" vertical="top" wrapText="1"/>
    </xf>
    <xf numFmtId="49" fontId="5" fillId="0" borderId="21" xfId="0" applyNumberFormat="1" applyFont="1" applyBorder="1" applyAlignment="1">
      <alignment horizontal="center" vertical="top"/>
    </xf>
    <xf numFmtId="49" fontId="5" fillId="0" borderId="88" xfId="0" applyNumberFormat="1" applyFont="1" applyBorder="1" applyAlignment="1">
      <alignment horizontal="center" vertical="top"/>
    </xf>
    <xf numFmtId="49" fontId="5" fillId="0" borderId="18" xfId="0" applyNumberFormat="1" applyFont="1" applyBorder="1" applyAlignment="1">
      <alignment horizontal="center" vertical="top"/>
    </xf>
    <xf numFmtId="0" fontId="3" fillId="3" borderId="18" xfId="0" applyFont="1" applyFill="1" applyBorder="1" applyAlignment="1">
      <alignment horizontal="left" vertical="top" wrapText="1"/>
    </xf>
    <xf numFmtId="49" fontId="5" fillId="9" borderId="7" xfId="0" applyNumberFormat="1" applyFont="1" applyFill="1" applyBorder="1" applyAlignment="1">
      <alignment horizontal="center" vertical="top"/>
    </xf>
    <xf numFmtId="164" fontId="5" fillId="0" borderId="38" xfId="0" applyNumberFormat="1" applyFont="1" applyFill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19" fillId="0" borderId="30" xfId="0" applyFont="1" applyBorder="1" applyAlignment="1">
      <alignment horizontal="center" vertical="top" wrapText="1"/>
    </xf>
    <xf numFmtId="49" fontId="5" fillId="0" borderId="28" xfId="0" applyNumberFormat="1" applyFont="1" applyBorder="1" applyAlignment="1">
      <alignment horizontal="center" vertical="top"/>
    </xf>
    <xf numFmtId="0" fontId="3" fillId="7" borderId="21" xfId="0" applyFont="1" applyFill="1" applyBorder="1" applyAlignment="1">
      <alignment horizontal="left" vertical="top" wrapText="1"/>
    </xf>
    <xf numFmtId="0" fontId="3" fillId="7" borderId="18" xfId="0" applyFont="1" applyFill="1" applyBorder="1" applyAlignment="1">
      <alignment horizontal="left" vertical="top" wrapText="1"/>
    </xf>
    <xf numFmtId="0" fontId="3" fillId="7" borderId="28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vertical="top" wrapText="1"/>
    </xf>
    <xf numFmtId="0" fontId="11" fillId="0" borderId="28" xfId="0" applyFont="1" applyBorder="1" applyAlignment="1">
      <alignment vertical="top" wrapText="1"/>
    </xf>
    <xf numFmtId="0" fontId="3" fillId="7" borderId="21" xfId="0" applyFont="1" applyFill="1" applyBorder="1" applyAlignment="1">
      <alignment vertical="top" wrapText="1"/>
    </xf>
    <xf numFmtId="0" fontId="3" fillId="7" borderId="18" xfId="0" applyFont="1" applyFill="1" applyBorder="1" applyAlignment="1">
      <alignment vertical="top" wrapText="1"/>
    </xf>
    <xf numFmtId="164" fontId="5" fillId="0" borderId="7" xfId="0" applyNumberFormat="1" applyFont="1" applyFill="1" applyBorder="1" applyAlignment="1">
      <alignment horizontal="center" vertical="top" wrapText="1"/>
    </xf>
    <xf numFmtId="164" fontId="5" fillId="0" borderId="30" xfId="0" applyNumberFormat="1" applyFont="1" applyFill="1" applyBorder="1" applyAlignment="1">
      <alignment horizontal="center" vertical="top" wrapText="1"/>
    </xf>
    <xf numFmtId="49" fontId="8" fillId="6" borderId="71" xfId="0" applyNumberFormat="1" applyFont="1" applyFill="1" applyBorder="1" applyAlignment="1">
      <alignment horizontal="left" vertical="top" wrapText="1"/>
    </xf>
    <xf numFmtId="49" fontId="8" fillId="6" borderId="76" xfId="0" applyNumberFormat="1" applyFont="1" applyFill="1" applyBorder="1" applyAlignment="1">
      <alignment horizontal="left" vertical="top" wrapText="1"/>
    </xf>
    <xf numFmtId="49" fontId="8" fillId="6" borderId="72" xfId="0" applyNumberFormat="1" applyFont="1" applyFill="1" applyBorder="1" applyAlignment="1">
      <alignment horizontal="left" vertical="top" wrapText="1"/>
    </xf>
    <xf numFmtId="0" fontId="3" fillId="0" borderId="41" xfId="0" applyFont="1" applyBorder="1" applyAlignment="1">
      <alignment horizontal="center" textRotation="90" shrinkToFit="1"/>
    </xf>
    <xf numFmtId="0" fontId="3" fillId="0" borderId="6" xfId="0" applyFont="1" applyBorder="1" applyAlignment="1">
      <alignment horizontal="center" textRotation="90" shrinkToFit="1"/>
    </xf>
    <xf numFmtId="0" fontId="3" fillId="0" borderId="69" xfId="0" applyFont="1" applyBorder="1" applyAlignment="1">
      <alignment horizontal="center" textRotation="90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3" fillId="0" borderId="52" xfId="0" applyNumberFormat="1" applyFont="1" applyBorder="1" applyAlignment="1">
      <alignment horizontal="center" vertical="center" textRotation="90" shrinkToFit="1"/>
    </xf>
    <xf numFmtId="0" fontId="3" fillId="0" borderId="45" xfId="0" applyNumberFormat="1" applyFont="1" applyBorder="1" applyAlignment="1">
      <alignment horizontal="center" vertical="center" textRotation="90" shrinkToFit="1"/>
    </xf>
    <xf numFmtId="0" fontId="3" fillId="0" borderId="34" xfId="0" applyNumberFormat="1" applyFont="1" applyBorder="1" applyAlignment="1">
      <alignment horizontal="center" vertical="center" textRotation="90" shrinkToFit="1"/>
    </xf>
    <xf numFmtId="0" fontId="3" fillId="0" borderId="41" xfId="0" applyFont="1" applyBorder="1" applyAlignment="1">
      <alignment horizontal="center" vertical="center" textRotation="90" shrinkToFit="1"/>
    </xf>
    <xf numFmtId="0" fontId="3" fillId="0" borderId="6" xfId="0" applyFont="1" applyBorder="1" applyAlignment="1">
      <alignment horizontal="center" vertical="center" textRotation="90" shrinkToFit="1"/>
    </xf>
    <xf numFmtId="0" fontId="3" fillId="0" borderId="69" xfId="0" applyFont="1" applyBorder="1" applyAlignment="1">
      <alignment horizontal="center" vertical="center" textRotation="90" shrinkToFit="1"/>
    </xf>
    <xf numFmtId="0" fontId="8" fillId="5" borderId="70" xfId="0" applyFont="1" applyFill="1" applyBorder="1" applyAlignment="1">
      <alignment horizontal="left" vertical="top" wrapText="1"/>
    </xf>
    <xf numFmtId="0" fontId="8" fillId="5" borderId="66" xfId="0" applyFont="1" applyFill="1" applyBorder="1" applyAlignment="1">
      <alignment horizontal="left" vertical="top" wrapText="1"/>
    </xf>
    <xf numFmtId="0" fontId="8" fillId="5" borderId="44" xfId="0" applyFont="1" applyFill="1" applyBorder="1" applyAlignment="1">
      <alignment horizontal="left" vertical="top" wrapText="1"/>
    </xf>
    <xf numFmtId="0" fontId="5" fillId="9" borderId="39" xfId="0" applyFont="1" applyFill="1" applyBorder="1" applyAlignment="1">
      <alignment horizontal="left" vertical="top"/>
    </xf>
    <xf numFmtId="0" fontId="5" fillId="9" borderId="66" xfId="0" applyFont="1" applyFill="1" applyBorder="1" applyAlignment="1">
      <alignment horizontal="left" vertical="top"/>
    </xf>
    <xf numFmtId="0" fontId="5" fillId="9" borderId="44" xfId="0" applyFont="1" applyFill="1" applyBorder="1" applyAlignment="1">
      <alignment horizontal="left" vertical="top"/>
    </xf>
    <xf numFmtId="0" fontId="3" fillId="7" borderId="41" xfId="0" applyFont="1" applyFill="1" applyBorder="1" applyAlignment="1">
      <alignment horizontal="center" vertical="center" textRotation="90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69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26" xfId="0" applyFont="1" applyBorder="1" applyAlignment="1">
      <alignment horizontal="left" vertical="top" wrapText="1"/>
    </xf>
    <xf numFmtId="0" fontId="11" fillId="0" borderId="88" xfId="0" applyFont="1" applyBorder="1" applyAlignment="1">
      <alignment horizontal="left" vertical="top" wrapText="1"/>
    </xf>
    <xf numFmtId="0" fontId="5" fillId="2" borderId="39" xfId="0" applyFont="1" applyFill="1" applyBorder="1" applyAlignment="1">
      <alignment horizontal="left" vertical="top" wrapText="1"/>
    </xf>
    <xf numFmtId="0" fontId="5" fillId="2" borderId="66" xfId="0" applyFont="1" applyFill="1" applyBorder="1" applyAlignment="1">
      <alignment horizontal="left" vertical="top" wrapText="1"/>
    </xf>
    <xf numFmtId="0" fontId="5" fillId="2" borderId="44" xfId="0" applyFont="1" applyFill="1" applyBorder="1" applyAlignment="1">
      <alignment horizontal="left" vertical="top" wrapText="1"/>
    </xf>
    <xf numFmtId="0" fontId="5" fillId="0" borderId="38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3" fillId="3" borderId="28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3" fillId="0" borderId="33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 textRotation="90" shrinkToFit="1"/>
    </xf>
    <xf numFmtId="0" fontId="3" fillId="0" borderId="7" xfId="0" applyFont="1" applyBorder="1" applyAlignment="1">
      <alignment horizontal="center" vertical="center" textRotation="90" shrinkToFit="1"/>
    </xf>
    <xf numFmtId="0" fontId="3" fillId="0" borderId="9" xfId="0" applyFont="1" applyBorder="1" applyAlignment="1">
      <alignment horizontal="center" vertical="center" textRotation="90" shrinkToFit="1"/>
    </xf>
    <xf numFmtId="0" fontId="3" fillId="0" borderId="26" xfId="0" applyFont="1" applyBorder="1" applyAlignment="1">
      <alignment horizontal="center" vertical="center" textRotation="90" shrinkToFit="1"/>
    </xf>
    <xf numFmtId="0" fontId="3" fillId="0" borderId="11" xfId="0" applyFont="1" applyBorder="1" applyAlignment="1">
      <alignment horizontal="center" vertical="center" textRotation="90" shrinkToFit="1"/>
    </xf>
    <xf numFmtId="0" fontId="3" fillId="0" borderId="31" xfId="0" applyFont="1" applyBorder="1" applyAlignment="1">
      <alignment horizontal="center" vertical="center" textRotation="90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textRotation="90" shrinkToFit="1"/>
    </xf>
    <xf numFmtId="0" fontId="3" fillId="0" borderId="35" xfId="0" applyFont="1" applyBorder="1" applyAlignment="1">
      <alignment horizontal="center" vertical="center" textRotation="90" shrinkToFit="1"/>
    </xf>
    <xf numFmtId="0" fontId="3" fillId="0" borderId="75" xfId="0" applyFont="1" applyBorder="1" applyAlignment="1">
      <alignment horizontal="center" vertical="center" textRotation="90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49" fontId="5" fillId="9" borderId="5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43" fontId="3" fillId="0" borderId="7" xfId="1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vertical="top" wrapText="1"/>
    </xf>
    <xf numFmtId="0" fontId="3" fillId="3" borderId="32" xfId="0" applyFont="1" applyFill="1" applyBorder="1" applyAlignment="1">
      <alignment vertical="top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0" borderId="75" xfId="0" applyFont="1" applyFill="1" applyBorder="1" applyAlignment="1">
      <alignment horizontal="center" vertical="center" textRotation="90" wrapText="1"/>
    </xf>
    <xf numFmtId="0" fontId="11" fillId="0" borderId="32" xfId="0" applyFont="1" applyBorder="1" applyAlignment="1"/>
    <xf numFmtId="49" fontId="5" fillId="2" borderId="26" xfId="0" applyNumberFormat="1" applyFont="1" applyFill="1" applyBorder="1" applyAlignment="1">
      <alignment horizontal="center" vertical="top"/>
    </xf>
    <xf numFmtId="49" fontId="5" fillId="2" borderId="31" xfId="0" applyNumberFormat="1" applyFont="1" applyFill="1" applyBorder="1" applyAlignment="1">
      <alignment horizontal="center" vertical="top"/>
    </xf>
    <xf numFmtId="49" fontId="5" fillId="7" borderId="26" xfId="0" applyNumberFormat="1" applyFont="1" applyFill="1" applyBorder="1" applyAlignment="1">
      <alignment horizontal="center" vertical="top"/>
    </xf>
    <xf numFmtId="49" fontId="5" fillId="7" borderId="31" xfId="0" applyNumberFormat="1" applyFont="1" applyFill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49" fontId="5" fillId="7" borderId="58" xfId="0" applyNumberFormat="1" applyFont="1" applyFill="1" applyBorder="1" applyAlignment="1">
      <alignment horizontal="center" vertical="top"/>
    </xf>
    <xf numFmtId="0" fontId="3" fillId="3" borderId="48" xfId="0" applyFont="1" applyFill="1" applyBorder="1" applyAlignment="1">
      <alignment horizontal="left" vertical="top" wrapText="1"/>
    </xf>
    <xf numFmtId="0" fontId="3" fillId="3" borderId="50" xfId="0" applyFont="1" applyFill="1" applyBorder="1" applyAlignment="1">
      <alignment horizontal="left" vertical="top" wrapText="1"/>
    </xf>
    <xf numFmtId="0" fontId="5" fillId="3" borderId="43" xfId="0" applyFont="1" applyFill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 wrapText="1"/>
    </xf>
    <xf numFmtId="0" fontId="3" fillId="3" borderId="27" xfId="0" applyFont="1" applyFill="1" applyBorder="1" applyAlignment="1">
      <alignment vertical="top" wrapText="1"/>
    </xf>
    <xf numFmtId="0" fontId="5" fillId="0" borderId="46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75" xfId="0" applyFont="1" applyFill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0" borderId="46" xfId="0" applyFont="1" applyFill="1" applyBorder="1" applyAlignment="1">
      <alignment horizontal="center" vertical="center" textRotation="90" wrapText="1"/>
    </xf>
    <xf numFmtId="49" fontId="5" fillId="0" borderId="26" xfId="0" applyNumberFormat="1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0" fontId="3" fillId="3" borderId="27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top" wrapText="1"/>
    </xf>
    <xf numFmtId="0" fontId="11" fillId="0" borderId="18" xfId="0" applyFont="1" applyBorder="1" applyAlignment="1">
      <alignment vertical="top" wrapText="1"/>
    </xf>
    <xf numFmtId="0" fontId="11" fillId="0" borderId="18" xfId="0" applyFont="1" applyBorder="1" applyAlignment="1">
      <alignment horizontal="center" vertical="top"/>
    </xf>
    <xf numFmtId="0" fontId="11" fillId="0" borderId="32" xfId="0" applyFont="1" applyBorder="1" applyAlignment="1">
      <alignment horizontal="left" vertical="top" wrapText="1"/>
    </xf>
    <xf numFmtId="49" fontId="5" fillId="2" borderId="73" xfId="0" applyNumberFormat="1" applyFont="1" applyFill="1" applyBorder="1" applyAlignment="1">
      <alignment horizontal="right" vertical="top"/>
    </xf>
    <xf numFmtId="49" fontId="5" fillId="2" borderId="77" xfId="0" applyNumberFormat="1" applyFont="1" applyFill="1" applyBorder="1" applyAlignment="1">
      <alignment horizontal="left" vertical="top"/>
    </xf>
    <xf numFmtId="49" fontId="5" fillId="2" borderId="73" xfId="0" applyNumberFormat="1" applyFont="1" applyFill="1" applyBorder="1" applyAlignment="1">
      <alignment horizontal="left" vertical="top"/>
    </xf>
    <xf numFmtId="49" fontId="5" fillId="2" borderId="74" xfId="0" applyNumberFormat="1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center" vertical="center" textRotation="90" wrapText="1"/>
    </xf>
    <xf numFmtId="0" fontId="15" fillId="0" borderId="7" xfId="0" applyFont="1" applyBorder="1" applyAlignment="1">
      <alignment horizontal="center" vertical="center" textRotation="90" wrapText="1"/>
    </xf>
    <xf numFmtId="0" fontId="11" fillId="7" borderId="32" xfId="0" applyFont="1" applyFill="1" applyBorder="1" applyAlignment="1">
      <alignment vertical="top" wrapText="1"/>
    </xf>
    <xf numFmtId="0" fontId="2" fillId="3" borderId="7" xfId="0" applyFont="1" applyFill="1" applyBorder="1" applyAlignment="1">
      <alignment horizontal="center" vertical="center" textRotation="90" wrapText="1"/>
    </xf>
    <xf numFmtId="0" fontId="11" fillId="0" borderId="9" xfId="0" applyFont="1" applyBorder="1" applyAlignment="1"/>
    <xf numFmtId="0" fontId="11" fillId="7" borderId="28" xfId="0" applyFont="1" applyFill="1" applyBorder="1" applyAlignment="1">
      <alignment vertical="top" wrapText="1"/>
    </xf>
    <xf numFmtId="0" fontId="5" fillId="4" borderId="75" xfId="0" applyFont="1" applyFill="1" applyBorder="1" applyAlignment="1">
      <alignment horizontal="right" vertical="top" wrapText="1"/>
    </xf>
    <xf numFmtId="0" fontId="5" fillId="4" borderId="33" xfId="0" applyFont="1" applyFill="1" applyBorder="1" applyAlignment="1">
      <alignment horizontal="right" vertical="top" wrapText="1"/>
    </xf>
    <xf numFmtId="0" fontId="5" fillId="4" borderId="34" xfId="0" applyFont="1" applyFill="1" applyBorder="1" applyAlignment="1">
      <alignment horizontal="right" vertical="top" wrapText="1"/>
    </xf>
    <xf numFmtId="0" fontId="3" fillId="3" borderId="38" xfId="0" applyFont="1" applyFill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3" fillId="0" borderId="70" xfId="0" applyFont="1" applyBorder="1" applyAlignment="1">
      <alignment horizontal="left" vertical="top" wrapText="1"/>
    </xf>
    <xf numFmtId="0" fontId="3" fillId="0" borderId="66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5" fillId="5" borderId="70" xfId="0" applyFont="1" applyFill="1" applyBorder="1" applyAlignment="1">
      <alignment horizontal="right" vertical="top" wrapText="1"/>
    </xf>
    <xf numFmtId="0" fontId="5" fillId="5" borderId="66" xfId="0" applyFont="1" applyFill="1" applyBorder="1" applyAlignment="1">
      <alignment horizontal="right" vertical="top" wrapText="1"/>
    </xf>
    <xf numFmtId="0" fontId="5" fillId="5" borderId="44" xfId="0" applyFont="1" applyFill="1" applyBorder="1" applyAlignment="1">
      <alignment horizontal="right" vertical="top" wrapText="1"/>
    </xf>
    <xf numFmtId="0" fontId="3" fillId="3" borderId="67" xfId="0" applyFont="1" applyFill="1" applyBorder="1" applyAlignment="1">
      <alignment horizontal="left" vertical="top" wrapText="1"/>
    </xf>
    <xf numFmtId="0" fontId="3" fillId="3" borderId="78" xfId="0" applyFont="1" applyFill="1" applyBorder="1" applyAlignment="1">
      <alignment horizontal="left" vertical="top" wrapText="1"/>
    </xf>
    <xf numFmtId="0" fontId="3" fillId="3" borderId="55" xfId="0" applyFont="1" applyFill="1" applyBorder="1" applyAlignment="1">
      <alignment horizontal="left" vertical="top" wrapText="1"/>
    </xf>
    <xf numFmtId="0" fontId="3" fillId="8" borderId="70" xfId="0" applyFont="1" applyFill="1" applyBorder="1" applyAlignment="1">
      <alignment horizontal="left" vertical="top" wrapText="1"/>
    </xf>
    <xf numFmtId="0" fontId="3" fillId="8" borderId="66" xfId="0" applyFont="1" applyFill="1" applyBorder="1" applyAlignment="1">
      <alignment horizontal="left" vertical="top" wrapText="1"/>
    </xf>
    <xf numFmtId="0" fontId="3" fillId="8" borderId="44" xfId="0" applyFont="1" applyFill="1" applyBorder="1" applyAlignment="1">
      <alignment horizontal="left" vertical="top" wrapText="1"/>
    </xf>
    <xf numFmtId="0" fontId="11" fillId="8" borderId="66" xfId="0" applyFont="1" applyFill="1" applyBorder="1" applyAlignment="1">
      <alignment horizontal="left" vertical="top" wrapText="1"/>
    </xf>
    <xf numFmtId="0" fontId="11" fillId="8" borderId="44" xfId="0" applyFont="1" applyFill="1" applyBorder="1" applyAlignment="1">
      <alignment horizontal="left" vertical="top" wrapText="1"/>
    </xf>
    <xf numFmtId="0" fontId="3" fillId="7" borderId="70" xfId="0" applyFont="1" applyFill="1" applyBorder="1" applyAlignment="1">
      <alignment horizontal="left" vertical="top" wrapText="1"/>
    </xf>
    <xf numFmtId="0" fontId="3" fillId="7" borderId="66" xfId="0" applyFont="1" applyFill="1" applyBorder="1" applyAlignment="1">
      <alignment horizontal="left" vertical="top" wrapText="1"/>
    </xf>
    <xf numFmtId="0" fontId="3" fillId="7" borderId="44" xfId="0" applyFont="1" applyFill="1" applyBorder="1" applyAlignment="1">
      <alignment horizontal="left" vertical="top" wrapText="1"/>
    </xf>
    <xf numFmtId="0" fontId="3" fillId="7" borderId="67" xfId="0" applyFont="1" applyFill="1" applyBorder="1" applyAlignment="1">
      <alignment horizontal="left" vertical="top" wrapText="1"/>
    </xf>
    <xf numFmtId="0" fontId="3" fillId="7" borderId="78" xfId="0" applyFont="1" applyFill="1" applyBorder="1" applyAlignment="1">
      <alignment horizontal="left" vertical="top" wrapText="1"/>
    </xf>
    <xf numFmtId="0" fontId="3" fillId="7" borderId="55" xfId="0" applyFont="1" applyFill="1" applyBorder="1" applyAlignment="1">
      <alignment horizontal="left" vertical="top" wrapText="1"/>
    </xf>
    <xf numFmtId="0" fontId="5" fillId="5" borderId="71" xfId="0" applyFont="1" applyFill="1" applyBorder="1" applyAlignment="1">
      <alignment horizontal="right" vertical="top" wrapText="1"/>
    </xf>
    <xf numFmtId="0" fontId="5" fillId="5" borderId="76" xfId="0" applyFont="1" applyFill="1" applyBorder="1" applyAlignment="1">
      <alignment horizontal="right" vertical="top" wrapText="1"/>
    </xf>
    <xf numFmtId="0" fontId="5" fillId="5" borderId="72" xfId="0" applyFont="1" applyFill="1" applyBorder="1" applyAlignment="1">
      <alignment horizontal="right" vertical="top" wrapText="1"/>
    </xf>
    <xf numFmtId="0" fontId="5" fillId="8" borderId="70" xfId="0" applyFont="1" applyFill="1" applyBorder="1" applyAlignment="1">
      <alignment horizontal="right" vertical="top" wrapText="1"/>
    </xf>
    <xf numFmtId="0" fontId="11" fillId="8" borderId="66" xfId="0" applyFont="1" applyFill="1" applyBorder="1" applyAlignment="1">
      <alignment horizontal="right" vertical="top" wrapText="1"/>
    </xf>
    <xf numFmtId="0" fontId="11" fillId="8" borderId="44" xfId="0" applyFont="1" applyFill="1" applyBorder="1" applyAlignment="1">
      <alignment horizontal="right" vertical="top" wrapText="1"/>
    </xf>
    <xf numFmtId="0" fontId="3" fillId="0" borderId="53" xfId="0" applyNumberFormat="1" applyFont="1" applyBorder="1" applyAlignment="1">
      <alignment vertical="top" wrapText="1"/>
    </xf>
    <xf numFmtId="0" fontId="5" fillId="0" borderId="57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49" fontId="5" fillId="9" borderId="77" xfId="0" applyNumberFormat="1" applyFont="1" applyFill="1" applyBorder="1" applyAlignment="1">
      <alignment horizontal="right" vertical="top"/>
    </xf>
    <xf numFmtId="49" fontId="5" fillId="9" borderId="73" xfId="0" applyNumberFormat="1" applyFont="1" applyFill="1" applyBorder="1" applyAlignment="1">
      <alignment horizontal="right" vertical="top"/>
    </xf>
    <xf numFmtId="49" fontId="5" fillId="9" borderId="74" xfId="0" applyNumberFormat="1" applyFont="1" applyFill="1" applyBorder="1" applyAlignment="1">
      <alignment horizontal="right" vertical="top"/>
    </xf>
    <xf numFmtId="0" fontId="3" fillId="9" borderId="57" xfId="0" applyFont="1" applyFill="1" applyBorder="1" applyAlignment="1">
      <alignment horizontal="center" vertical="top"/>
    </xf>
    <xf numFmtId="0" fontId="3" fillId="9" borderId="73" xfId="0" applyFont="1" applyFill="1" applyBorder="1" applyAlignment="1">
      <alignment horizontal="center" vertical="top"/>
    </xf>
    <xf numFmtId="0" fontId="3" fillId="9" borderId="74" xfId="0" applyFont="1" applyFill="1" applyBorder="1" applyAlignment="1">
      <alignment horizontal="center" vertical="top"/>
    </xf>
    <xf numFmtId="49" fontId="5" fillId="5" borderId="77" xfId="0" applyNumberFormat="1" applyFont="1" applyFill="1" applyBorder="1" applyAlignment="1">
      <alignment horizontal="right" vertical="top"/>
    </xf>
    <xf numFmtId="49" fontId="5" fillId="5" borderId="73" xfId="0" applyNumberFormat="1" applyFont="1" applyFill="1" applyBorder="1" applyAlignment="1">
      <alignment horizontal="right" vertical="top"/>
    </xf>
    <xf numFmtId="49" fontId="5" fillId="5" borderId="74" xfId="0" applyNumberFormat="1" applyFont="1" applyFill="1" applyBorder="1" applyAlignment="1">
      <alignment horizontal="right" vertical="top"/>
    </xf>
    <xf numFmtId="0" fontId="3" fillId="5" borderId="57" xfId="0" applyFont="1" applyFill="1" applyBorder="1" applyAlignment="1">
      <alignment horizontal="center" vertical="top"/>
    </xf>
    <xf numFmtId="0" fontId="3" fillId="5" borderId="73" xfId="0" applyFont="1" applyFill="1" applyBorder="1" applyAlignment="1">
      <alignment horizontal="center" vertical="top"/>
    </xf>
    <xf numFmtId="0" fontId="3" fillId="5" borderId="74" xfId="0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left" vertical="top"/>
    </xf>
    <xf numFmtId="49" fontId="5" fillId="2" borderId="26" xfId="0" applyNumberFormat="1" applyFont="1" applyFill="1" applyBorder="1" applyAlignment="1">
      <alignment horizontal="left" vertical="top"/>
    </xf>
    <xf numFmtId="49" fontId="5" fillId="2" borderId="79" xfId="0" applyNumberFormat="1" applyFont="1" applyFill="1" applyBorder="1" applyAlignment="1">
      <alignment horizontal="left" vertical="top"/>
    </xf>
    <xf numFmtId="49" fontId="3" fillId="0" borderId="20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11" fillId="0" borderId="29" xfId="0" applyFont="1" applyBorder="1" applyAlignment="1">
      <alignment horizontal="center" vertical="top" wrapText="1"/>
    </xf>
    <xf numFmtId="0" fontId="3" fillId="3" borderId="49" xfId="0" applyFont="1" applyFill="1" applyBorder="1" applyAlignment="1">
      <alignment horizontal="left" vertical="top" wrapText="1"/>
    </xf>
    <xf numFmtId="0" fontId="11" fillId="3" borderId="19" xfId="0" applyFont="1" applyFill="1" applyBorder="1" applyAlignment="1">
      <alignment horizontal="left" vertical="top" wrapText="1"/>
    </xf>
    <xf numFmtId="164" fontId="3" fillId="0" borderId="7" xfId="0" applyNumberFormat="1" applyFont="1" applyFill="1" applyBorder="1" applyAlignment="1">
      <alignment horizontal="center" vertical="center" textRotation="90" wrapText="1"/>
    </xf>
    <xf numFmtId="0" fontId="11" fillId="0" borderId="30" xfId="0" applyFont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3" borderId="35" xfId="0" applyFont="1" applyFill="1" applyBorder="1" applyAlignment="1">
      <alignment horizontal="left" vertical="top" wrapText="1"/>
    </xf>
    <xf numFmtId="0" fontId="11" fillId="0" borderId="67" xfId="0" applyFont="1" applyBorder="1" applyAlignment="1">
      <alignment vertical="top"/>
    </xf>
    <xf numFmtId="0" fontId="2" fillId="0" borderId="7" xfId="0" applyFont="1" applyFill="1" applyBorder="1" applyAlignment="1">
      <alignment horizontal="center" vertical="top" textRotation="90" wrapText="1"/>
    </xf>
    <xf numFmtId="0" fontId="2" fillId="0" borderId="9" xfId="0" applyFont="1" applyFill="1" applyBorder="1" applyAlignment="1">
      <alignment horizontal="center" vertical="top" textRotation="90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10" fillId="3" borderId="27" xfId="0" applyFont="1" applyFill="1" applyBorder="1" applyAlignment="1">
      <alignment vertical="top" wrapText="1"/>
    </xf>
    <xf numFmtId="0" fontId="3" fillId="7" borderId="38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3" fillId="7" borderId="50" xfId="0" applyFont="1" applyFill="1" applyBorder="1" applyAlignment="1">
      <alignment horizontal="left" vertical="top" wrapText="1"/>
    </xf>
    <xf numFmtId="0" fontId="3" fillId="7" borderId="36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center" vertical="top" wrapText="1"/>
    </xf>
    <xf numFmtId="0" fontId="5" fillId="3" borderId="67" xfId="0" applyFont="1" applyFill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36" xfId="0" applyNumberFormat="1" applyFont="1" applyFill="1" applyBorder="1" applyAlignment="1">
      <alignment horizontal="center" vertical="top"/>
    </xf>
    <xf numFmtId="0" fontId="3" fillId="7" borderId="7" xfId="0" applyFont="1" applyFill="1" applyBorder="1" applyAlignment="1">
      <alignment vertical="top" wrapText="1"/>
    </xf>
    <xf numFmtId="0" fontId="11" fillId="0" borderId="30" xfId="0" applyFont="1" applyBorder="1" applyAlignment="1">
      <alignment vertical="top" wrapText="1"/>
    </xf>
    <xf numFmtId="0" fontId="11" fillId="0" borderId="32" xfId="0" applyFont="1" applyBorder="1" applyAlignment="1">
      <alignment vertical="top"/>
    </xf>
    <xf numFmtId="0" fontId="3" fillId="2" borderId="73" xfId="0" applyFont="1" applyFill="1" applyBorder="1" applyAlignment="1">
      <alignment horizontal="center" vertical="top" wrapText="1"/>
    </xf>
    <xf numFmtId="0" fontId="3" fillId="2" borderId="74" xfId="0" applyFont="1" applyFill="1" applyBorder="1" applyAlignment="1">
      <alignment horizontal="center" vertical="top" wrapText="1"/>
    </xf>
    <xf numFmtId="49" fontId="5" fillId="2" borderId="74" xfId="0" applyNumberFormat="1" applyFont="1" applyFill="1" applyBorder="1" applyAlignment="1">
      <alignment horizontal="right" vertical="top"/>
    </xf>
    <xf numFmtId="0" fontId="3" fillId="7" borderId="43" xfId="0" applyFont="1" applyFill="1" applyBorder="1" applyAlignment="1">
      <alignment horizontal="left" vertical="top" wrapText="1"/>
    </xf>
    <xf numFmtId="0" fontId="3" fillId="7" borderId="58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5" fillId="3" borderId="27" xfId="0" applyFont="1" applyFill="1" applyBorder="1" applyAlignment="1">
      <alignment vertical="top" wrapText="1"/>
    </xf>
    <xf numFmtId="0" fontId="5" fillId="3" borderId="18" xfId="0" applyFont="1" applyFill="1" applyBorder="1" applyAlignment="1">
      <alignment vertical="top" wrapText="1"/>
    </xf>
    <xf numFmtId="0" fontId="11" fillId="3" borderId="32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textRotation="90" wrapText="1"/>
    </xf>
    <xf numFmtId="0" fontId="1" fillId="0" borderId="7" xfId="0" applyFont="1" applyBorder="1" applyAlignment="1">
      <alignment horizontal="center" textRotation="90" wrapText="1"/>
    </xf>
    <xf numFmtId="0" fontId="16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3" fillId="2" borderId="57" xfId="0" applyFont="1" applyFill="1" applyBorder="1" applyAlignment="1">
      <alignment horizontal="center" vertical="top" wrapText="1"/>
    </xf>
    <xf numFmtId="49" fontId="5" fillId="0" borderId="33" xfId="0" applyNumberFormat="1" applyFont="1" applyFill="1" applyBorder="1" applyAlignment="1">
      <alignment horizontal="center" vertical="top" wrapText="1"/>
    </xf>
    <xf numFmtId="0" fontId="5" fillId="3" borderId="38" xfId="0" applyFont="1" applyFill="1" applyBorder="1" applyAlignment="1">
      <alignment horizontal="center" vertical="top" wrapText="1"/>
    </xf>
    <xf numFmtId="0" fontId="5" fillId="3" borderId="30" xfId="0" applyFont="1" applyFill="1" applyBorder="1" applyAlignment="1">
      <alignment horizontal="center" vertical="top" wrapText="1"/>
    </xf>
    <xf numFmtId="49" fontId="5" fillId="3" borderId="18" xfId="0" applyNumberFormat="1" applyFont="1" applyFill="1" applyBorder="1" applyAlignment="1">
      <alignment horizontal="center" vertical="top" wrapText="1"/>
    </xf>
    <xf numFmtId="0" fontId="3" fillId="0" borderId="49" xfId="0" applyFont="1" applyFill="1" applyBorder="1" applyAlignment="1">
      <alignment horizontal="left" vertical="top" wrapText="1"/>
    </xf>
    <xf numFmtId="0" fontId="11" fillId="0" borderId="49" xfId="0" applyFont="1" applyBorder="1" applyAlignment="1">
      <alignment horizontal="left" vertical="top" wrapText="1"/>
    </xf>
    <xf numFmtId="164" fontId="3" fillId="0" borderId="7" xfId="0" applyNumberFormat="1" applyFont="1" applyFill="1" applyBorder="1" applyAlignment="1">
      <alignment horizontal="left" vertical="center" textRotation="90" wrapText="1"/>
    </xf>
    <xf numFmtId="0" fontId="3" fillId="0" borderId="126" xfId="0" applyFont="1" applyBorder="1" applyAlignment="1">
      <alignment vertical="top" wrapText="1"/>
    </xf>
    <xf numFmtId="0" fontId="11" fillId="0" borderId="88" xfId="0" applyFont="1" applyBorder="1" applyAlignment="1">
      <alignment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center" vertical="center" textRotation="90" wrapText="1" shrinkToFit="1" readingOrder="1"/>
    </xf>
    <xf numFmtId="0" fontId="0" fillId="0" borderId="6" xfId="0" applyBorder="1" applyAlignment="1">
      <alignment horizontal="center" vertical="center" textRotation="90" wrapText="1" shrinkToFit="1" readingOrder="1"/>
    </xf>
    <xf numFmtId="0" fontId="0" fillId="0" borderId="69" xfId="0" applyBorder="1" applyAlignment="1">
      <alignment horizontal="center" vertical="center" textRotation="90" wrapText="1" shrinkToFit="1" readingOrder="1"/>
    </xf>
    <xf numFmtId="0" fontId="3" fillId="7" borderId="41" xfId="0" applyFont="1" applyFill="1" applyBorder="1" applyAlignment="1">
      <alignment horizontal="center" vertical="center" textRotation="90" wrapText="1" shrinkToFit="1"/>
    </xf>
    <xf numFmtId="0" fontId="3" fillId="7" borderId="6" xfId="0" applyFont="1" applyFill="1" applyBorder="1" applyAlignment="1">
      <alignment horizontal="center" vertical="center" textRotation="90" wrapText="1" shrinkToFit="1"/>
    </xf>
    <xf numFmtId="0" fontId="3" fillId="7" borderId="69" xfId="0" applyFont="1" applyFill="1" applyBorder="1" applyAlignment="1">
      <alignment horizontal="center" vertical="center" textRotation="90" wrapText="1" shrinkToFit="1"/>
    </xf>
    <xf numFmtId="0" fontId="3" fillId="7" borderId="41" xfId="0" applyFont="1" applyFill="1" applyBorder="1" applyAlignment="1">
      <alignment horizontal="center" vertical="center" textRotation="90" shrinkToFit="1"/>
    </xf>
    <xf numFmtId="0" fontId="3" fillId="7" borderId="6" xfId="0" applyFont="1" applyFill="1" applyBorder="1" applyAlignment="1">
      <alignment horizontal="center" vertical="center" textRotation="90" shrinkToFit="1"/>
    </xf>
    <xf numFmtId="0" fontId="3" fillId="7" borderId="69" xfId="0" applyFont="1" applyFill="1" applyBorder="1" applyAlignment="1">
      <alignment horizontal="center" vertical="center" textRotation="90" shrinkToFit="1"/>
    </xf>
    <xf numFmtId="0" fontId="0" fillId="0" borderId="28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17" fillId="3" borderId="7" xfId="0" applyFont="1" applyFill="1" applyBorder="1" applyAlignment="1">
      <alignment horizontal="left" vertical="top" wrapText="1"/>
    </xf>
    <xf numFmtId="0" fontId="17" fillId="3" borderId="30" xfId="0" applyFont="1" applyFill="1" applyBorder="1" applyAlignment="1">
      <alignment horizontal="left" vertical="top" wrapText="1"/>
    </xf>
    <xf numFmtId="0" fontId="17" fillId="3" borderId="38" xfId="0" applyFont="1" applyFill="1" applyBorder="1" applyAlignment="1">
      <alignment horizontal="left" vertical="top" wrapText="1"/>
    </xf>
    <xf numFmtId="0" fontId="27" fillId="3" borderId="30" xfId="0" applyFont="1" applyFill="1" applyBorder="1" applyAlignment="1">
      <alignment horizontal="left" vertical="top" wrapText="1"/>
    </xf>
    <xf numFmtId="0" fontId="0" fillId="0" borderId="67" xfId="0" applyBorder="1" applyAlignment="1">
      <alignment vertical="top"/>
    </xf>
    <xf numFmtId="0" fontId="0" fillId="0" borderId="18" xfId="0" applyBorder="1" applyAlignment="1">
      <alignment vertical="top" wrapText="1"/>
    </xf>
    <xf numFmtId="0" fontId="0" fillId="0" borderId="18" xfId="0" applyBorder="1" applyAlignment="1">
      <alignment horizontal="center" vertical="top"/>
    </xf>
    <xf numFmtId="0" fontId="0" fillId="0" borderId="9" xfId="0" applyBorder="1" applyAlignment="1">
      <alignment horizontal="left" vertical="top" wrapText="1"/>
    </xf>
    <xf numFmtId="0" fontId="0" fillId="0" borderId="9" xfId="0" applyBorder="1" applyAlignment="1"/>
    <xf numFmtId="0" fontId="0" fillId="7" borderId="28" xfId="0" applyFill="1" applyBorder="1" applyAlignment="1">
      <alignment vertical="top" wrapText="1"/>
    </xf>
    <xf numFmtId="0" fontId="17" fillId="7" borderId="120" xfId="0" applyFont="1" applyFill="1" applyBorder="1" applyAlignment="1">
      <alignment vertical="top" wrapText="1"/>
    </xf>
    <xf numFmtId="0" fontId="27" fillId="0" borderId="9" xfId="0" applyFont="1" applyBorder="1" applyAlignment="1">
      <alignment vertical="top" wrapText="1"/>
    </xf>
    <xf numFmtId="0" fontId="0" fillId="7" borderId="32" xfId="0" applyFill="1" applyBorder="1" applyAlignment="1">
      <alignment vertical="top" wrapText="1"/>
    </xf>
    <xf numFmtId="164" fontId="17" fillId="7" borderId="38" xfId="0" applyNumberFormat="1" applyFont="1" applyFill="1" applyBorder="1" applyAlignment="1">
      <alignment horizontal="left" vertical="top" wrapText="1"/>
    </xf>
    <xf numFmtId="0" fontId="25" fillId="0" borderId="0" xfId="0" applyFont="1" applyAlignment="1">
      <alignment horizontal="right" vertical="top" wrapText="1" shrinkToFit="1"/>
    </xf>
    <xf numFmtId="0" fontId="0" fillId="0" borderId="0" xfId="0" applyAlignment="1">
      <alignment horizontal="right" vertical="top" wrapText="1" shrinkToFit="1"/>
    </xf>
    <xf numFmtId="0" fontId="3" fillId="12" borderId="57" xfId="0" applyFont="1" applyFill="1" applyBorder="1" applyAlignment="1">
      <alignment horizontal="center" vertical="top"/>
    </xf>
    <xf numFmtId="0" fontId="3" fillId="12" borderId="73" xfId="0" applyFont="1" applyFill="1" applyBorder="1" applyAlignment="1">
      <alignment horizontal="center" vertical="top"/>
    </xf>
    <xf numFmtId="0" fontId="3" fillId="12" borderId="74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colors>
    <mruColors>
      <color rgb="FFCCFFCC"/>
      <color rgb="FFFFFF99"/>
      <color rgb="FF99FF99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03"/>
  <sheetViews>
    <sheetView tabSelected="1" zoomScaleNormal="100" zoomScaleSheetLayoutView="100" workbookViewId="0">
      <selection activeCell="S153" sqref="S153"/>
    </sheetView>
  </sheetViews>
  <sheetFormatPr defaultRowHeight="12.75" x14ac:dyDescent="0.2"/>
  <cols>
    <col min="1" max="3" width="2.7109375" style="7" customWidth="1"/>
    <col min="4" max="4" width="35.42578125" style="7" customWidth="1"/>
    <col min="5" max="5" width="3.42578125" style="36" customWidth="1"/>
    <col min="6" max="6" width="3.42578125" style="56" customWidth="1"/>
    <col min="7" max="7" width="7.7109375" style="8" customWidth="1"/>
    <col min="8" max="8" width="10.140625" style="7" customWidth="1"/>
    <col min="9" max="9" width="10.5703125" style="7" customWidth="1"/>
    <col min="10" max="10" width="10.28515625" style="7" customWidth="1"/>
    <col min="11" max="11" width="34.140625" style="7" customWidth="1"/>
    <col min="12" max="14" width="3.7109375" style="7" customWidth="1"/>
    <col min="15" max="16384" width="9.140625" style="6"/>
  </cols>
  <sheetData>
    <row r="1" spans="1:15" ht="15.75" x14ac:dyDescent="0.2">
      <c r="A1" s="1185" t="s">
        <v>173</v>
      </c>
      <c r="B1" s="1185"/>
      <c r="C1" s="1185"/>
      <c r="D1" s="1185"/>
      <c r="E1" s="1185"/>
      <c r="F1" s="1185"/>
      <c r="G1" s="1185"/>
      <c r="H1" s="1185"/>
      <c r="I1" s="1185"/>
      <c r="J1" s="1185"/>
      <c r="K1" s="1185"/>
      <c r="L1" s="1185"/>
      <c r="M1" s="1185"/>
      <c r="N1" s="1185"/>
    </row>
    <row r="2" spans="1:15" ht="15.75" x14ac:dyDescent="0.2">
      <c r="A2" s="1186" t="s">
        <v>38</v>
      </c>
      <c r="B2" s="1186"/>
      <c r="C2" s="1186"/>
      <c r="D2" s="1186"/>
      <c r="E2" s="1186"/>
      <c r="F2" s="1186"/>
      <c r="G2" s="1186"/>
      <c r="H2" s="1186"/>
      <c r="I2" s="1186"/>
      <c r="J2" s="1186"/>
      <c r="K2" s="1186"/>
      <c r="L2" s="1186"/>
      <c r="M2" s="1186"/>
      <c r="N2" s="1186"/>
    </row>
    <row r="3" spans="1:15" ht="15.75" x14ac:dyDescent="0.2">
      <c r="A3" s="1187" t="s">
        <v>25</v>
      </c>
      <c r="B3" s="1187"/>
      <c r="C3" s="1187"/>
      <c r="D3" s="1187"/>
      <c r="E3" s="1187"/>
      <c r="F3" s="1187"/>
      <c r="G3" s="1187"/>
      <c r="H3" s="1187"/>
      <c r="I3" s="1187"/>
      <c r="J3" s="1187"/>
      <c r="K3" s="1187"/>
      <c r="L3" s="1187"/>
      <c r="M3" s="1187"/>
      <c r="N3" s="1187"/>
      <c r="O3" s="4"/>
    </row>
    <row r="4" spans="1:15" ht="13.5" thickBot="1" x14ac:dyDescent="0.25">
      <c r="A4" s="104"/>
      <c r="B4" s="104"/>
      <c r="C4" s="104"/>
      <c r="D4" s="104"/>
      <c r="E4" s="105"/>
      <c r="F4" s="106"/>
      <c r="G4" s="813"/>
      <c r="H4" s="104"/>
      <c r="I4" s="104"/>
      <c r="J4" s="104"/>
      <c r="K4" s="104"/>
      <c r="L4" s="1188" t="s">
        <v>201</v>
      </c>
      <c r="M4" s="1188"/>
      <c r="N4" s="1188"/>
    </row>
    <row r="5" spans="1:15" ht="42" customHeight="1" x14ac:dyDescent="0.2">
      <c r="A5" s="1189" t="s">
        <v>26</v>
      </c>
      <c r="B5" s="1192" t="s">
        <v>0</v>
      </c>
      <c r="C5" s="1192" t="s">
        <v>1</v>
      </c>
      <c r="D5" s="1195" t="s">
        <v>12</v>
      </c>
      <c r="E5" s="1198" t="s">
        <v>2</v>
      </c>
      <c r="F5" s="1159" t="s">
        <v>3</v>
      </c>
      <c r="G5" s="1162" t="s">
        <v>4</v>
      </c>
      <c r="H5" s="1171" t="s">
        <v>124</v>
      </c>
      <c r="I5" s="1153" t="s">
        <v>95</v>
      </c>
      <c r="J5" s="1153" t="s">
        <v>125</v>
      </c>
      <c r="K5" s="1156" t="s">
        <v>11</v>
      </c>
      <c r="L5" s="1157"/>
      <c r="M5" s="1157"/>
      <c r="N5" s="1158"/>
    </row>
    <row r="6" spans="1:15" ht="21" customHeight="1" x14ac:dyDescent="0.2">
      <c r="A6" s="1190"/>
      <c r="B6" s="1193"/>
      <c r="C6" s="1193"/>
      <c r="D6" s="1196"/>
      <c r="E6" s="1199"/>
      <c r="F6" s="1160"/>
      <c r="G6" s="1163"/>
      <c r="H6" s="1172"/>
      <c r="I6" s="1154"/>
      <c r="J6" s="1154"/>
      <c r="K6" s="1201" t="s">
        <v>12</v>
      </c>
      <c r="L6" s="1203" t="s">
        <v>200</v>
      </c>
      <c r="M6" s="1204"/>
      <c r="N6" s="1205"/>
    </row>
    <row r="7" spans="1:15" ht="69.75" customHeight="1" thickBot="1" x14ac:dyDescent="0.25">
      <c r="A7" s="1191"/>
      <c r="B7" s="1194"/>
      <c r="C7" s="1194"/>
      <c r="D7" s="1197"/>
      <c r="E7" s="1200"/>
      <c r="F7" s="1161"/>
      <c r="G7" s="1164"/>
      <c r="H7" s="1173"/>
      <c r="I7" s="1155"/>
      <c r="J7" s="1155"/>
      <c r="K7" s="1202"/>
      <c r="L7" s="159" t="s">
        <v>34</v>
      </c>
      <c r="M7" s="159" t="s">
        <v>97</v>
      </c>
      <c r="N7" s="160" t="s">
        <v>126</v>
      </c>
    </row>
    <row r="8" spans="1:15" s="51" customFormat="1" x14ac:dyDescent="0.2">
      <c r="A8" s="1150" t="s">
        <v>94</v>
      </c>
      <c r="B8" s="1151"/>
      <c r="C8" s="1151"/>
      <c r="D8" s="1151"/>
      <c r="E8" s="1151"/>
      <c r="F8" s="1151"/>
      <c r="G8" s="1151"/>
      <c r="H8" s="1151"/>
      <c r="I8" s="1151"/>
      <c r="J8" s="1151"/>
      <c r="K8" s="1151"/>
      <c r="L8" s="1151"/>
      <c r="M8" s="1151"/>
      <c r="N8" s="1152"/>
    </row>
    <row r="9" spans="1:15" s="51" customFormat="1" x14ac:dyDescent="0.2">
      <c r="A9" s="1165" t="s">
        <v>36</v>
      </c>
      <c r="B9" s="1166"/>
      <c r="C9" s="1166"/>
      <c r="D9" s="1166"/>
      <c r="E9" s="1166"/>
      <c r="F9" s="1166"/>
      <c r="G9" s="1166"/>
      <c r="H9" s="1166"/>
      <c r="I9" s="1166"/>
      <c r="J9" s="1166"/>
      <c r="K9" s="1166"/>
      <c r="L9" s="1166"/>
      <c r="M9" s="1166"/>
      <c r="N9" s="1167"/>
    </row>
    <row r="10" spans="1:15" ht="15" customHeight="1" x14ac:dyDescent="0.2">
      <c r="A10" s="112" t="s">
        <v>5</v>
      </c>
      <c r="B10" s="1168" t="s">
        <v>39</v>
      </c>
      <c r="C10" s="1169"/>
      <c r="D10" s="1169"/>
      <c r="E10" s="1169"/>
      <c r="F10" s="1169"/>
      <c r="G10" s="1169"/>
      <c r="H10" s="1169"/>
      <c r="I10" s="1169"/>
      <c r="J10" s="1169"/>
      <c r="K10" s="1169"/>
      <c r="L10" s="1169"/>
      <c r="M10" s="1169"/>
      <c r="N10" s="1170"/>
    </row>
    <row r="11" spans="1:15" ht="14.25" customHeight="1" x14ac:dyDescent="0.2">
      <c r="A11" s="113" t="s">
        <v>5</v>
      </c>
      <c r="B11" s="76" t="s">
        <v>5</v>
      </c>
      <c r="C11" s="1179" t="s">
        <v>40</v>
      </c>
      <c r="D11" s="1180"/>
      <c r="E11" s="1180"/>
      <c r="F11" s="1180"/>
      <c r="G11" s="1180"/>
      <c r="H11" s="1180"/>
      <c r="I11" s="1180"/>
      <c r="J11" s="1180"/>
      <c r="K11" s="1180"/>
      <c r="L11" s="1180"/>
      <c r="M11" s="1180"/>
      <c r="N11" s="1181"/>
    </row>
    <row r="12" spans="1:15" ht="27" customHeight="1" x14ac:dyDescent="0.2">
      <c r="A12" s="753" t="s">
        <v>5</v>
      </c>
      <c r="B12" s="755" t="s">
        <v>5</v>
      </c>
      <c r="C12" s="756" t="s">
        <v>5</v>
      </c>
      <c r="D12" s="352" t="s">
        <v>69</v>
      </c>
      <c r="E12" s="595" t="s">
        <v>159</v>
      </c>
      <c r="F12" s="807" t="s">
        <v>61</v>
      </c>
      <c r="G12" s="353"/>
      <c r="H12" s="99"/>
      <c r="I12" s="75"/>
      <c r="J12" s="44"/>
      <c r="K12" s="33"/>
      <c r="L12" s="49"/>
      <c r="M12" s="68"/>
      <c r="N12" s="69"/>
    </row>
    <row r="13" spans="1:15" ht="39.75" customHeight="1" x14ac:dyDescent="0.2">
      <c r="A13" s="1136"/>
      <c r="B13" s="1128"/>
      <c r="C13" s="1129"/>
      <c r="D13" s="746" t="s">
        <v>180</v>
      </c>
      <c r="E13" s="1148" t="s">
        <v>66</v>
      </c>
      <c r="F13" s="1134" t="s">
        <v>61</v>
      </c>
      <c r="G13" s="308"/>
      <c r="H13" s="392"/>
      <c r="I13" s="393"/>
      <c r="J13" s="394"/>
      <c r="K13" s="786"/>
      <c r="L13" s="52"/>
      <c r="M13" s="175"/>
      <c r="N13" s="72"/>
    </row>
    <row r="14" spans="1:15" ht="17.25" customHeight="1" x14ac:dyDescent="0.2">
      <c r="A14" s="1136"/>
      <c r="B14" s="1128"/>
      <c r="C14" s="1129"/>
      <c r="D14" s="1177" t="s">
        <v>197</v>
      </c>
      <c r="E14" s="1148"/>
      <c r="F14" s="1134"/>
      <c r="G14" s="308" t="s">
        <v>228</v>
      </c>
      <c r="H14" s="392">
        <f>457.2/3.4528*1000</f>
        <v>132414</v>
      </c>
      <c r="I14" s="363"/>
      <c r="J14" s="367"/>
      <c r="K14" s="806" t="s">
        <v>256</v>
      </c>
      <c r="L14" s="748"/>
      <c r="M14" s="749"/>
      <c r="N14" s="750">
        <v>1</v>
      </c>
      <c r="O14" s="562"/>
    </row>
    <row r="15" spans="1:15" ht="14.25" customHeight="1" x14ac:dyDescent="0.2">
      <c r="A15" s="1136"/>
      <c r="B15" s="1128"/>
      <c r="C15" s="1129"/>
      <c r="D15" s="1178"/>
      <c r="E15" s="1148"/>
      <c r="F15" s="1134"/>
      <c r="G15" s="173" t="s">
        <v>35</v>
      </c>
      <c r="H15" s="395"/>
      <c r="I15" s="396">
        <f>500/3.4528*1000</f>
        <v>144810</v>
      </c>
      <c r="J15" s="397">
        <f>566.7/3.4528*1000</f>
        <v>164128</v>
      </c>
      <c r="K15" s="386" t="s">
        <v>168</v>
      </c>
      <c r="L15" s="387"/>
      <c r="M15" s="747"/>
      <c r="N15" s="388">
        <v>1</v>
      </c>
    </row>
    <row r="16" spans="1:15" ht="28.5" customHeight="1" x14ac:dyDescent="0.2">
      <c r="A16" s="1136"/>
      <c r="B16" s="1128"/>
      <c r="C16" s="1129"/>
      <c r="D16" s="765" t="s">
        <v>205</v>
      </c>
      <c r="E16" s="1149"/>
      <c r="F16" s="1140"/>
      <c r="G16" s="310"/>
      <c r="H16" s="398"/>
      <c r="I16" s="357"/>
      <c r="J16" s="399"/>
      <c r="K16" s="804"/>
      <c r="L16" s="70"/>
      <c r="M16" s="311"/>
      <c r="N16" s="71"/>
      <c r="O16" s="562"/>
    </row>
    <row r="17" spans="1:15" ht="24" customHeight="1" x14ac:dyDescent="0.2">
      <c r="A17" s="753"/>
      <c r="B17" s="755"/>
      <c r="C17" s="756"/>
      <c r="D17" s="1360" t="s">
        <v>181</v>
      </c>
      <c r="E17" s="760"/>
      <c r="F17" s="751"/>
      <c r="G17" s="180" t="s">
        <v>228</v>
      </c>
      <c r="H17" s="568">
        <f>20/3.4528*1000</f>
        <v>5792</v>
      </c>
      <c r="I17" s="554"/>
      <c r="J17" s="437"/>
      <c r="K17" s="789" t="s">
        <v>187</v>
      </c>
      <c r="L17" s="85"/>
      <c r="M17" s="68">
        <v>1</v>
      </c>
      <c r="N17" s="69"/>
    </row>
    <row r="18" spans="1:15" ht="28.5" customHeight="1" x14ac:dyDescent="0.2">
      <c r="A18" s="753"/>
      <c r="B18" s="755"/>
      <c r="C18" s="756"/>
      <c r="D18" s="1207"/>
      <c r="E18" s="760"/>
      <c r="F18" s="751"/>
      <c r="G18" s="15" t="s">
        <v>35</v>
      </c>
      <c r="H18" s="400"/>
      <c r="I18" s="553">
        <f>50/3.4528*1000</f>
        <v>14481</v>
      </c>
      <c r="J18" s="401"/>
      <c r="K18" s="789"/>
      <c r="L18" s="85"/>
      <c r="M18" s="68"/>
      <c r="N18" s="69"/>
    </row>
    <row r="19" spans="1:15" ht="15.75" customHeight="1" x14ac:dyDescent="0.2">
      <c r="A19" s="1136"/>
      <c r="B19" s="1128"/>
      <c r="C19" s="1129"/>
      <c r="D19" s="1130" t="s">
        <v>150</v>
      </c>
      <c r="E19" s="1182"/>
      <c r="F19" s="1132" t="s">
        <v>61</v>
      </c>
      <c r="G19" s="180" t="s">
        <v>228</v>
      </c>
      <c r="H19" s="568">
        <f>50/3.4528*1000</f>
        <v>14481</v>
      </c>
      <c r="I19" s="403"/>
      <c r="J19" s="404"/>
      <c r="K19" s="156" t="s">
        <v>179</v>
      </c>
      <c r="L19" s="345">
        <v>1</v>
      </c>
      <c r="M19" s="306"/>
      <c r="N19" s="307"/>
    </row>
    <row r="20" spans="1:15" ht="15" customHeight="1" x14ac:dyDescent="0.2">
      <c r="A20" s="1136"/>
      <c r="B20" s="1128"/>
      <c r="C20" s="1129"/>
      <c r="D20" s="1135"/>
      <c r="E20" s="1183"/>
      <c r="F20" s="1134"/>
      <c r="G20" s="23" t="s">
        <v>35</v>
      </c>
      <c r="H20" s="398"/>
      <c r="I20" s="393">
        <f>300/3.4528*1000</f>
        <v>86886</v>
      </c>
      <c r="J20" s="399"/>
      <c r="K20" s="789" t="s">
        <v>151</v>
      </c>
      <c r="L20" s="346"/>
      <c r="M20" s="25">
        <v>1</v>
      </c>
      <c r="N20" s="26"/>
    </row>
    <row r="21" spans="1:15" ht="26.25" customHeight="1" x14ac:dyDescent="0.2">
      <c r="A21" s="1136"/>
      <c r="B21" s="1128"/>
      <c r="C21" s="1129"/>
      <c r="D21" s="1130" t="s">
        <v>182</v>
      </c>
      <c r="E21" s="1137" t="s">
        <v>66</v>
      </c>
      <c r="F21" s="757" t="s">
        <v>61</v>
      </c>
      <c r="G21" s="323" t="s">
        <v>228</v>
      </c>
      <c r="H21" s="430">
        <f>50/3.4528*1000</f>
        <v>14481</v>
      </c>
      <c r="I21" s="984"/>
      <c r="J21" s="406"/>
      <c r="K21" s="156" t="s">
        <v>178</v>
      </c>
      <c r="L21" s="347">
        <v>100</v>
      </c>
      <c r="M21" s="306"/>
      <c r="N21" s="307"/>
    </row>
    <row r="22" spans="1:15" ht="15.75" customHeight="1" x14ac:dyDescent="0.2">
      <c r="A22" s="1136"/>
      <c r="B22" s="1128"/>
      <c r="C22" s="1129"/>
      <c r="D22" s="1135"/>
      <c r="E22" s="1138"/>
      <c r="F22" s="751"/>
      <c r="G22" s="173" t="s">
        <v>243</v>
      </c>
      <c r="H22" s="411"/>
      <c r="I22" s="397">
        <f>50/3.4528*1000</f>
        <v>14481</v>
      </c>
      <c r="J22" s="397">
        <f>527/3.4528*1000</f>
        <v>152630</v>
      </c>
      <c r="K22" s="563" t="s">
        <v>179</v>
      </c>
      <c r="L22" s="564"/>
      <c r="M22" s="565">
        <v>1</v>
      </c>
      <c r="N22" s="566"/>
    </row>
    <row r="23" spans="1:15" ht="28.5" customHeight="1" x14ac:dyDescent="0.2">
      <c r="A23" s="1136"/>
      <c r="B23" s="1128"/>
      <c r="C23" s="1129"/>
      <c r="D23" s="787"/>
      <c r="E23" s="1139"/>
      <c r="F23" s="752"/>
      <c r="G23" s="23" t="s">
        <v>35</v>
      </c>
      <c r="H23" s="359"/>
      <c r="I23" s="358"/>
      <c r="J23" s="399">
        <f>30/3.4528*1000</f>
        <v>8689</v>
      </c>
      <c r="K23" s="188" t="s">
        <v>198</v>
      </c>
      <c r="L23" s="34"/>
      <c r="M23" s="186"/>
      <c r="N23" s="187">
        <v>100</v>
      </c>
    </row>
    <row r="24" spans="1:15" ht="39.75" customHeight="1" x14ac:dyDescent="0.2">
      <c r="A24" s="753"/>
      <c r="B24" s="755"/>
      <c r="C24" s="756"/>
      <c r="D24" s="349" t="s">
        <v>183</v>
      </c>
      <c r="E24" s="350"/>
      <c r="F24" s="807" t="s">
        <v>61</v>
      </c>
      <c r="G24" s="21" t="s">
        <v>243</v>
      </c>
      <c r="H24" s="407">
        <f>61081-61081</f>
        <v>0</v>
      </c>
      <c r="I24" s="408">
        <v>30000</v>
      </c>
      <c r="J24" s="409"/>
      <c r="K24" s="318" t="s">
        <v>188</v>
      </c>
      <c r="L24" s="319"/>
      <c r="M24" s="319" t="s">
        <v>174</v>
      </c>
      <c r="N24" s="351"/>
    </row>
    <row r="25" spans="1:15" ht="11.25" customHeight="1" x14ac:dyDescent="0.2">
      <c r="A25" s="753"/>
      <c r="B25" s="755"/>
      <c r="C25" s="756"/>
      <c r="D25" s="1130" t="s">
        <v>114</v>
      </c>
      <c r="E25" s="1137" t="s">
        <v>66</v>
      </c>
      <c r="F25" s="1024" t="s">
        <v>61</v>
      </c>
      <c r="G25" s="1032"/>
      <c r="H25" s="430"/>
      <c r="I25" s="406"/>
      <c r="J25" s="356"/>
      <c r="K25" s="1174" t="s">
        <v>196</v>
      </c>
      <c r="L25" s="204"/>
      <c r="M25" s="1033"/>
      <c r="N25" s="1034"/>
    </row>
    <row r="26" spans="1:15" ht="12" customHeight="1" x14ac:dyDescent="0.2">
      <c r="A26" s="753"/>
      <c r="B26" s="755"/>
      <c r="C26" s="756"/>
      <c r="D26" s="1206"/>
      <c r="E26" s="1148"/>
      <c r="F26" s="1025"/>
      <c r="G26" s="15" t="s">
        <v>228</v>
      </c>
      <c r="H26" s="693">
        <f>66.3/3.4528*1000+6020</f>
        <v>25222</v>
      </c>
      <c r="I26" s="814"/>
      <c r="J26" s="455"/>
      <c r="K26" s="1175"/>
      <c r="L26" s="107">
        <v>100</v>
      </c>
      <c r="M26" s="304"/>
      <c r="N26" s="305"/>
    </row>
    <row r="27" spans="1:15" ht="13.5" customHeight="1" x14ac:dyDescent="0.2">
      <c r="A27" s="753"/>
      <c r="B27" s="755"/>
      <c r="C27" s="756"/>
      <c r="D27" s="1207"/>
      <c r="E27" s="1139"/>
      <c r="F27" s="1026"/>
      <c r="G27" s="23" t="s">
        <v>243</v>
      </c>
      <c r="H27" s="691">
        <f>103684-11392</f>
        <v>92292</v>
      </c>
      <c r="I27" s="461"/>
      <c r="J27" s="421"/>
      <c r="K27" s="1176"/>
      <c r="L27" s="205"/>
      <c r="M27" s="186"/>
      <c r="N27" s="187"/>
    </row>
    <row r="28" spans="1:15" ht="12.75" customHeight="1" x14ac:dyDescent="0.2">
      <c r="A28" s="1136"/>
      <c r="B28" s="1128"/>
      <c r="C28" s="1129"/>
      <c r="D28" s="1135" t="s">
        <v>206</v>
      </c>
      <c r="E28" s="1148" t="s">
        <v>66</v>
      </c>
      <c r="F28" s="1134" t="s">
        <v>61</v>
      </c>
      <c r="G28" s="193" t="s">
        <v>243</v>
      </c>
      <c r="H28" s="442"/>
      <c r="I28" s="394">
        <f>76/3.4528*1000</f>
        <v>22011</v>
      </c>
      <c r="J28" s="394"/>
      <c r="K28" s="1175" t="s">
        <v>168</v>
      </c>
      <c r="L28" s="254"/>
      <c r="M28" s="25">
        <v>1</v>
      </c>
      <c r="N28" s="26"/>
    </row>
    <row r="29" spans="1:15" ht="13.5" customHeight="1" x14ac:dyDescent="0.2">
      <c r="A29" s="1136"/>
      <c r="B29" s="1128"/>
      <c r="C29" s="1129"/>
      <c r="D29" s="1135"/>
      <c r="E29" s="1148"/>
      <c r="F29" s="1134"/>
      <c r="G29" s="15" t="s">
        <v>35</v>
      </c>
      <c r="H29" s="360"/>
      <c r="I29" s="367"/>
      <c r="J29" s="410"/>
      <c r="K29" s="1175"/>
      <c r="L29" s="254"/>
      <c r="M29" s="25"/>
      <c r="N29" s="26"/>
    </row>
    <row r="30" spans="1:15" ht="15.75" customHeight="1" thickBot="1" x14ac:dyDescent="0.25">
      <c r="A30" s="1136"/>
      <c r="B30" s="1128"/>
      <c r="C30" s="1129"/>
      <c r="D30" s="1184"/>
      <c r="E30" s="1139"/>
      <c r="F30" s="1140"/>
      <c r="G30" s="210" t="s">
        <v>6</v>
      </c>
      <c r="H30" s="365">
        <f>SUM(H12:H29)</f>
        <v>284682</v>
      </c>
      <c r="I30" s="366">
        <f>SUM(I12:I29)</f>
        <v>312669</v>
      </c>
      <c r="J30" s="415">
        <f>SUM(J12:J29)</f>
        <v>325447</v>
      </c>
      <c r="K30" s="1324"/>
      <c r="L30" s="255"/>
      <c r="M30" s="34"/>
      <c r="N30" s="35"/>
    </row>
    <row r="31" spans="1:15" ht="33.75" customHeight="1" x14ac:dyDescent="0.2">
      <c r="A31" s="774" t="s">
        <v>5</v>
      </c>
      <c r="B31" s="775" t="s">
        <v>5</v>
      </c>
      <c r="C31" s="777" t="s">
        <v>7</v>
      </c>
      <c r="D31" s="67" t="s">
        <v>70</v>
      </c>
      <c r="E31" s="208" t="s">
        <v>161</v>
      </c>
      <c r="F31" s="783"/>
      <c r="G31" s="40"/>
      <c r="H31" s="416"/>
      <c r="I31" s="417"/>
      <c r="J31" s="417"/>
      <c r="K31" s="131"/>
      <c r="L31" s="164"/>
      <c r="M31" s="176"/>
      <c r="N31" s="177"/>
      <c r="O31" s="13"/>
    </row>
    <row r="32" spans="1:15" ht="27" customHeight="1" x14ac:dyDescent="0.2">
      <c r="A32" s="1127"/>
      <c r="B32" s="1128"/>
      <c r="C32" s="1129"/>
      <c r="D32" s="1141" t="s">
        <v>235</v>
      </c>
      <c r="E32" s="1182" t="s">
        <v>66</v>
      </c>
      <c r="F32" s="1132" t="s">
        <v>61</v>
      </c>
      <c r="G32" s="11" t="s">
        <v>243</v>
      </c>
      <c r="H32" s="405">
        <v>155210</v>
      </c>
      <c r="I32" s="418">
        <f>1137.6/3.4528*1000</f>
        <v>329472</v>
      </c>
      <c r="J32" s="523"/>
      <c r="K32" s="596" t="s">
        <v>234</v>
      </c>
      <c r="L32" s="597">
        <v>100</v>
      </c>
      <c r="M32" s="347"/>
      <c r="N32" s="598"/>
    </row>
    <row r="33" spans="1:14" ht="26.25" customHeight="1" x14ac:dyDescent="0.2">
      <c r="A33" s="1127"/>
      <c r="B33" s="1128"/>
      <c r="C33" s="1129"/>
      <c r="D33" s="1142"/>
      <c r="E33" s="1310"/>
      <c r="F33" s="1134"/>
      <c r="G33" s="174" t="s">
        <v>228</v>
      </c>
      <c r="H33" s="395">
        <f>41387+57400</f>
        <v>98787</v>
      </c>
      <c r="I33" s="396"/>
      <c r="J33" s="397"/>
      <c r="K33" s="167" t="s">
        <v>239</v>
      </c>
      <c r="L33" s="168">
        <v>100</v>
      </c>
      <c r="M33" s="169"/>
      <c r="N33" s="170"/>
    </row>
    <row r="34" spans="1:14" ht="25.5" x14ac:dyDescent="0.2">
      <c r="A34" s="1127"/>
      <c r="B34" s="1128"/>
      <c r="C34" s="1129"/>
      <c r="D34" s="1143"/>
      <c r="E34" s="1183"/>
      <c r="F34" s="1140"/>
      <c r="G34" s="23" t="s">
        <v>35</v>
      </c>
      <c r="H34" s="398"/>
      <c r="I34" s="567">
        <f>143.3/3.4528*1000</f>
        <v>41503</v>
      </c>
      <c r="J34" s="358"/>
      <c r="K34" s="189" t="s">
        <v>148</v>
      </c>
      <c r="L34" s="183"/>
      <c r="M34" s="194">
        <v>100</v>
      </c>
      <c r="N34" s="184"/>
    </row>
    <row r="35" spans="1:14" ht="12.75" customHeight="1" x14ac:dyDescent="0.2">
      <c r="A35" s="1127"/>
      <c r="B35" s="1128"/>
      <c r="C35" s="1129"/>
      <c r="D35" s="1130" t="s">
        <v>153</v>
      </c>
      <c r="E35" s="63" t="s">
        <v>66</v>
      </c>
      <c r="F35" s="1132" t="s">
        <v>61</v>
      </c>
      <c r="G35" s="180" t="s">
        <v>243</v>
      </c>
      <c r="H35" s="692">
        <f>92678-62364</f>
        <v>30314</v>
      </c>
      <c r="I35" s="419">
        <f>550/3.4528*1000</f>
        <v>159291</v>
      </c>
      <c r="J35" s="420">
        <f>600/3.4528*1000</f>
        <v>173772</v>
      </c>
      <c r="K35" s="766" t="s">
        <v>82</v>
      </c>
      <c r="L35" s="41">
        <v>1</v>
      </c>
      <c r="M35" s="41"/>
      <c r="N35" s="42"/>
    </row>
    <row r="36" spans="1:14" ht="25.5" x14ac:dyDescent="0.2">
      <c r="A36" s="1127"/>
      <c r="B36" s="1128"/>
      <c r="C36" s="1129"/>
      <c r="D36" s="1131"/>
      <c r="E36" s="332"/>
      <c r="F36" s="1133"/>
      <c r="G36" s="193" t="s">
        <v>35</v>
      </c>
      <c r="H36" s="392"/>
      <c r="I36" s="393">
        <f>50/3.4528*1000</f>
        <v>14481</v>
      </c>
      <c r="J36" s="394">
        <f>50/3.4528*1000</f>
        <v>14481</v>
      </c>
      <c r="K36" s="333" t="s">
        <v>152</v>
      </c>
      <c r="L36" s="334"/>
      <c r="M36" s="335">
        <v>40</v>
      </c>
      <c r="N36" s="336">
        <v>100</v>
      </c>
    </row>
    <row r="37" spans="1:14" ht="27" customHeight="1" x14ac:dyDescent="0.2">
      <c r="A37" s="753"/>
      <c r="B37" s="755"/>
      <c r="C37" s="756"/>
      <c r="D37" s="331" t="s">
        <v>184</v>
      </c>
      <c r="E37" s="268"/>
      <c r="F37" s="751" t="s">
        <v>61</v>
      </c>
      <c r="G37" s="23" t="s">
        <v>243</v>
      </c>
      <c r="H37" s="691">
        <f>37998+35309</f>
        <v>73307</v>
      </c>
      <c r="I37" s="421"/>
      <c r="J37" s="422"/>
      <c r="K37" s="348" t="s">
        <v>189</v>
      </c>
      <c r="L37" s="320" t="s">
        <v>174</v>
      </c>
      <c r="M37" s="34"/>
      <c r="N37" s="35"/>
    </row>
    <row r="38" spans="1:14" ht="16.5" customHeight="1" x14ac:dyDescent="0.2">
      <c r="A38" s="1136"/>
      <c r="B38" s="1128"/>
      <c r="C38" s="1129"/>
      <c r="D38" s="1130" t="s">
        <v>165</v>
      </c>
      <c r="E38" s="63" t="s">
        <v>66</v>
      </c>
      <c r="F38" s="1132" t="s">
        <v>61</v>
      </c>
      <c r="G38" s="180" t="s">
        <v>243</v>
      </c>
      <c r="H38" s="692">
        <f>159291-72126</f>
        <v>87165</v>
      </c>
      <c r="I38" s="419"/>
      <c r="J38" s="420"/>
      <c r="K38" s="1174" t="s">
        <v>190</v>
      </c>
      <c r="L38" s="41">
        <v>1</v>
      </c>
      <c r="M38" s="41"/>
      <c r="N38" s="42"/>
    </row>
    <row r="39" spans="1:14" ht="21" customHeight="1" x14ac:dyDescent="0.2">
      <c r="A39" s="1136"/>
      <c r="B39" s="1128"/>
      <c r="C39" s="1129"/>
      <c r="D39" s="1184"/>
      <c r="E39" s="268"/>
      <c r="F39" s="1140"/>
      <c r="G39" s="23" t="s">
        <v>228</v>
      </c>
      <c r="H39" s="691">
        <f>24618-6020</f>
        <v>18598</v>
      </c>
      <c r="I39" s="421"/>
      <c r="J39" s="422"/>
      <c r="K39" s="1176"/>
      <c r="L39" s="34">
        <v>100</v>
      </c>
      <c r="M39" s="34"/>
      <c r="N39" s="35"/>
    </row>
    <row r="40" spans="1:14" ht="26.25" customHeight="1" x14ac:dyDescent="0.2">
      <c r="A40" s="753"/>
      <c r="B40" s="755"/>
      <c r="C40" s="756"/>
      <c r="D40" s="316" t="s">
        <v>185</v>
      </c>
      <c r="E40" s="329"/>
      <c r="F40" s="807" t="s">
        <v>61</v>
      </c>
      <c r="G40" s="21" t="s">
        <v>243</v>
      </c>
      <c r="H40" s="694">
        <f>10050+39000</f>
        <v>49050</v>
      </c>
      <c r="I40" s="423"/>
      <c r="J40" s="424"/>
      <c r="K40" s="318" t="s">
        <v>191</v>
      </c>
      <c r="L40" s="319" t="s">
        <v>174</v>
      </c>
      <c r="M40" s="321"/>
      <c r="N40" s="322"/>
    </row>
    <row r="41" spans="1:14" ht="14.25" customHeight="1" x14ac:dyDescent="0.2">
      <c r="A41" s="1127"/>
      <c r="B41" s="1128"/>
      <c r="C41" s="1129"/>
      <c r="D41" s="1141" t="s">
        <v>90</v>
      </c>
      <c r="E41" s="63" t="s">
        <v>66</v>
      </c>
      <c r="F41" s="1132" t="s">
        <v>61</v>
      </c>
      <c r="G41" s="180" t="s">
        <v>35</v>
      </c>
      <c r="H41" s="402"/>
      <c r="I41" s="403">
        <f>500/3.4528*1000</f>
        <v>144810</v>
      </c>
      <c r="J41" s="404">
        <f>1000/3.4528*1000</f>
        <v>289620</v>
      </c>
      <c r="K41" s="766" t="s">
        <v>64</v>
      </c>
      <c r="L41" s="41">
        <v>1</v>
      </c>
      <c r="M41" s="842"/>
      <c r="N41" s="42"/>
    </row>
    <row r="42" spans="1:14" ht="14.25" customHeight="1" x14ac:dyDescent="0.2">
      <c r="A42" s="1127"/>
      <c r="B42" s="1128"/>
      <c r="C42" s="1129"/>
      <c r="D42" s="1142"/>
      <c r="E42" s="612"/>
      <c r="F42" s="1134"/>
      <c r="G42" s="15" t="s">
        <v>243</v>
      </c>
      <c r="H42" s="985"/>
      <c r="I42" s="363">
        <v>5786</v>
      </c>
      <c r="J42" s="367"/>
      <c r="K42" s="1331" t="s">
        <v>258</v>
      </c>
      <c r="L42" s="25"/>
      <c r="M42" s="843">
        <v>25</v>
      </c>
      <c r="N42" s="841">
        <v>75</v>
      </c>
    </row>
    <row r="43" spans="1:14" ht="14.25" customHeight="1" x14ac:dyDescent="0.2">
      <c r="A43" s="1127"/>
      <c r="B43" s="1128"/>
      <c r="C43" s="1129"/>
      <c r="D43" s="1143"/>
      <c r="E43" s="203"/>
      <c r="F43" s="1140"/>
      <c r="G43" s="327" t="s">
        <v>243</v>
      </c>
      <c r="H43" s="359">
        <f>18455-4240</f>
        <v>14215</v>
      </c>
      <c r="I43" s="738">
        <f>434430</f>
        <v>434430</v>
      </c>
      <c r="J43" s="358">
        <f>3000/3.4528*1000</f>
        <v>868860</v>
      </c>
      <c r="K43" s="1332"/>
      <c r="L43" s="727"/>
      <c r="M43" s="108"/>
      <c r="N43" s="1022"/>
    </row>
    <row r="44" spans="1:14" ht="39" customHeight="1" x14ac:dyDescent="0.2">
      <c r="A44" s="753"/>
      <c r="B44" s="755"/>
      <c r="C44" s="756"/>
      <c r="D44" s="1142" t="s">
        <v>207</v>
      </c>
      <c r="E44" s="782" t="s">
        <v>66</v>
      </c>
      <c r="F44" s="751" t="s">
        <v>61</v>
      </c>
      <c r="G44" s="15" t="s">
        <v>243</v>
      </c>
      <c r="H44" s="400"/>
      <c r="I44" s="425">
        <f>30/3.4528*1000</f>
        <v>8689</v>
      </c>
      <c r="J44" s="426">
        <f>120/3.4528*1000</f>
        <v>34754</v>
      </c>
      <c r="K44" s="789" t="s">
        <v>64</v>
      </c>
      <c r="L44" s="85"/>
      <c r="M44" s="85"/>
      <c r="N44" s="86">
        <v>1</v>
      </c>
    </row>
    <row r="45" spans="1:14" ht="15" customHeight="1" thickBot="1" x14ac:dyDescent="0.25">
      <c r="A45" s="769"/>
      <c r="B45" s="776"/>
      <c r="C45" s="778"/>
      <c r="D45" s="1241"/>
      <c r="E45" s="203"/>
      <c r="F45" s="779"/>
      <c r="G45" s="210" t="s">
        <v>6</v>
      </c>
      <c r="H45" s="415">
        <f>SUM(H31:H44)</f>
        <v>526646</v>
      </c>
      <c r="I45" s="415">
        <f>SUM(I31:I44)</f>
        <v>1138462</v>
      </c>
      <c r="J45" s="415">
        <f>SUM(J31:J44)</f>
        <v>1381487</v>
      </c>
      <c r="K45" s="728"/>
      <c r="L45" s="727"/>
      <c r="M45" s="194"/>
      <c r="N45" s="729"/>
    </row>
    <row r="46" spans="1:14" ht="35.25" customHeight="1" x14ac:dyDescent="0.2">
      <c r="A46" s="774" t="s">
        <v>5</v>
      </c>
      <c r="B46" s="775" t="s">
        <v>5</v>
      </c>
      <c r="C46" s="777" t="s">
        <v>37</v>
      </c>
      <c r="D46" s="73" t="s">
        <v>71</v>
      </c>
      <c r="E46" s="207" t="s">
        <v>164</v>
      </c>
      <c r="F46" s="92"/>
      <c r="G46" s="243"/>
      <c r="H46" s="427"/>
      <c r="I46" s="428"/>
      <c r="J46" s="429"/>
      <c r="K46" s="730"/>
      <c r="L46" s="731"/>
      <c r="M46" s="731"/>
      <c r="N46" s="732"/>
    </row>
    <row r="47" spans="1:14" ht="39" customHeight="1" x14ac:dyDescent="0.2">
      <c r="A47" s="753"/>
      <c r="B47" s="755"/>
      <c r="C47" s="756"/>
      <c r="D47" s="195" t="s">
        <v>86</v>
      </c>
      <c r="E47" s="135" t="s">
        <v>66</v>
      </c>
      <c r="F47" s="495" t="s">
        <v>61</v>
      </c>
      <c r="G47" s="244" t="s">
        <v>243</v>
      </c>
      <c r="H47" s="407">
        <v>47820</v>
      </c>
      <c r="I47" s="409"/>
      <c r="J47" s="364"/>
      <c r="K47" s="317" t="s">
        <v>202</v>
      </c>
      <c r="L47" s="733">
        <v>100</v>
      </c>
      <c r="M47" s="734"/>
      <c r="N47" s="735"/>
    </row>
    <row r="48" spans="1:14" ht="14.25" customHeight="1" x14ac:dyDescent="0.2">
      <c r="A48" s="1136"/>
      <c r="B48" s="1128"/>
      <c r="C48" s="1129"/>
      <c r="D48" s="1325" t="s">
        <v>233</v>
      </c>
      <c r="E48" s="1327" t="s">
        <v>66</v>
      </c>
      <c r="F48" s="1329" t="s">
        <v>61</v>
      </c>
      <c r="G48" s="850" t="s">
        <v>243</v>
      </c>
      <c r="H48" s="414">
        <f>4-4</f>
        <v>0</v>
      </c>
      <c r="I48" s="433"/>
      <c r="J48" s="403"/>
      <c r="K48" s="789" t="s">
        <v>123</v>
      </c>
      <c r="L48" s="85">
        <v>1</v>
      </c>
      <c r="M48" s="85"/>
      <c r="N48" s="86"/>
    </row>
    <row r="49" spans="1:15" ht="16.5" customHeight="1" x14ac:dyDescent="0.2">
      <c r="A49" s="1136"/>
      <c r="B49" s="1128"/>
      <c r="C49" s="1129"/>
      <c r="D49" s="1325"/>
      <c r="E49" s="1327"/>
      <c r="F49" s="1329"/>
      <c r="G49" s="600" t="s">
        <v>243</v>
      </c>
      <c r="H49" s="360">
        <v>34730</v>
      </c>
      <c r="I49" s="410"/>
      <c r="J49" s="363"/>
      <c r="K49" s="1322" t="s">
        <v>257</v>
      </c>
      <c r="L49" s="85"/>
      <c r="M49" s="85">
        <v>1</v>
      </c>
      <c r="N49" s="86"/>
    </row>
    <row r="50" spans="1:15" ht="16.5" customHeight="1" x14ac:dyDescent="0.2">
      <c r="A50" s="1136"/>
      <c r="B50" s="1128"/>
      <c r="C50" s="1129"/>
      <c r="D50" s="1325"/>
      <c r="E50" s="1327"/>
      <c r="F50" s="1329"/>
      <c r="G50" s="245" t="s">
        <v>65</v>
      </c>
      <c r="H50" s="411"/>
      <c r="I50" s="431">
        <f>464/3.4528*1000</f>
        <v>134384</v>
      </c>
      <c r="J50" s="396">
        <f>349/3.4528*1000</f>
        <v>101077</v>
      </c>
      <c r="K50" s="1323"/>
      <c r="L50" s="85"/>
      <c r="M50" s="85"/>
      <c r="N50" s="86"/>
    </row>
    <row r="51" spans="1:15" ht="18.75" customHeight="1" x14ac:dyDescent="0.2">
      <c r="A51" s="1136"/>
      <c r="B51" s="1128"/>
      <c r="C51" s="1129"/>
      <c r="D51" s="1326"/>
      <c r="E51" s="1328"/>
      <c r="F51" s="1330"/>
      <c r="G51" s="591" t="s">
        <v>62</v>
      </c>
      <c r="H51" s="359"/>
      <c r="I51" s="399">
        <f>2629.6/3.4528*1000</f>
        <v>761585</v>
      </c>
      <c r="J51" s="357">
        <f>1977.5/3.4528*1000</f>
        <v>572724</v>
      </c>
      <c r="K51" s="1324"/>
      <c r="L51" s="117"/>
      <c r="M51" s="117">
        <v>60</v>
      </c>
      <c r="N51" s="118">
        <v>100</v>
      </c>
    </row>
    <row r="52" spans="1:15" x14ac:dyDescent="0.2">
      <c r="A52" s="1136"/>
      <c r="B52" s="1128"/>
      <c r="C52" s="1129"/>
      <c r="D52" s="1225" t="s">
        <v>91</v>
      </c>
      <c r="E52" s="1327" t="s">
        <v>66</v>
      </c>
      <c r="F52" s="1329" t="s">
        <v>61</v>
      </c>
      <c r="G52" s="250" t="s">
        <v>243</v>
      </c>
      <c r="H52" s="442"/>
      <c r="I52" s="497"/>
      <c r="J52" s="498">
        <f>200/3.4528*1000</f>
        <v>57924</v>
      </c>
      <c r="K52" s="1322" t="s">
        <v>64</v>
      </c>
      <c r="L52" s="85"/>
      <c r="M52" s="85"/>
      <c r="N52" s="86">
        <v>1</v>
      </c>
    </row>
    <row r="53" spans="1:15" x14ac:dyDescent="0.2">
      <c r="A53" s="1136"/>
      <c r="B53" s="1128"/>
      <c r="C53" s="1129"/>
      <c r="D53" s="1225"/>
      <c r="E53" s="1327"/>
      <c r="F53" s="1329"/>
      <c r="G53" s="246" t="s">
        <v>63</v>
      </c>
      <c r="H53" s="360"/>
      <c r="I53" s="401"/>
      <c r="J53" s="425">
        <f>110/3.4528*1000</f>
        <v>31858</v>
      </c>
      <c r="K53" s="1322"/>
      <c r="L53" s="85"/>
      <c r="M53" s="85"/>
      <c r="N53" s="86"/>
    </row>
    <row r="54" spans="1:15" x14ac:dyDescent="0.2">
      <c r="A54" s="1136"/>
      <c r="B54" s="1128"/>
      <c r="C54" s="1129"/>
      <c r="D54" s="1130" t="s">
        <v>208</v>
      </c>
      <c r="E54" s="795" t="s">
        <v>66</v>
      </c>
      <c r="F54" s="802" t="s">
        <v>61</v>
      </c>
      <c r="G54" s="247" t="s">
        <v>35</v>
      </c>
      <c r="H54" s="414"/>
      <c r="I54" s="433"/>
      <c r="J54" s="403"/>
      <c r="K54" s="1321" t="s">
        <v>64</v>
      </c>
      <c r="L54" s="137"/>
      <c r="M54" s="137"/>
      <c r="N54" s="138">
        <v>1</v>
      </c>
    </row>
    <row r="55" spans="1:15" x14ac:dyDescent="0.2">
      <c r="A55" s="1136"/>
      <c r="B55" s="1128"/>
      <c r="C55" s="1129"/>
      <c r="D55" s="1135"/>
      <c r="E55" s="212"/>
      <c r="F55" s="213"/>
      <c r="G55" s="248" t="s">
        <v>243</v>
      </c>
      <c r="H55" s="412"/>
      <c r="I55" s="413"/>
      <c r="J55" s="434">
        <f>400/3.4528*1000</f>
        <v>115848</v>
      </c>
      <c r="K55" s="1322"/>
      <c r="L55" s="85"/>
      <c r="M55" s="85"/>
      <c r="N55" s="86"/>
    </row>
    <row r="56" spans="1:15" ht="13.5" thickBot="1" x14ac:dyDescent="0.25">
      <c r="A56" s="769"/>
      <c r="B56" s="776"/>
      <c r="C56" s="780"/>
      <c r="D56" s="1241"/>
      <c r="E56" s="592"/>
      <c r="F56" s="779"/>
      <c r="G56" s="211" t="s">
        <v>6</v>
      </c>
      <c r="H56" s="361">
        <f>SUM(H46:H55)</f>
        <v>82550</v>
      </c>
      <c r="I56" s="362">
        <f>SUM(I46:I55)</f>
        <v>895969</v>
      </c>
      <c r="J56" s="361">
        <f>SUM(J46:J55)</f>
        <v>879431</v>
      </c>
      <c r="K56" s="728"/>
      <c r="L56" s="736"/>
      <c r="M56" s="736"/>
      <c r="N56" s="737"/>
    </row>
    <row r="57" spans="1:15" ht="27" customHeight="1" x14ac:dyDescent="0.2">
      <c r="A57" s="774" t="s">
        <v>5</v>
      </c>
      <c r="B57" s="775" t="s">
        <v>5</v>
      </c>
      <c r="C57" s="777" t="s">
        <v>42</v>
      </c>
      <c r="D57" s="77" t="s">
        <v>72</v>
      </c>
      <c r="E57" s="594" t="s">
        <v>160</v>
      </c>
      <c r="F57" s="78"/>
      <c r="G57" s="90"/>
      <c r="H57" s="416"/>
      <c r="I57" s="435"/>
      <c r="J57" s="436"/>
      <c r="K57" s="82"/>
      <c r="L57" s="83"/>
      <c r="M57" s="83"/>
      <c r="N57" s="84"/>
      <c r="O57" s="13"/>
    </row>
    <row r="58" spans="1:15" ht="15.75" customHeight="1" x14ac:dyDescent="0.2">
      <c r="A58" s="753"/>
      <c r="B58" s="755"/>
      <c r="C58" s="756"/>
      <c r="D58" s="1142" t="s">
        <v>92</v>
      </c>
      <c r="E58" s="1340" t="s">
        <v>66</v>
      </c>
      <c r="F58" s="1354" t="s">
        <v>61</v>
      </c>
      <c r="G58" s="198" t="s">
        <v>243</v>
      </c>
      <c r="H58" s="359">
        <f>74849-5690</f>
        <v>69159</v>
      </c>
      <c r="I58" s="555">
        <f>289620</f>
        <v>289620</v>
      </c>
      <c r="J58" s="432">
        <f>2000/3.4528*1000</f>
        <v>579240</v>
      </c>
      <c r="K58" s="1322" t="s">
        <v>158</v>
      </c>
      <c r="L58" s="85">
        <v>1</v>
      </c>
      <c r="M58" s="85"/>
      <c r="N58" s="86"/>
      <c r="O58" s="13"/>
    </row>
    <row r="59" spans="1:15" ht="15" customHeight="1" x14ac:dyDescent="0.2">
      <c r="A59" s="753"/>
      <c r="B59" s="755"/>
      <c r="C59" s="756"/>
      <c r="D59" s="1142"/>
      <c r="E59" s="1340"/>
      <c r="F59" s="1354"/>
      <c r="G59" s="250" t="s">
        <v>243</v>
      </c>
      <c r="H59" s="442"/>
      <c r="I59" s="848">
        <v>23622</v>
      </c>
      <c r="J59" s="849"/>
      <c r="K59" s="1322"/>
      <c r="L59" s="85"/>
      <c r="M59" s="85"/>
      <c r="N59" s="86"/>
      <c r="O59" s="13"/>
    </row>
    <row r="60" spans="1:15" ht="15" customHeight="1" x14ac:dyDescent="0.2">
      <c r="A60" s="753"/>
      <c r="B60" s="755"/>
      <c r="C60" s="756"/>
      <c r="D60" s="1142"/>
      <c r="E60" s="1340"/>
      <c r="F60" s="1354"/>
      <c r="G60" s="91" t="s">
        <v>35</v>
      </c>
      <c r="H60" s="359"/>
      <c r="I60" s="426">
        <f>500/3.4528*1000</f>
        <v>144810</v>
      </c>
      <c r="J60" s="426">
        <f>500/3.4528*1000</f>
        <v>144810</v>
      </c>
      <c r="K60" s="1322"/>
      <c r="L60" s="85"/>
      <c r="M60" s="85">
        <v>10</v>
      </c>
      <c r="N60" s="86">
        <v>25</v>
      </c>
      <c r="O60" s="13"/>
    </row>
    <row r="61" spans="1:15" ht="13.5" customHeight="1" x14ac:dyDescent="0.2">
      <c r="A61" s="1136"/>
      <c r="B61" s="1128"/>
      <c r="C61" s="1129"/>
      <c r="D61" s="1130" t="s">
        <v>209</v>
      </c>
      <c r="E61" s="1182" t="s">
        <v>66</v>
      </c>
      <c r="F61" s="1132" t="s">
        <v>61</v>
      </c>
      <c r="G61" s="559" t="s">
        <v>243</v>
      </c>
      <c r="H61" s="414">
        <v>0</v>
      </c>
      <c r="I61" s="852">
        <f>141045</f>
        <v>141045</v>
      </c>
      <c r="J61" s="852">
        <f>1000/3.4528*1000</f>
        <v>289620</v>
      </c>
      <c r="K61" s="766" t="s">
        <v>155</v>
      </c>
      <c r="L61" s="52"/>
      <c r="M61" s="52">
        <v>1</v>
      </c>
      <c r="N61" s="72"/>
    </row>
    <row r="62" spans="1:15" ht="14.25" customHeight="1" x14ac:dyDescent="0.2">
      <c r="A62" s="1136"/>
      <c r="B62" s="1128"/>
      <c r="C62" s="1129"/>
      <c r="D62" s="1135"/>
      <c r="E62" s="1310"/>
      <c r="F62" s="1134"/>
      <c r="G62" s="569" t="s">
        <v>243</v>
      </c>
      <c r="H62" s="411"/>
      <c r="I62" s="696">
        <v>22620</v>
      </c>
      <c r="J62" s="696"/>
      <c r="K62" s="1318" t="s">
        <v>154</v>
      </c>
      <c r="L62" s="68"/>
      <c r="M62" s="68"/>
      <c r="N62" s="69"/>
    </row>
    <row r="63" spans="1:15" ht="13.5" customHeight="1" x14ac:dyDescent="0.2">
      <c r="A63" s="1136"/>
      <c r="B63" s="1128"/>
      <c r="C63" s="1129"/>
      <c r="D63" s="1135"/>
      <c r="E63" s="1310"/>
      <c r="F63" s="1134"/>
      <c r="G63" s="246" t="s">
        <v>35</v>
      </c>
      <c r="H63" s="360"/>
      <c r="I63" s="438"/>
      <c r="J63" s="438">
        <f>100/3.4528*1000</f>
        <v>28962</v>
      </c>
      <c r="K63" s="1324"/>
      <c r="L63" s="68"/>
      <c r="M63" s="68"/>
      <c r="N63" s="192">
        <v>10</v>
      </c>
    </row>
    <row r="64" spans="1:15" ht="12.75" customHeight="1" x14ac:dyDescent="0.2">
      <c r="A64" s="1136"/>
      <c r="B64" s="1128"/>
      <c r="C64" s="1129"/>
      <c r="D64" s="1130" t="s">
        <v>166</v>
      </c>
      <c r="E64" s="1182" t="s">
        <v>66</v>
      </c>
      <c r="F64" s="1132" t="s">
        <v>61</v>
      </c>
      <c r="G64" s="198" t="s">
        <v>243</v>
      </c>
      <c r="H64" s="414">
        <f>25487-14988</f>
        <v>10499</v>
      </c>
      <c r="I64" s="420"/>
      <c r="J64" s="420"/>
      <c r="K64" s="1174" t="s">
        <v>192</v>
      </c>
      <c r="L64" s="52">
        <v>1</v>
      </c>
      <c r="M64" s="52"/>
      <c r="N64" s="72"/>
    </row>
    <row r="65" spans="1:15" ht="12.75" customHeight="1" x14ac:dyDescent="0.2">
      <c r="A65" s="1136"/>
      <c r="B65" s="1128"/>
      <c r="C65" s="1129"/>
      <c r="D65" s="1135"/>
      <c r="E65" s="1310"/>
      <c r="F65" s="1134"/>
      <c r="G65" s="248" t="s">
        <v>63</v>
      </c>
      <c r="H65" s="412"/>
      <c r="I65" s="439">
        <f>650/3.4528*1000</f>
        <v>188253</v>
      </c>
      <c r="J65" s="439">
        <f>1313/3.4528*1000</f>
        <v>380271</v>
      </c>
      <c r="K65" s="1175"/>
      <c r="L65" s="68"/>
      <c r="M65" s="68"/>
      <c r="N65" s="69"/>
    </row>
    <row r="66" spans="1:15" ht="15.75" customHeight="1" thickBot="1" x14ac:dyDescent="0.25">
      <c r="A66" s="1136"/>
      <c r="B66" s="1128"/>
      <c r="C66" s="1129"/>
      <c r="D66" s="1184"/>
      <c r="E66" s="1183"/>
      <c r="F66" s="1140"/>
      <c r="G66" s="211" t="s">
        <v>6</v>
      </c>
      <c r="H66" s="361">
        <f>SUM(H57:H65)</f>
        <v>79658</v>
      </c>
      <c r="I66" s="440">
        <f>SUM(I57:I65)</f>
        <v>809970</v>
      </c>
      <c r="J66" s="441">
        <f>SUM(J57:J65)</f>
        <v>1422903</v>
      </c>
      <c r="K66" s="1324"/>
      <c r="L66" s="70"/>
      <c r="M66" s="199">
        <v>35</v>
      </c>
      <c r="N66" s="200">
        <v>100</v>
      </c>
    </row>
    <row r="67" spans="1:15" ht="30" customHeight="1" x14ac:dyDescent="0.2">
      <c r="A67" s="774" t="s">
        <v>5</v>
      </c>
      <c r="B67" s="775" t="s">
        <v>5</v>
      </c>
      <c r="C67" s="777" t="s">
        <v>44</v>
      </c>
      <c r="D67" s="77" t="s">
        <v>210</v>
      </c>
      <c r="E67" s="594" t="s">
        <v>149</v>
      </c>
      <c r="F67" s="343"/>
      <c r="G67" s="162"/>
      <c r="H67" s="416"/>
      <c r="I67" s="429"/>
      <c r="J67" s="429"/>
      <c r="K67" s="855"/>
      <c r="L67" s="43"/>
      <c r="M67" s="43"/>
      <c r="N67" s="803"/>
    </row>
    <row r="68" spans="1:15" ht="12.75" customHeight="1" x14ac:dyDescent="0.2">
      <c r="A68" s="753"/>
      <c r="B68" s="755"/>
      <c r="C68" s="756"/>
      <c r="D68" s="1135" t="s">
        <v>211</v>
      </c>
      <c r="E68" s="854" t="s">
        <v>66</v>
      </c>
      <c r="F68" s="283" t="s">
        <v>61</v>
      </c>
      <c r="G68" s="308" t="s">
        <v>243</v>
      </c>
      <c r="H68" s="521">
        <v>0</v>
      </c>
      <c r="I68" s="393">
        <v>66186</v>
      </c>
      <c r="J68" s="393"/>
      <c r="K68" s="1305" t="s">
        <v>193</v>
      </c>
      <c r="L68" s="53"/>
      <c r="M68" s="41">
        <v>1</v>
      </c>
      <c r="N68" s="42"/>
    </row>
    <row r="69" spans="1:15" ht="12.75" customHeight="1" x14ac:dyDescent="0.2">
      <c r="A69" s="753"/>
      <c r="B69" s="755"/>
      <c r="C69" s="756"/>
      <c r="D69" s="1135"/>
      <c r="E69" s="854"/>
      <c r="F69" s="283"/>
      <c r="G69" s="10" t="s">
        <v>243</v>
      </c>
      <c r="H69" s="360"/>
      <c r="I69" s="363">
        <v>10000</v>
      </c>
      <c r="J69" s="363"/>
      <c r="K69" s="1305"/>
      <c r="L69" s="81"/>
      <c r="M69" s="25"/>
      <c r="N69" s="26"/>
    </row>
    <row r="70" spans="1:15" x14ac:dyDescent="0.2">
      <c r="A70" s="753"/>
      <c r="B70" s="755"/>
      <c r="C70" s="756"/>
      <c r="D70" s="1135"/>
      <c r="E70" s="1307"/>
      <c r="F70" s="283"/>
      <c r="G70" s="173" t="s">
        <v>62</v>
      </c>
      <c r="H70" s="411"/>
      <c r="I70" s="396"/>
      <c r="J70" s="396">
        <f>2467.5/3.4528*1000</f>
        <v>714637</v>
      </c>
      <c r="K70" s="1305"/>
      <c r="L70" s="81"/>
      <c r="M70" s="25"/>
      <c r="N70" s="26"/>
    </row>
    <row r="71" spans="1:15" ht="14.25" customHeight="1" x14ac:dyDescent="0.2">
      <c r="A71" s="753"/>
      <c r="B71" s="755"/>
      <c r="C71" s="756"/>
      <c r="D71" s="1309"/>
      <c r="E71" s="1308"/>
      <c r="F71" s="271"/>
      <c r="G71" s="23" t="s">
        <v>65</v>
      </c>
      <c r="H71" s="359"/>
      <c r="I71" s="357"/>
      <c r="J71" s="357">
        <f>435.4/3.4528*1000</f>
        <v>126101</v>
      </c>
      <c r="K71" s="1306"/>
      <c r="L71" s="34"/>
      <c r="M71" s="34"/>
      <c r="N71" s="35">
        <v>65</v>
      </c>
    </row>
    <row r="72" spans="1:15" ht="19.5" customHeight="1" x14ac:dyDescent="0.2">
      <c r="A72" s="1136"/>
      <c r="B72" s="1128"/>
      <c r="C72" s="1129"/>
      <c r="D72" s="1130" t="s">
        <v>212</v>
      </c>
      <c r="E72" s="62" t="s">
        <v>66</v>
      </c>
      <c r="F72" s="1132" t="s">
        <v>61</v>
      </c>
      <c r="G72" s="122" t="s">
        <v>93</v>
      </c>
      <c r="H72" s="414">
        <v>5257</v>
      </c>
      <c r="I72" s="356"/>
      <c r="J72" s="356"/>
      <c r="K72" s="1355" t="s">
        <v>195</v>
      </c>
      <c r="L72" s="499">
        <v>100</v>
      </c>
      <c r="M72" s="499"/>
      <c r="N72" s="534"/>
    </row>
    <row r="73" spans="1:15" ht="22.5" customHeight="1" x14ac:dyDescent="0.2">
      <c r="A73" s="1136"/>
      <c r="B73" s="1128"/>
      <c r="C73" s="1129"/>
      <c r="D73" s="1206"/>
      <c r="E73" s="1357"/>
      <c r="F73" s="1134"/>
      <c r="G73" s="18" t="s">
        <v>63</v>
      </c>
      <c r="H73" s="360">
        <f>32.2/3.4528*1000</f>
        <v>9326</v>
      </c>
      <c r="I73" s="363"/>
      <c r="J73" s="363"/>
      <c r="K73" s="1356"/>
      <c r="L73" s="499"/>
      <c r="M73" s="499"/>
      <c r="N73" s="534"/>
    </row>
    <row r="74" spans="1:15" ht="22.5" customHeight="1" x14ac:dyDescent="0.2">
      <c r="A74" s="1136"/>
      <c r="B74" s="1128"/>
      <c r="C74" s="1129"/>
      <c r="D74" s="1358" t="s">
        <v>237</v>
      </c>
      <c r="E74" s="1357"/>
      <c r="F74" s="1134"/>
      <c r="G74" s="161" t="s">
        <v>243</v>
      </c>
      <c r="H74" s="690">
        <v>0</v>
      </c>
      <c r="I74" s="396">
        <f>48946</f>
        <v>48946</v>
      </c>
      <c r="J74" s="396"/>
      <c r="K74" s="510" t="s">
        <v>194</v>
      </c>
      <c r="L74" s="511"/>
      <c r="M74" s="511">
        <v>1</v>
      </c>
      <c r="N74" s="512"/>
    </row>
    <row r="75" spans="1:15" ht="27" customHeight="1" x14ac:dyDescent="0.2">
      <c r="A75" s="753"/>
      <c r="B75" s="755"/>
      <c r="C75" s="756"/>
      <c r="D75" s="1359"/>
      <c r="E75" s="796"/>
      <c r="F75" s="751"/>
      <c r="G75" s="161" t="s">
        <v>243</v>
      </c>
      <c r="H75" s="411"/>
      <c r="I75" s="396">
        <v>10000</v>
      </c>
      <c r="J75" s="396"/>
      <c r="K75" s="297"/>
      <c r="L75" s="126"/>
      <c r="M75" s="126"/>
      <c r="N75" s="127"/>
    </row>
    <row r="76" spans="1:15" ht="27" customHeight="1" x14ac:dyDescent="0.2">
      <c r="A76" s="753"/>
      <c r="B76" s="755"/>
      <c r="C76" s="756"/>
      <c r="D76" s="960" t="s">
        <v>220</v>
      </c>
      <c r="E76" s="959"/>
      <c r="F76" s="958"/>
      <c r="G76" s="96" t="s">
        <v>243</v>
      </c>
      <c r="H76" s="691">
        <v>0</v>
      </c>
      <c r="I76" s="357"/>
      <c r="J76" s="357"/>
      <c r="K76" s="957" t="s">
        <v>221</v>
      </c>
      <c r="L76" s="499">
        <v>100</v>
      </c>
      <c r="M76" s="499"/>
      <c r="N76" s="534"/>
    </row>
    <row r="77" spans="1:15" ht="15.75" customHeight="1" thickBot="1" x14ac:dyDescent="0.25">
      <c r="A77" s="769"/>
      <c r="B77" s="776"/>
      <c r="C77" s="778"/>
      <c r="D77" s="897"/>
      <c r="E77" s="289"/>
      <c r="F77" s="267"/>
      <c r="G77" s="344" t="s">
        <v>6</v>
      </c>
      <c r="H77" s="361">
        <f>SUM(H67:H76)</f>
        <v>14583</v>
      </c>
      <c r="I77" s="361">
        <f>SUM(I67:I76)</f>
        <v>135132</v>
      </c>
      <c r="J77" s="361">
        <f>SUM(J67:J76)</f>
        <v>840738</v>
      </c>
      <c r="K77" s="342"/>
      <c r="L77" s="295"/>
      <c r="M77" s="29"/>
      <c r="N77" s="30"/>
    </row>
    <row r="78" spans="1:15" ht="25.5" customHeight="1" x14ac:dyDescent="0.2">
      <c r="A78" s="774" t="s">
        <v>5</v>
      </c>
      <c r="B78" s="775" t="s">
        <v>5</v>
      </c>
      <c r="C78" s="777" t="s">
        <v>46</v>
      </c>
      <c r="D78" s="67" t="s">
        <v>105</v>
      </c>
      <c r="E78" s="594" t="s">
        <v>162</v>
      </c>
      <c r="F78" s="144"/>
      <c r="G78" s="557"/>
      <c r="H78" s="416"/>
      <c r="I78" s="428"/>
      <c r="J78" s="429"/>
      <c r="K78" s="14"/>
      <c r="L78" s="43"/>
      <c r="M78" s="43"/>
      <c r="N78" s="803"/>
    </row>
    <row r="79" spans="1:15" ht="18.75" customHeight="1" x14ac:dyDescent="0.2">
      <c r="A79" s="1136"/>
      <c r="B79" s="1128"/>
      <c r="C79" s="1129"/>
      <c r="D79" s="1130" t="s">
        <v>213</v>
      </c>
      <c r="E79" s="763" t="s">
        <v>66</v>
      </c>
      <c r="F79" s="1134" t="s">
        <v>61</v>
      </c>
      <c r="G79" s="198" t="s">
        <v>65</v>
      </c>
      <c r="H79" s="414">
        <f>(217.8+ 199.4)/3.4528*1000</f>
        <v>120829</v>
      </c>
      <c r="I79" s="433"/>
      <c r="J79" s="393"/>
      <c r="K79" s="1174" t="s">
        <v>203</v>
      </c>
      <c r="L79" s="1302" t="s">
        <v>147</v>
      </c>
      <c r="M79" s="41"/>
      <c r="N79" s="42"/>
      <c r="O79" s="33"/>
    </row>
    <row r="80" spans="1:15" ht="18.75" customHeight="1" x14ac:dyDescent="0.2">
      <c r="A80" s="1136"/>
      <c r="B80" s="1128"/>
      <c r="C80" s="1129"/>
      <c r="D80" s="1135"/>
      <c r="E80" s="788"/>
      <c r="F80" s="1134"/>
      <c r="G80" s="569" t="s">
        <v>67</v>
      </c>
      <c r="H80" s="411">
        <v>23199</v>
      </c>
      <c r="I80" s="431"/>
      <c r="J80" s="396"/>
      <c r="K80" s="1175"/>
      <c r="L80" s="1303"/>
      <c r="M80" s="25"/>
      <c r="N80" s="26"/>
    </row>
    <row r="81" spans="1:15" ht="20.25" customHeight="1" x14ac:dyDescent="0.2">
      <c r="A81" s="1136"/>
      <c r="B81" s="1128"/>
      <c r="C81" s="1129"/>
      <c r="D81" s="1135"/>
      <c r="E81" s="256"/>
      <c r="F81" s="1134"/>
      <c r="G81" s="249" t="s">
        <v>63</v>
      </c>
      <c r="H81" s="359">
        <v>191149</v>
      </c>
      <c r="I81" s="461"/>
      <c r="J81" s="421"/>
      <c r="K81" s="1176"/>
      <c r="L81" s="1304"/>
      <c r="M81" s="34"/>
      <c r="N81" s="35"/>
    </row>
    <row r="82" spans="1:15" ht="21" customHeight="1" x14ac:dyDescent="0.2">
      <c r="A82" s="1136"/>
      <c r="B82" s="1128"/>
      <c r="C82" s="1129"/>
      <c r="D82" s="1130" t="s">
        <v>224</v>
      </c>
      <c r="E82" s="1352" t="s">
        <v>66</v>
      </c>
      <c r="F82" s="1132" t="s">
        <v>61</v>
      </c>
      <c r="G82" s="250" t="s">
        <v>62</v>
      </c>
      <c r="H82" s="442">
        <f>6842.4/3.4528*1000</f>
        <v>1981696</v>
      </c>
      <c r="I82" s="570"/>
      <c r="J82" s="393"/>
      <c r="K82" s="1314" t="s">
        <v>225</v>
      </c>
      <c r="L82" s="182">
        <v>100</v>
      </c>
      <c r="M82" s="81"/>
      <c r="N82" s="55"/>
    </row>
    <row r="83" spans="1:15" ht="30.75" customHeight="1" x14ac:dyDescent="0.2">
      <c r="A83" s="1136"/>
      <c r="B83" s="1128"/>
      <c r="C83" s="1129"/>
      <c r="D83" s="1184"/>
      <c r="E83" s="1353"/>
      <c r="F83" s="1140"/>
      <c r="G83" s="249" t="s">
        <v>67</v>
      </c>
      <c r="H83" s="359">
        <f>1701.8/3.4528*1000</f>
        <v>492875</v>
      </c>
      <c r="I83" s="571"/>
      <c r="J83" s="421"/>
      <c r="K83" s="1315"/>
      <c r="L83" s="66"/>
      <c r="M83" s="54"/>
      <c r="N83" s="35"/>
    </row>
    <row r="84" spans="1:15" ht="24.75" customHeight="1" x14ac:dyDescent="0.2">
      <c r="A84" s="753"/>
      <c r="B84" s="755"/>
      <c r="C84" s="608"/>
      <c r="D84" s="1141" t="s">
        <v>122</v>
      </c>
      <c r="E84" s="782" t="s">
        <v>66</v>
      </c>
      <c r="F84" s="757" t="s">
        <v>61</v>
      </c>
      <c r="G84" s="244" t="s">
        <v>67</v>
      </c>
      <c r="H84" s="360"/>
      <c r="I84" s="401"/>
      <c r="J84" s="425">
        <f>1000/3.4528*1000</f>
        <v>289620</v>
      </c>
      <c r="K84" s="1255" t="s">
        <v>163</v>
      </c>
      <c r="L84" s="68"/>
      <c r="M84" s="190"/>
      <c r="N84" s="337">
        <v>1</v>
      </c>
    </row>
    <row r="85" spans="1:15" ht="19.5" customHeight="1" thickBot="1" x14ac:dyDescent="0.25">
      <c r="A85" s="753"/>
      <c r="B85" s="755"/>
      <c r="C85" s="608"/>
      <c r="D85" s="1241"/>
      <c r="E85" s="764"/>
      <c r="F85" s="752"/>
      <c r="G85" s="211" t="s">
        <v>6</v>
      </c>
      <c r="H85" s="365">
        <f>SUM(H78:H84)</f>
        <v>2809748</v>
      </c>
      <c r="I85" s="456">
        <f>SUM(I78:I84)</f>
        <v>0</v>
      </c>
      <c r="J85" s="365">
        <f>SUM(J78:J84)</f>
        <v>289620</v>
      </c>
      <c r="K85" s="1256"/>
      <c r="L85" s="214"/>
      <c r="M85" s="215"/>
      <c r="N85" s="216">
        <v>50</v>
      </c>
    </row>
    <row r="86" spans="1:15" s="39" customFormat="1" ht="27.75" customHeight="1" x14ac:dyDescent="0.2">
      <c r="A86" s="1208" t="s">
        <v>5</v>
      </c>
      <c r="B86" s="1218" t="s">
        <v>5</v>
      </c>
      <c r="C86" s="1234" t="s">
        <v>47</v>
      </c>
      <c r="D86" s="1237" t="s">
        <v>115</v>
      </c>
      <c r="E86" s="1311"/>
      <c r="F86" s="1232" t="s">
        <v>61</v>
      </c>
      <c r="G86" s="251" t="s">
        <v>35</v>
      </c>
      <c r="H86" s="443">
        <f>10/3.4528*1000</f>
        <v>2896</v>
      </c>
      <c r="I86" s="444">
        <f t="shared" ref="I86:J86" si="0">20/3.4528*1000</f>
        <v>5792</v>
      </c>
      <c r="J86" s="444">
        <f t="shared" si="0"/>
        <v>5792</v>
      </c>
      <c r="K86" s="1212"/>
      <c r="L86" s="37"/>
      <c r="M86" s="37"/>
      <c r="N86" s="38"/>
    </row>
    <row r="87" spans="1:15" ht="14.25" customHeight="1" x14ac:dyDescent="0.2">
      <c r="A87" s="1136"/>
      <c r="B87" s="1128"/>
      <c r="C87" s="1235"/>
      <c r="D87" s="1135"/>
      <c r="E87" s="1312"/>
      <c r="F87" s="1134"/>
      <c r="G87" s="249"/>
      <c r="H87" s="360"/>
      <c r="I87" s="367"/>
      <c r="J87" s="367"/>
      <c r="K87" s="1212"/>
      <c r="L87" s="25"/>
      <c r="M87" s="25"/>
      <c r="N87" s="26"/>
      <c r="O87" s="33"/>
    </row>
    <row r="88" spans="1:15" ht="13.5" thickBot="1" x14ac:dyDescent="0.25">
      <c r="A88" s="1209"/>
      <c r="B88" s="1219"/>
      <c r="C88" s="1236"/>
      <c r="D88" s="1238"/>
      <c r="E88" s="1313"/>
      <c r="F88" s="1222"/>
      <c r="G88" s="252" t="s">
        <v>6</v>
      </c>
      <c r="H88" s="365">
        <f>SUM(H86:H87)</f>
        <v>2896</v>
      </c>
      <c r="I88" s="368">
        <f>SUM(I86:I87)</f>
        <v>5792</v>
      </c>
      <c r="J88" s="368">
        <f>SUM(J86:J87)</f>
        <v>5792</v>
      </c>
      <c r="K88" s="16"/>
      <c r="L88" s="29"/>
      <c r="M88" s="29"/>
      <c r="N88" s="30"/>
    </row>
    <row r="89" spans="1:15" ht="13.5" thickBot="1" x14ac:dyDescent="0.25">
      <c r="A89" s="114" t="s">
        <v>5</v>
      </c>
      <c r="B89" s="9" t="s">
        <v>5</v>
      </c>
      <c r="C89" s="1242" t="s">
        <v>8</v>
      </c>
      <c r="D89" s="1242"/>
      <c r="E89" s="1242"/>
      <c r="F89" s="1242"/>
      <c r="G89" s="1242"/>
      <c r="H89" s="369">
        <f>H88+H85+H77+H56+H45+H30+H66</f>
        <v>3800763</v>
      </c>
      <c r="I89" s="369">
        <f>I88+I85+I77+I56+I45+I30+I66</f>
        <v>3297994</v>
      </c>
      <c r="J89" s="369">
        <f>J88+J85+J77+J56+J45+J30+J66</f>
        <v>5145418</v>
      </c>
      <c r="K89" s="785"/>
      <c r="L89" s="31"/>
      <c r="M89" s="31"/>
      <c r="N89" s="32"/>
    </row>
    <row r="90" spans="1:15" ht="13.5" thickBot="1" x14ac:dyDescent="0.25">
      <c r="A90" s="114" t="s">
        <v>5</v>
      </c>
      <c r="B90" s="9" t="s">
        <v>7</v>
      </c>
      <c r="C90" s="1299" t="s">
        <v>41</v>
      </c>
      <c r="D90" s="1299"/>
      <c r="E90" s="1299"/>
      <c r="F90" s="1299"/>
      <c r="G90" s="1299"/>
      <c r="H90" s="1300"/>
      <c r="I90" s="1299"/>
      <c r="J90" s="1299"/>
      <c r="K90" s="1299"/>
      <c r="L90" s="1299"/>
      <c r="M90" s="1299"/>
      <c r="N90" s="1301"/>
    </row>
    <row r="91" spans="1:15" x14ac:dyDescent="0.2">
      <c r="A91" s="774" t="s">
        <v>5</v>
      </c>
      <c r="B91" s="775" t="s">
        <v>7</v>
      </c>
      <c r="C91" s="777" t="s">
        <v>5</v>
      </c>
      <c r="D91" s="1320" t="s">
        <v>85</v>
      </c>
      <c r="E91" s="1246" t="s">
        <v>199</v>
      </c>
      <c r="F91" s="783"/>
      <c r="G91" s="94" t="s">
        <v>35</v>
      </c>
      <c r="H91" s="704">
        <f>5018217+2896</f>
        <v>5021113</v>
      </c>
      <c r="I91" s="445">
        <f>17875.7/3.4528*1000</f>
        <v>5177161</v>
      </c>
      <c r="J91" s="445">
        <f>18382.4/3.4528*1000</f>
        <v>5323911</v>
      </c>
      <c r="K91" s="65"/>
      <c r="L91" s="46"/>
      <c r="M91" s="65"/>
      <c r="N91" s="57"/>
    </row>
    <row r="92" spans="1:15" x14ac:dyDescent="0.2">
      <c r="A92" s="753"/>
      <c r="B92" s="755"/>
      <c r="C92" s="756"/>
      <c r="D92" s="1239"/>
      <c r="E92" s="1247"/>
      <c r="F92" s="751"/>
      <c r="G92" s="93" t="s">
        <v>103</v>
      </c>
      <c r="H92" s="694">
        <f>500/3.4528*1000+155549</f>
        <v>300359</v>
      </c>
      <c r="I92" s="446">
        <f>545.2/3.4528*1000</f>
        <v>157901</v>
      </c>
      <c r="J92" s="446">
        <f>845.2/3.4528*1000</f>
        <v>244787</v>
      </c>
      <c r="K92" s="6"/>
      <c r="L92" s="49"/>
      <c r="M92" s="6"/>
      <c r="N92" s="50"/>
    </row>
    <row r="93" spans="1:15" x14ac:dyDescent="0.2">
      <c r="A93" s="753"/>
      <c r="B93" s="755"/>
      <c r="C93" s="756"/>
      <c r="D93" s="1145"/>
      <c r="E93" s="1247"/>
      <c r="F93" s="752"/>
      <c r="G93" s="95" t="s">
        <v>93</v>
      </c>
      <c r="H93" s="691">
        <v>3717</v>
      </c>
      <c r="I93" s="383"/>
      <c r="J93" s="383"/>
      <c r="K93" s="6"/>
      <c r="L93" s="49"/>
      <c r="M93" s="6"/>
      <c r="N93" s="50"/>
    </row>
    <row r="94" spans="1:15" ht="13.5" customHeight="1" x14ac:dyDescent="0.2">
      <c r="A94" s="753"/>
      <c r="B94" s="755"/>
      <c r="C94" s="756"/>
      <c r="D94" s="302" t="s">
        <v>74</v>
      </c>
      <c r="E94" s="782"/>
      <c r="F94" s="751"/>
      <c r="G94" s="217"/>
      <c r="H94" s="360"/>
      <c r="I94" s="447"/>
      <c r="J94" s="448"/>
      <c r="K94" s="298"/>
      <c r="L94" s="299"/>
      <c r="M94" s="300"/>
      <c r="N94" s="301"/>
    </row>
    <row r="95" spans="1:15" ht="27" customHeight="1" x14ac:dyDescent="0.2">
      <c r="A95" s="753"/>
      <c r="B95" s="755"/>
      <c r="C95" s="756"/>
      <c r="D95" s="759" t="s">
        <v>117</v>
      </c>
      <c r="E95" s="782"/>
      <c r="F95" s="751" t="s">
        <v>48</v>
      </c>
      <c r="G95" s="219"/>
      <c r="H95" s="411"/>
      <c r="I95" s="396"/>
      <c r="J95" s="397"/>
      <c r="K95" s="297" t="s">
        <v>57</v>
      </c>
      <c r="L95" s="126">
        <v>5</v>
      </c>
      <c r="M95" s="126">
        <v>5</v>
      </c>
      <c r="N95" s="127">
        <v>5</v>
      </c>
    </row>
    <row r="96" spans="1:15" x14ac:dyDescent="0.2">
      <c r="A96" s="753"/>
      <c r="B96" s="755"/>
      <c r="C96" s="756"/>
      <c r="D96" s="226" t="s">
        <v>118</v>
      </c>
      <c r="E96" s="782"/>
      <c r="F96" s="751"/>
      <c r="G96" s="219"/>
      <c r="H96" s="411"/>
      <c r="I96" s="396"/>
      <c r="J96" s="397"/>
      <c r="K96" s="178" t="s">
        <v>133</v>
      </c>
      <c r="L96" s="154">
        <v>3</v>
      </c>
      <c r="M96" s="154">
        <v>3</v>
      </c>
      <c r="N96" s="155">
        <v>3</v>
      </c>
    </row>
    <row r="97" spans="1:14" ht="25.5" x14ac:dyDescent="0.2">
      <c r="A97" s="753"/>
      <c r="B97" s="755"/>
      <c r="C97" s="756"/>
      <c r="D97" s="503" t="s">
        <v>119</v>
      </c>
      <c r="E97" s="504"/>
      <c r="F97" s="758"/>
      <c r="G97" s="219"/>
      <c r="H97" s="411"/>
      <c r="I97" s="396"/>
      <c r="J97" s="397"/>
      <c r="K97" s="178" t="s">
        <v>134</v>
      </c>
      <c r="L97" s="154">
        <v>6</v>
      </c>
      <c r="M97" s="154">
        <v>6</v>
      </c>
      <c r="N97" s="155">
        <v>6</v>
      </c>
    </row>
    <row r="98" spans="1:14" ht="27" customHeight="1" x14ac:dyDescent="0.2">
      <c r="A98" s="753"/>
      <c r="B98" s="755"/>
      <c r="C98" s="756"/>
      <c r="D98" s="227" t="s">
        <v>58</v>
      </c>
      <c r="E98" s="782"/>
      <c r="F98" s="751" t="s">
        <v>48</v>
      </c>
      <c r="G98" s="217"/>
      <c r="H98" s="442"/>
      <c r="I98" s="393"/>
      <c r="J98" s="394"/>
      <c r="K98" s="224" t="s">
        <v>79</v>
      </c>
      <c r="L98" s="225">
        <v>6.8</v>
      </c>
      <c r="M98" s="124">
        <v>7</v>
      </c>
      <c r="N98" s="125">
        <v>7</v>
      </c>
    </row>
    <row r="99" spans="1:14" ht="51.75" customHeight="1" x14ac:dyDescent="0.2">
      <c r="A99" s="753"/>
      <c r="B99" s="755"/>
      <c r="C99" s="756"/>
      <c r="D99" s="226" t="s">
        <v>214</v>
      </c>
      <c r="E99" s="290"/>
      <c r="F99" s="291" t="s">
        <v>48</v>
      </c>
      <c r="G99" s="219"/>
      <c r="H99" s="411"/>
      <c r="I99" s="396"/>
      <c r="J99" s="397"/>
      <c r="K99" s="178" t="s">
        <v>60</v>
      </c>
      <c r="L99" s="154">
        <v>3</v>
      </c>
      <c r="M99" s="154">
        <v>3</v>
      </c>
      <c r="N99" s="155">
        <v>3</v>
      </c>
    </row>
    <row r="100" spans="1:14" ht="42" customHeight="1" x14ac:dyDescent="0.2">
      <c r="A100" s="753"/>
      <c r="B100" s="755"/>
      <c r="C100" s="756"/>
      <c r="D100" s="226" t="s">
        <v>116</v>
      </c>
      <c r="E100" s="290"/>
      <c r="F100" s="291" t="s">
        <v>48</v>
      </c>
      <c r="G100" s="219"/>
      <c r="H100" s="411"/>
      <c r="I100" s="396"/>
      <c r="J100" s="397"/>
      <c r="K100" s="223" t="s">
        <v>101</v>
      </c>
      <c r="L100" s="220">
        <v>36</v>
      </c>
      <c r="M100" s="220">
        <v>37</v>
      </c>
      <c r="N100" s="221">
        <v>38</v>
      </c>
    </row>
    <row r="101" spans="1:14" ht="21.75" customHeight="1" x14ac:dyDescent="0.2">
      <c r="A101" s="1136"/>
      <c r="B101" s="1128"/>
      <c r="C101" s="1129"/>
      <c r="D101" s="1213" t="s">
        <v>59</v>
      </c>
      <c r="E101" s="1316" t="s">
        <v>109</v>
      </c>
      <c r="F101" s="1134" t="s">
        <v>48</v>
      </c>
      <c r="G101" s="218"/>
      <c r="H101" s="442"/>
      <c r="I101" s="393"/>
      <c r="J101" s="394"/>
      <c r="K101" s="1318" t="s">
        <v>80</v>
      </c>
      <c r="L101" s="499">
        <v>0</v>
      </c>
      <c r="M101" s="499">
        <v>8</v>
      </c>
      <c r="N101" s="534">
        <v>8</v>
      </c>
    </row>
    <row r="102" spans="1:14" ht="13.5" thickBot="1" x14ac:dyDescent="0.25">
      <c r="A102" s="1209"/>
      <c r="B102" s="1219"/>
      <c r="C102" s="1221"/>
      <c r="D102" s="1214"/>
      <c r="E102" s="1317"/>
      <c r="F102" s="1222"/>
      <c r="G102" s="252" t="s">
        <v>6</v>
      </c>
      <c r="H102" s="365">
        <f>SUM(H90:H101)</f>
        <v>5325189</v>
      </c>
      <c r="I102" s="365">
        <f>SUM(I91:I101)</f>
        <v>5335062</v>
      </c>
      <c r="J102" s="365">
        <f>SUM(J91:J101)</f>
        <v>5568698</v>
      </c>
      <c r="K102" s="1319"/>
      <c r="L102" s="97"/>
      <c r="M102" s="97"/>
      <c r="N102" s="98"/>
    </row>
    <row r="103" spans="1:14" ht="13.5" thickBot="1" x14ac:dyDescent="0.25">
      <c r="A103" s="115" t="s">
        <v>5</v>
      </c>
      <c r="B103" s="9" t="s">
        <v>7</v>
      </c>
      <c r="C103" s="1242" t="s">
        <v>8</v>
      </c>
      <c r="D103" s="1242"/>
      <c r="E103" s="1242"/>
      <c r="F103" s="1242"/>
      <c r="G103" s="1242"/>
      <c r="H103" s="369">
        <f>H102</f>
        <v>5325189</v>
      </c>
      <c r="I103" s="369">
        <f t="shared" ref="I103:J103" si="1">I102</f>
        <v>5335062</v>
      </c>
      <c r="J103" s="369">
        <f t="shared" si="1"/>
        <v>5568698</v>
      </c>
      <c r="K103" s="1334"/>
      <c r="L103" s="1334"/>
      <c r="M103" s="1334"/>
      <c r="N103" s="1335"/>
    </row>
    <row r="104" spans="1:14" ht="13.5" thickBot="1" x14ac:dyDescent="0.25">
      <c r="A104" s="114" t="s">
        <v>5</v>
      </c>
      <c r="B104" s="9" t="s">
        <v>37</v>
      </c>
      <c r="C104" s="1243" t="s">
        <v>43</v>
      </c>
      <c r="D104" s="1244"/>
      <c r="E104" s="1244"/>
      <c r="F104" s="1244"/>
      <c r="G104" s="1244"/>
      <c r="H104" s="1244"/>
      <c r="I104" s="1244"/>
      <c r="J104" s="1244"/>
      <c r="K104" s="1244"/>
      <c r="L104" s="1244"/>
      <c r="M104" s="1244"/>
      <c r="N104" s="1245"/>
    </row>
    <row r="105" spans="1:14" ht="38.25" customHeight="1" x14ac:dyDescent="0.2">
      <c r="A105" s="774" t="s">
        <v>5</v>
      </c>
      <c r="B105" s="775" t="s">
        <v>37</v>
      </c>
      <c r="C105" s="607" t="s">
        <v>5</v>
      </c>
      <c r="D105" s="152" t="s">
        <v>218</v>
      </c>
      <c r="E105" s="505" t="s">
        <v>113</v>
      </c>
      <c r="F105" s="144"/>
      <c r="G105" s="17"/>
      <c r="H105" s="506"/>
      <c r="I105" s="449"/>
      <c r="J105" s="460"/>
      <c r="K105" s="131"/>
      <c r="L105" s="164"/>
      <c r="M105" s="164"/>
      <c r="N105" s="165"/>
    </row>
    <row r="106" spans="1:14" ht="15" customHeight="1" x14ac:dyDescent="0.2">
      <c r="A106" s="753"/>
      <c r="B106" s="755"/>
      <c r="C106" s="608"/>
      <c r="D106" s="1144" t="s">
        <v>98</v>
      </c>
      <c r="E106" s="575"/>
      <c r="F106" s="324" t="s">
        <v>48</v>
      </c>
      <c r="G106" s="122" t="s">
        <v>103</v>
      </c>
      <c r="H106" s="450">
        <f>364.8/3.4528*1000</f>
        <v>105653</v>
      </c>
      <c r="I106" s="403">
        <f>305.5/3.4528*1000</f>
        <v>88479</v>
      </c>
      <c r="J106" s="404">
        <f>305.5/3.4528*1000</f>
        <v>88479</v>
      </c>
      <c r="K106" s="789"/>
      <c r="L106" s="85"/>
      <c r="M106" s="85"/>
      <c r="N106" s="86"/>
    </row>
    <row r="107" spans="1:14" ht="14.25" customHeight="1" x14ac:dyDescent="0.2">
      <c r="A107" s="799"/>
      <c r="B107" s="800"/>
      <c r="C107" s="586"/>
      <c r="D107" s="1145"/>
      <c r="E107" s="587"/>
      <c r="F107" s="326"/>
      <c r="G107" s="588" t="s">
        <v>243</v>
      </c>
      <c r="H107" s="589">
        <v>152311</v>
      </c>
      <c r="I107" s="567">
        <v>145433</v>
      </c>
      <c r="J107" s="590">
        <v>145433</v>
      </c>
      <c r="K107" s="805"/>
      <c r="L107" s="117"/>
      <c r="M107" s="117"/>
      <c r="N107" s="118"/>
    </row>
    <row r="108" spans="1:14" ht="38.25" customHeight="1" x14ac:dyDescent="0.2">
      <c r="A108" s="753"/>
      <c r="B108" s="755"/>
      <c r="C108" s="608"/>
      <c r="D108" s="1135"/>
      <c r="E108" s="581" t="s">
        <v>110</v>
      </c>
      <c r="F108" s="1134"/>
      <c r="G108" s="285"/>
      <c r="H108" s="375"/>
      <c r="I108" s="363"/>
      <c r="J108" s="367"/>
      <c r="K108" s="767" t="s">
        <v>120</v>
      </c>
      <c r="L108" s="499">
        <v>2</v>
      </c>
      <c r="M108" s="499">
        <v>2</v>
      </c>
      <c r="N108" s="534">
        <v>2</v>
      </c>
    </row>
    <row r="109" spans="1:14" ht="25.5" customHeight="1" x14ac:dyDescent="0.2">
      <c r="A109" s="753"/>
      <c r="B109" s="755"/>
      <c r="C109" s="608"/>
      <c r="D109" s="1239"/>
      <c r="E109" s="898"/>
      <c r="F109" s="1240"/>
      <c r="G109" s="18"/>
      <c r="H109" s="375"/>
      <c r="I109" s="363"/>
      <c r="J109" s="367"/>
      <c r="K109" s="793" t="s">
        <v>121</v>
      </c>
      <c r="L109" s="812">
        <v>1</v>
      </c>
      <c r="M109" s="812">
        <v>1</v>
      </c>
      <c r="N109" s="808">
        <v>1</v>
      </c>
    </row>
    <row r="110" spans="1:14" ht="14.25" customHeight="1" x14ac:dyDescent="0.2">
      <c r="A110" s="753"/>
      <c r="B110" s="755"/>
      <c r="C110" s="608"/>
      <c r="D110" s="1239"/>
      <c r="E110" s="898"/>
      <c r="F110" s="751"/>
      <c r="G110" s="209"/>
      <c r="H110" s="538"/>
      <c r="I110" s="393"/>
      <c r="J110" s="394"/>
      <c r="K110" s="123" t="s">
        <v>50</v>
      </c>
      <c r="L110" s="124">
        <v>67</v>
      </c>
      <c r="M110" s="124">
        <v>67</v>
      </c>
      <c r="N110" s="125">
        <v>67</v>
      </c>
    </row>
    <row r="111" spans="1:14" ht="24" customHeight="1" x14ac:dyDescent="0.2">
      <c r="A111" s="753"/>
      <c r="B111" s="755"/>
      <c r="C111" s="608"/>
      <c r="D111" s="759"/>
      <c r="E111" s="899"/>
      <c r="F111" s="758"/>
      <c r="G111" s="579" t="s">
        <v>106</v>
      </c>
      <c r="H111" s="580">
        <v>65825</v>
      </c>
      <c r="I111" s="393"/>
      <c r="J111" s="394"/>
      <c r="K111" s="123" t="s">
        <v>232</v>
      </c>
      <c r="L111" s="578">
        <v>2</v>
      </c>
      <c r="M111" s="124"/>
      <c r="N111" s="125"/>
    </row>
    <row r="112" spans="1:14" ht="13.5" customHeight="1" x14ac:dyDescent="0.2">
      <c r="A112" s="753"/>
      <c r="B112" s="755"/>
      <c r="C112" s="608"/>
      <c r="D112" s="613" t="s">
        <v>99</v>
      </c>
      <c r="E112" s="614"/>
      <c r="F112" s="610"/>
      <c r="G112" s="500" t="s">
        <v>243</v>
      </c>
      <c r="H112" s="507">
        <v>174911</v>
      </c>
      <c r="I112" s="501">
        <v>145431</v>
      </c>
      <c r="J112" s="508">
        <v>145431</v>
      </c>
      <c r="K112" s="793" t="s">
        <v>128</v>
      </c>
      <c r="L112" s="119">
        <v>0.5</v>
      </c>
      <c r="M112" s="119">
        <v>0.5</v>
      </c>
      <c r="N112" s="120">
        <v>0.5</v>
      </c>
    </row>
    <row r="113" spans="1:14" ht="13.5" customHeight="1" x14ac:dyDescent="0.2">
      <c r="A113" s="753"/>
      <c r="B113" s="755"/>
      <c r="C113" s="608"/>
      <c r="D113" s="759"/>
      <c r="E113" s="615"/>
      <c r="F113" s="751"/>
      <c r="G113" s="96"/>
      <c r="H113" s="371"/>
      <c r="I113" s="357"/>
      <c r="J113" s="399"/>
      <c r="K113" s="793" t="s">
        <v>245</v>
      </c>
      <c r="L113" s="119" t="s">
        <v>84</v>
      </c>
      <c r="M113" s="119"/>
      <c r="N113" s="120"/>
    </row>
    <row r="114" spans="1:14" ht="42" customHeight="1" x14ac:dyDescent="0.2">
      <c r="A114" s="753"/>
      <c r="B114" s="755"/>
      <c r="C114" s="608"/>
      <c r="D114" s="316" t="s">
        <v>226</v>
      </c>
      <c r="E114" s="338" t="s">
        <v>66</v>
      </c>
      <c r="F114" s="339" t="s">
        <v>61</v>
      </c>
      <c r="G114" s="22" t="s">
        <v>243</v>
      </c>
      <c r="H114" s="694">
        <v>0</v>
      </c>
      <c r="I114" s="451">
        <f>243/3.4528*1000</f>
        <v>70378</v>
      </c>
      <c r="J114" s="452"/>
      <c r="K114" s="1048" t="s">
        <v>231</v>
      </c>
      <c r="L114" s="139"/>
      <c r="M114" s="1047" t="s">
        <v>267</v>
      </c>
      <c r="N114" s="303"/>
    </row>
    <row r="115" spans="1:14" ht="27" customHeight="1" x14ac:dyDescent="0.2">
      <c r="A115" s="753"/>
      <c r="B115" s="755"/>
      <c r="C115" s="608"/>
      <c r="D115" s="1141" t="s">
        <v>215</v>
      </c>
      <c r="E115" s="801"/>
      <c r="F115" s="354" t="s">
        <v>48</v>
      </c>
      <c r="G115" s="22" t="s">
        <v>35</v>
      </c>
      <c r="H115" s="370">
        <f>18/3.4528*1000</f>
        <v>5213</v>
      </c>
      <c r="I115" s="451">
        <f>20/3.4528*1000</f>
        <v>5792</v>
      </c>
      <c r="J115" s="453">
        <f>20/3.4528*1000</f>
        <v>5792</v>
      </c>
      <c r="K115" s="355" t="s">
        <v>145</v>
      </c>
      <c r="L115" s="145">
        <v>3</v>
      </c>
      <c r="M115" s="145">
        <v>3</v>
      </c>
      <c r="N115" s="146" t="s">
        <v>146</v>
      </c>
    </row>
    <row r="116" spans="1:14" ht="23.25" customHeight="1" thickBot="1" x14ac:dyDescent="0.25">
      <c r="A116" s="753"/>
      <c r="B116" s="755"/>
      <c r="C116" s="608"/>
      <c r="D116" s="1241"/>
      <c r="E116" s="761"/>
      <c r="F116" s="762"/>
      <c r="G116" s="293" t="s">
        <v>6</v>
      </c>
      <c r="H116" s="454">
        <f>SUM(H105:H115)</f>
        <v>503913</v>
      </c>
      <c r="I116" s="365">
        <f>SUM(I105:I115)</f>
        <v>455513</v>
      </c>
      <c r="J116" s="454">
        <f>SUM(J105:J115)</f>
        <v>385135</v>
      </c>
      <c r="K116" s="789"/>
      <c r="L116" s="499"/>
      <c r="M116" s="85"/>
      <c r="N116" s="86"/>
    </row>
    <row r="117" spans="1:14" ht="15.75" customHeight="1" x14ac:dyDescent="0.2">
      <c r="A117" s="1208" t="s">
        <v>5</v>
      </c>
      <c r="B117" s="1218" t="s">
        <v>37</v>
      </c>
      <c r="C117" s="1220" t="s">
        <v>7</v>
      </c>
      <c r="D117" s="1228" t="s">
        <v>51</v>
      </c>
      <c r="E117" s="784"/>
      <c r="F117" s="142" t="s">
        <v>48</v>
      </c>
      <c r="G117" s="228" t="s">
        <v>103</v>
      </c>
      <c r="H117" s="1002">
        <f>501101+15519</f>
        <v>516620</v>
      </c>
      <c r="I117" s="373">
        <f>1730.3/3.4528*1000</f>
        <v>501130</v>
      </c>
      <c r="J117" s="374">
        <f>1780.3/3.4528*1000</f>
        <v>515611</v>
      </c>
      <c r="K117" s="798" t="s">
        <v>73</v>
      </c>
      <c r="L117" s="809">
        <v>155</v>
      </c>
      <c r="M117" s="809">
        <v>160</v>
      </c>
      <c r="N117" s="811">
        <v>160</v>
      </c>
    </row>
    <row r="118" spans="1:14" ht="25.5" x14ac:dyDescent="0.2">
      <c r="A118" s="1136"/>
      <c r="B118" s="1128"/>
      <c r="C118" s="1129"/>
      <c r="D118" s="1239"/>
      <c r="E118" s="772"/>
      <c r="F118" s="141"/>
      <c r="G118" s="509" t="s">
        <v>106</v>
      </c>
      <c r="H118" s="507">
        <v>6482</v>
      </c>
      <c r="I118" s="501"/>
      <c r="J118" s="508"/>
      <c r="K118" s="149" t="s">
        <v>130</v>
      </c>
      <c r="L118" s="220">
        <v>487</v>
      </c>
      <c r="M118" s="220">
        <v>500</v>
      </c>
      <c r="N118" s="221">
        <v>500</v>
      </c>
    </row>
    <row r="119" spans="1:14" ht="25.5" x14ac:dyDescent="0.2">
      <c r="A119" s="1136"/>
      <c r="B119" s="1128"/>
      <c r="C119" s="1129"/>
      <c r="D119" s="770"/>
      <c r="E119" s="772"/>
      <c r="F119" s="141"/>
      <c r="G119" s="285"/>
      <c r="H119" s="375"/>
      <c r="I119" s="363"/>
      <c r="J119" s="367"/>
      <c r="K119" s="284" t="s">
        <v>129</v>
      </c>
      <c r="L119" s="280">
        <v>3</v>
      </c>
      <c r="M119" s="280">
        <v>3</v>
      </c>
      <c r="N119" s="286">
        <v>3</v>
      </c>
    </row>
    <row r="120" spans="1:14" ht="25.5" x14ac:dyDescent="0.2">
      <c r="A120" s="1136"/>
      <c r="B120" s="1128"/>
      <c r="C120" s="1129"/>
      <c r="D120" s="770"/>
      <c r="E120" s="772"/>
      <c r="F120" s="141"/>
      <c r="G120" s="285"/>
      <c r="H120" s="375"/>
      <c r="I120" s="455"/>
      <c r="J120" s="438"/>
      <c r="K120" s="284" t="s">
        <v>204</v>
      </c>
      <c r="L120" s="287">
        <v>770</v>
      </c>
      <c r="M120" s="287">
        <v>280</v>
      </c>
      <c r="N120" s="288">
        <v>280</v>
      </c>
    </row>
    <row r="121" spans="1:14" ht="38.25" x14ac:dyDescent="0.2">
      <c r="A121" s="1136"/>
      <c r="B121" s="1128"/>
      <c r="C121" s="1129"/>
      <c r="D121" s="770"/>
      <c r="E121" s="772"/>
      <c r="F121" s="141"/>
      <c r="G121" s="121"/>
      <c r="H121" s="375"/>
      <c r="I121" s="455"/>
      <c r="J121" s="438"/>
      <c r="K121" s="116" t="s">
        <v>143</v>
      </c>
      <c r="L121" s="136">
        <v>1</v>
      </c>
      <c r="M121" s="260"/>
      <c r="N121" s="261"/>
    </row>
    <row r="122" spans="1:14" ht="14.25" customHeight="1" thickBot="1" x14ac:dyDescent="0.25">
      <c r="A122" s="1209"/>
      <c r="B122" s="1219"/>
      <c r="C122" s="1221"/>
      <c r="D122" s="771"/>
      <c r="E122" s="773"/>
      <c r="F122" s="294"/>
      <c r="G122" s="101" t="s">
        <v>6</v>
      </c>
      <c r="H122" s="456">
        <f>SUM(H117:H121)</f>
        <v>523102</v>
      </c>
      <c r="I122" s="365">
        <f t="shared" ref="I122:J122" si="2">SUM(I117:I121)</f>
        <v>501130</v>
      </c>
      <c r="J122" s="456">
        <f t="shared" si="2"/>
        <v>515611</v>
      </c>
      <c r="K122" s="794"/>
      <c r="L122" s="257"/>
      <c r="M122" s="900"/>
      <c r="N122" s="901"/>
    </row>
    <row r="123" spans="1:14" ht="25.5" customHeight="1" x14ac:dyDescent="0.2">
      <c r="A123" s="1208" t="s">
        <v>5</v>
      </c>
      <c r="B123" s="1218" t="s">
        <v>37</v>
      </c>
      <c r="C123" s="1220" t="s">
        <v>37</v>
      </c>
      <c r="D123" s="1342" t="s">
        <v>132</v>
      </c>
      <c r="E123" s="781" t="s">
        <v>66</v>
      </c>
      <c r="F123" s="783" t="s">
        <v>48</v>
      </c>
      <c r="G123" s="48" t="s">
        <v>103</v>
      </c>
      <c r="H123" s="1003">
        <f>57924-17189</f>
        <v>40735</v>
      </c>
      <c r="I123" s="457">
        <f>800/3.4528*1000</f>
        <v>231696</v>
      </c>
      <c r="J123" s="458">
        <f>500/3.4528*1000</f>
        <v>144810</v>
      </c>
      <c r="K123" s="798" t="s">
        <v>135</v>
      </c>
      <c r="L123" s="340">
        <v>1</v>
      </c>
      <c r="M123" s="340"/>
      <c r="N123" s="533"/>
    </row>
    <row r="124" spans="1:14" x14ac:dyDescent="0.2">
      <c r="A124" s="1136"/>
      <c r="B124" s="1128"/>
      <c r="C124" s="1129"/>
      <c r="D124" s="1343"/>
      <c r="E124" s="1345" t="s">
        <v>111</v>
      </c>
      <c r="F124" s="751"/>
      <c r="G124" s="18"/>
      <c r="H124" s="375"/>
      <c r="I124" s="455"/>
      <c r="J124" s="426"/>
      <c r="K124" s="149" t="s">
        <v>136</v>
      </c>
      <c r="L124" s="220"/>
      <c r="M124" s="220">
        <v>50</v>
      </c>
      <c r="N124" s="221">
        <v>50</v>
      </c>
    </row>
    <row r="125" spans="1:14" ht="25.5" x14ac:dyDescent="0.2">
      <c r="A125" s="1136"/>
      <c r="B125" s="1128"/>
      <c r="C125" s="1129"/>
      <c r="D125" s="1343"/>
      <c r="E125" s="1346"/>
      <c r="F125" s="751"/>
      <c r="G125" s="18"/>
      <c r="H125" s="375"/>
      <c r="I125" s="455"/>
      <c r="J125" s="426"/>
      <c r="K125" s="149" t="s">
        <v>137</v>
      </c>
      <c r="L125" s="583">
        <v>2</v>
      </c>
      <c r="M125" s="220"/>
      <c r="N125" s="221"/>
    </row>
    <row r="126" spans="1:14" x14ac:dyDescent="0.2">
      <c r="A126" s="1136"/>
      <c r="B126" s="1128"/>
      <c r="C126" s="1129"/>
      <c r="D126" s="1343"/>
      <c r="E126" s="782"/>
      <c r="F126" s="751"/>
      <c r="G126" s="96"/>
      <c r="H126" s="371"/>
      <c r="I126" s="421"/>
      <c r="J126" s="459"/>
      <c r="K126" s="510" t="s">
        <v>138</v>
      </c>
      <c r="L126" s="584">
        <v>1</v>
      </c>
      <c r="M126" s="511"/>
      <c r="N126" s="512"/>
    </row>
    <row r="127" spans="1:14" ht="13.5" thickBot="1" x14ac:dyDescent="0.25">
      <c r="A127" s="1209"/>
      <c r="B127" s="1219"/>
      <c r="C127" s="1221"/>
      <c r="D127" s="1344"/>
      <c r="E127" s="133"/>
      <c r="F127" s="779"/>
      <c r="G127" s="101" t="s">
        <v>6</v>
      </c>
      <c r="H127" s="456">
        <f>H123+H124</f>
        <v>40735</v>
      </c>
      <c r="I127" s="365">
        <f>SUM(I123:I126)</f>
        <v>231696</v>
      </c>
      <c r="J127" s="366">
        <f>SUM(J123:J126)</f>
        <v>144810</v>
      </c>
      <c r="K127" s="128"/>
      <c r="L127" s="585"/>
      <c r="M127" s="97"/>
      <c r="N127" s="98"/>
    </row>
    <row r="128" spans="1:14" ht="25.5" x14ac:dyDescent="0.2">
      <c r="A128" s="753" t="s">
        <v>5</v>
      </c>
      <c r="B128" s="755" t="s">
        <v>37</v>
      </c>
      <c r="C128" s="756" t="s">
        <v>42</v>
      </c>
      <c r="D128" s="179" t="s">
        <v>176</v>
      </c>
      <c r="E128" s="782"/>
      <c r="F128" s="751"/>
      <c r="G128" s="96"/>
      <c r="H128" s="398"/>
      <c r="I128" s="357"/>
      <c r="J128" s="358"/>
      <c r="K128" s="768"/>
      <c r="L128" s="110"/>
      <c r="M128" s="110"/>
      <c r="N128" s="111"/>
    </row>
    <row r="129" spans="1:16" ht="25.5" x14ac:dyDescent="0.2">
      <c r="A129" s="754"/>
      <c r="B129" s="755"/>
      <c r="C129" s="756"/>
      <c r="D129" s="513" t="s">
        <v>264</v>
      </c>
      <c r="E129" s="514"/>
      <c r="F129" s="515" t="s">
        <v>48</v>
      </c>
      <c r="G129" s="516" t="s">
        <v>103</v>
      </c>
      <c r="H129" s="414">
        <f>20/3.4528*1000</f>
        <v>5792</v>
      </c>
      <c r="I129" s="419"/>
      <c r="J129" s="420"/>
      <c r="K129" s="517" t="s">
        <v>171</v>
      </c>
      <c r="L129" s="518">
        <v>1</v>
      </c>
      <c r="M129" s="519"/>
      <c r="N129" s="520"/>
    </row>
    <row r="130" spans="1:16" ht="28.5" customHeight="1" x14ac:dyDescent="0.2">
      <c r="A130" s="754"/>
      <c r="B130" s="755"/>
      <c r="C130" s="756"/>
      <c r="D130" s="1147" t="s">
        <v>255</v>
      </c>
      <c r="E130" s="1249" t="s">
        <v>167</v>
      </c>
      <c r="F130" s="1140" t="s">
        <v>48</v>
      </c>
      <c r="G130" s="500" t="s">
        <v>103</v>
      </c>
      <c r="H130" s="985">
        <v>0</v>
      </c>
      <c r="I130" s="501">
        <v>166962</v>
      </c>
      <c r="J130" s="508">
        <v>166962</v>
      </c>
      <c r="K130" s="792" t="s">
        <v>240</v>
      </c>
      <c r="L130" s="206">
        <v>3</v>
      </c>
      <c r="M130" s="499">
        <v>7</v>
      </c>
      <c r="N130" s="534">
        <v>7</v>
      </c>
    </row>
    <row r="131" spans="1:16" ht="30" customHeight="1" x14ac:dyDescent="0.2">
      <c r="A131" s="754"/>
      <c r="B131" s="755"/>
      <c r="C131" s="756"/>
      <c r="D131" s="1147"/>
      <c r="E131" s="1249"/>
      <c r="F131" s="1134"/>
      <c r="G131" s="18"/>
      <c r="H131" s="400"/>
      <c r="I131" s="363"/>
      <c r="J131" s="367"/>
      <c r="K131" s="792" t="s">
        <v>241</v>
      </c>
      <c r="L131" s="206">
        <v>3</v>
      </c>
      <c r="M131" s="499">
        <v>7</v>
      </c>
      <c r="N131" s="534">
        <v>7</v>
      </c>
    </row>
    <row r="132" spans="1:16" ht="14.25" customHeight="1" x14ac:dyDescent="0.2">
      <c r="A132" s="754"/>
      <c r="B132" s="755"/>
      <c r="C132" s="756"/>
      <c r="D132" s="1147"/>
      <c r="E132" s="1249"/>
      <c r="F132" s="1132"/>
      <c r="G132" s="18"/>
      <c r="H132" s="400"/>
      <c r="I132" s="425"/>
      <c r="J132" s="438"/>
      <c r="K132" s="1347" t="s">
        <v>242</v>
      </c>
      <c r="L132" s="206">
        <v>3</v>
      </c>
      <c r="M132" s="262">
        <v>7</v>
      </c>
      <c r="N132" s="534">
        <v>7</v>
      </c>
    </row>
    <row r="133" spans="1:16" ht="16.5" customHeight="1" thickBot="1" x14ac:dyDescent="0.25">
      <c r="A133" s="754"/>
      <c r="B133" s="755"/>
      <c r="C133" s="756"/>
      <c r="D133" s="1217"/>
      <c r="E133" s="1250"/>
      <c r="F133" s="751"/>
      <c r="G133" s="101" t="s">
        <v>6</v>
      </c>
      <c r="H133" s="415">
        <f>SUM(H129:H132)</f>
        <v>5792</v>
      </c>
      <c r="I133" s="365">
        <f>SUM(I128:I132)</f>
        <v>166962</v>
      </c>
      <c r="J133" s="365">
        <f>SUM(J128:J132)</f>
        <v>166962</v>
      </c>
      <c r="K133" s="1256"/>
      <c r="L133" s="499"/>
      <c r="M133" s="499"/>
      <c r="N133" s="534"/>
    </row>
    <row r="134" spans="1:16" ht="15.75" customHeight="1" x14ac:dyDescent="0.2">
      <c r="A134" s="1208" t="s">
        <v>5</v>
      </c>
      <c r="B134" s="1218" t="s">
        <v>37</v>
      </c>
      <c r="C134" s="1220" t="s">
        <v>44</v>
      </c>
      <c r="D134" s="1228" t="s">
        <v>68</v>
      </c>
      <c r="E134" s="1229" t="s">
        <v>108</v>
      </c>
      <c r="F134" s="1232" t="s">
        <v>84</v>
      </c>
      <c r="G134" s="48" t="s">
        <v>35</v>
      </c>
      <c r="H134" s="521">
        <f>98471-33546</f>
        <v>64925</v>
      </c>
      <c r="I134" s="522">
        <f>98471</f>
        <v>98471</v>
      </c>
      <c r="J134" s="523">
        <f>140/3.4528*1000</f>
        <v>40547</v>
      </c>
      <c r="K134" s="14" t="s">
        <v>102</v>
      </c>
      <c r="L134" s="340">
        <v>18</v>
      </c>
      <c r="M134" s="340">
        <v>18</v>
      </c>
      <c r="N134" s="533">
        <v>18</v>
      </c>
    </row>
    <row r="135" spans="1:16" ht="13.5" customHeight="1" x14ac:dyDescent="0.2">
      <c r="A135" s="1136"/>
      <c r="B135" s="1128"/>
      <c r="C135" s="1129"/>
      <c r="D135" s="1213"/>
      <c r="E135" s="1230"/>
      <c r="F135" s="1134"/>
      <c r="G135" s="330"/>
      <c r="H135" s="398"/>
      <c r="I135" s="357"/>
      <c r="J135" s="358"/>
      <c r="K135" s="1348" t="s">
        <v>131</v>
      </c>
      <c r="L135" s="499">
        <v>5</v>
      </c>
      <c r="M135" s="499">
        <v>5</v>
      </c>
      <c r="N135" s="534">
        <v>5</v>
      </c>
    </row>
    <row r="136" spans="1:16" ht="13.5" thickBot="1" x14ac:dyDescent="0.25">
      <c r="A136" s="1209"/>
      <c r="B136" s="1219"/>
      <c r="C136" s="1221"/>
      <c r="D136" s="1214"/>
      <c r="E136" s="1231"/>
      <c r="F136" s="1222"/>
      <c r="G136" s="101" t="s">
        <v>6</v>
      </c>
      <c r="H136" s="415">
        <f>SUM(H134:H135)</f>
        <v>64925</v>
      </c>
      <c r="I136" s="365">
        <f t="shared" ref="I136:J136" si="3">SUM(I134:I135)</f>
        <v>98471</v>
      </c>
      <c r="J136" s="368">
        <f t="shared" si="3"/>
        <v>40547</v>
      </c>
      <c r="K136" s="1349"/>
      <c r="L136" s="97"/>
      <c r="M136" s="97"/>
      <c r="N136" s="98"/>
    </row>
    <row r="137" spans="1:16" ht="15" customHeight="1" x14ac:dyDescent="0.2">
      <c r="A137" s="1208" t="s">
        <v>5</v>
      </c>
      <c r="B137" s="1218" t="s">
        <v>37</v>
      </c>
      <c r="C137" s="1220" t="s">
        <v>46</v>
      </c>
      <c r="D137" s="1228" t="s">
        <v>78</v>
      </c>
      <c r="E137" s="1229" t="s">
        <v>66</v>
      </c>
      <c r="F137" s="1232" t="s">
        <v>61</v>
      </c>
      <c r="G137" s="239" t="s">
        <v>243</v>
      </c>
      <c r="H137" s="705">
        <f>72405-64317</f>
        <v>8088</v>
      </c>
      <c r="I137" s="373">
        <f>300/3.4528*1000</f>
        <v>86886</v>
      </c>
      <c r="J137" s="374"/>
      <c r="K137" s="524" t="s">
        <v>156</v>
      </c>
      <c r="L137" s="525">
        <v>1</v>
      </c>
      <c r="M137" s="525"/>
      <c r="N137" s="526"/>
    </row>
    <row r="138" spans="1:16" ht="14.25" customHeight="1" x14ac:dyDescent="0.2">
      <c r="A138" s="1136"/>
      <c r="B138" s="1128"/>
      <c r="C138" s="1129"/>
      <c r="D138" s="1213"/>
      <c r="E138" s="1230"/>
      <c r="F138" s="1134"/>
      <c r="G138" s="330" t="s">
        <v>103</v>
      </c>
      <c r="H138" s="400">
        <f>50/3.4528*1000</f>
        <v>14481</v>
      </c>
      <c r="I138" s="363">
        <f>50/3.4528*1000</f>
        <v>14481</v>
      </c>
      <c r="J138" s="367"/>
      <c r="K138" s="797" t="s">
        <v>83</v>
      </c>
      <c r="L138" s="85"/>
      <c r="M138" s="85">
        <v>10</v>
      </c>
      <c r="N138" s="86"/>
    </row>
    <row r="139" spans="1:16" ht="13.5" customHeight="1" thickBot="1" x14ac:dyDescent="0.25">
      <c r="A139" s="1209"/>
      <c r="B139" s="1219"/>
      <c r="C139" s="1221"/>
      <c r="D139" s="1214"/>
      <c r="E139" s="1231"/>
      <c r="F139" s="1222"/>
      <c r="G139" s="101" t="s">
        <v>6</v>
      </c>
      <c r="H139" s="415">
        <f>H137+H138</f>
        <v>22569</v>
      </c>
      <c r="I139" s="415">
        <f t="shared" ref="I139:J139" si="4">I137+I138</f>
        <v>101367</v>
      </c>
      <c r="J139" s="415">
        <f t="shared" si="4"/>
        <v>0</v>
      </c>
      <c r="K139" s="87"/>
      <c r="L139" s="88"/>
      <c r="M139" s="88"/>
      <c r="N139" s="89"/>
    </row>
    <row r="140" spans="1:16" ht="29.25" x14ac:dyDescent="0.2">
      <c r="A140" s="774" t="s">
        <v>5</v>
      </c>
      <c r="B140" s="775" t="s">
        <v>37</v>
      </c>
      <c r="C140" s="777" t="s">
        <v>47</v>
      </c>
      <c r="D140" s="230" t="s">
        <v>172</v>
      </c>
      <c r="E140" s="296" t="s">
        <v>111</v>
      </c>
      <c r="F140" s="231"/>
      <c r="G140" s="17"/>
      <c r="H140" s="540"/>
      <c r="I140" s="449"/>
      <c r="J140" s="449"/>
      <c r="K140" s="810"/>
      <c r="L140" s="340"/>
      <c r="M140" s="340"/>
      <c r="N140" s="533"/>
    </row>
    <row r="141" spans="1:16" ht="12.75" customHeight="1" x14ac:dyDescent="0.2">
      <c r="A141" s="753"/>
      <c r="B141" s="755"/>
      <c r="C141" s="756"/>
      <c r="D141" s="1146" t="s">
        <v>227</v>
      </c>
      <c r="E141" s="763" t="s">
        <v>66</v>
      </c>
      <c r="F141" s="1132" t="s">
        <v>61</v>
      </c>
      <c r="G141" s="122" t="s">
        <v>103</v>
      </c>
      <c r="H141" s="541">
        <f>30/3.4528*1000</f>
        <v>8689</v>
      </c>
      <c r="I141" s="403">
        <f>45.4/3.4528*1000</f>
        <v>13149</v>
      </c>
      <c r="J141" s="403"/>
      <c r="K141" s="229" t="s">
        <v>156</v>
      </c>
      <c r="L141" s="157">
        <v>1</v>
      </c>
      <c r="M141" s="157"/>
      <c r="N141" s="158"/>
    </row>
    <row r="142" spans="1:16" ht="12.75" customHeight="1" x14ac:dyDescent="0.2">
      <c r="A142" s="753"/>
      <c r="B142" s="755"/>
      <c r="C142" s="756"/>
      <c r="D142" s="1147"/>
      <c r="E142" s="782"/>
      <c r="F142" s="1134"/>
      <c r="G142" s="209" t="s">
        <v>243</v>
      </c>
      <c r="H142" s="998">
        <f>54684-50684-3543</f>
        <v>457</v>
      </c>
      <c r="I142" s="393"/>
      <c r="J142" s="393"/>
      <c r="K142" s="222" t="s">
        <v>260</v>
      </c>
      <c r="L142" s="154">
        <v>20</v>
      </c>
      <c r="M142" s="154">
        <v>100</v>
      </c>
      <c r="N142" s="604"/>
    </row>
    <row r="143" spans="1:16" x14ac:dyDescent="0.2">
      <c r="A143" s="753"/>
      <c r="B143" s="755"/>
      <c r="C143" s="756"/>
      <c r="D143" s="1147"/>
      <c r="E143" s="391"/>
      <c r="F143" s="1134"/>
      <c r="G143" s="209" t="s">
        <v>243</v>
      </c>
      <c r="H143" s="542">
        <v>72410</v>
      </c>
      <c r="I143" s="1041">
        <f>1300/3.4528*1000</f>
        <v>376506</v>
      </c>
      <c r="J143" s="396"/>
      <c r="K143" s="627"/>
      <c r="L143" s="599"/>
      <c r="M143" s="599"/>
      <c r="N143" s="628"/>
    </row>
    <row r="144" spans="1:16" x14ac:dyDescent="0.2">
      <c r="A144" s="753"/>
      <c r="B144" s="755"/>
      <c r="C144" s="756"/>
      <c r="D144" s="1147"/>
      <c r="E144" s="391"/>
      <c r="F144" s="1134"/>
      <c r="G144" s="96" t="s">
        <v>63</v>
      </c>
      <c r="H144" s="543">
        <f>163.5/3.4528*1000</f>
        <v>47353</v>
      </c>
      <c r="I144" s="421"/>
      <c r="J144" s="462"/>
      <c r="K144" s="109"/>
      <c r="L144" s="66"/>
      <c r="M144" s="66"/>
      <c r="N144" s="390"/>
      <c r="O144" s="562"/>
      <c r="P144" s="562"/>
    </row>
    <row r="145" spans="1:15" ht="28.5" customHeight="1" x14ac:dyDescent="0.2">
      <c r="A145" s="754"/>
      <c r="B145" s="755"/>
      <c r="C145" s="756"/>
      <c r="D145" s="1146" t="s">
        <v>252</v>
      </c>
      <c r="E145" s="763" t="s">
        <v>66</v>
      </c>
      <c r="F145" s="757" t="s">
        <v>48</v>
      </c>
      <c r="G145" s="134" t="s">
        <v>103</v>
      </c>
      <c r="H145" s="1040">
        <f>147078-67842</f>
        <v>79236</v>
      </c>
      <c r="I145" s="1029">
        <f>350/3.4528*1000</f>
        <v>101367</v>
      </c>
      <c r="J145" s="1029">
        <f>350/3.4528*1000</f>
        <v>101367</v>
      </c>
      <c r="K145" s="925" t="s">
        <v>261</v>
      </c>
      <c r="L145" s="926">
        <v>19</v>
      </c>
      <c r="M145" s="527"/>
      <c r="N145" s="528"/>
    </row>
    <row r="146" spans="1:15" ht="27.75" customHeight="1" thickBot="1" x14ac:dyDescent="0.25">
      <c r="A146" s="769"/>
      <c r="B146" s="776"/>
      <c r="C146" s="778"/>
      <c r="D146" s="1251"/>
      <c r="E146" s="902"/>
      <c r="F146" s="267"/>
      <c r="G146" s="556" t="s">
        <v>6</v>
      </c>
      <c r="H146" s="545">
        <f>SUM(H140:H145)</f>
        <v>208145</v>
      </c>
      <c r="I146" s="361">
        <f>SUM(I140:I145)</f>
        <v>491022</v>
      </c>
      <c r="J146" s="361">
        <f>SUM(J140:J145)</f>
        <v>101367</v>
      </c>
      <c r="K146" s="116" t="s">
        <v>219</v>
      </c>
      <c r="L146" s="325" t="s">
        <v>146</v>
      </c>
      <c r="M146" s="269"/>
      <c r="N146" s="270"/>
    </row>
    <row r="147" spans="1:15" ht="12.75" customHeight="1" x14ac:dyDescent="0.2">
      <c r="A147" s="774" t="s">
        <v>5</v>
      </c>
      <c r="B147" s="59" t="s">
        <v>37</v>
      </c>
      <c r="C147" s="1220" t="s">
        <v>170</v>
      </c>
      <c r="D147" s="1337" t="s">
        <v>88</v>
      </c>
      <c r="E147" s="1339"/>
      <c r="F147" s="1232" t="s">
        <v>48</v>
      </c>
      <c r="G147" s="17" t="s">
        <v>243</v>
      </c>
      <c r="H147" s="378">
        <v>93571</v>
      </c>
      <c r="I147" s="573">
        <f>100.3/3.4528*1000</f>
        <v>29049</v>
      </c>
      <c r="J147" s="574">
        <f>100.3/3.4528*1000</f>
        <v>29049</v>
      </c>
      <c r="K147" s="577" t="s">
        <v>89</v>
      </c>
      <c r="L147" s="616">
        <v>12</v>
      </c>
      <c r="M147" s="616">
        <v>5</v>
      </c>
      <c r="N147" s="533">
        <v>5</v>
      </c>
    </row>
    <row r="148" spans="1:15" ht="12.75" customHeight="1" x14ac:dyDescent="0.2">
      <c r="A148" s="753"/>
      <c r="B148" s="572"/>
      <c r="C148" s="1129"/>
      <c r="D148" s="1325"/>
      <c r="E148" s="1340"/>
      <c r="F148" s="1134"/>
      <c r="G148" s="576" t="s">
        <v>106</v>
      </c>
      <c r="H148" s="360"/>
      <c r="I148" s="438"/>
      <c r="J148" s="438"/>
      <c r="K148" s="793"/>
      <c r="L148" s="262"/>
      <c r="M148" s="262"/>
      <c r="N148" s="534"/>
    </row>
    <row r="149" spans="1:15" ht="13.5" thickBot="1" x14ac:dyDescent="0.25">
      <c r="A149" s="769"/>
      <c r="B149" s="60"/>
      <c r="C149" s="1221"/>
      <c r="D149" s="1338"/>
      <c r="E149" s="1341"/>
      <c r="F149" s="1222"/>
      <c r="G149" s="103" t="s">
        <v>6</v>
      </c>
      <c r="H149" s="365">
        <f>SUM(H147:H148)</f>
        <v>93571</v>
      </c>
      <c r="I149" s="368">
        <f t="shared" ref="I149:J149" si="5">I147</f>
        <v>29049</v>
      </c>
      <c r="J149" s="368">
        <f t="shared" si="5"/>
        <v>29049</v>
      </c>
      <c r="K149" s="16"/>
      <c r="L149" s="263"/>
      <c r="M149" s="263"/>
      <c r="N149" s="98"/>
    </row>
    <row r="150" spans="1:15" ht="13.5" thickBot="1" x14ac:dyDescent="0.25">
      <c r="A150" s="115" t="s">
        <v>5</v>
      </c>
      <c r="B150" s="9" t="s">
        <v>37</v>
      </c>
      <c r="C150" s="1242" t="s">
        <v>8</v>
      </c>
      <c r="D150" s="1242"/>
      <c r="E150" s="1242"/>
      <c r="F150" s="1242"/>
      <c r="G150" s="1336"/>
      <c r="H150" s="376">
        <f>H149+H146+H139+H136+H133+H127+H122+H116</f>
        <v>1462752</v>
      </c>
      <c r="I150" s="376">
        <f>I149+I146+I139+I136+I133+I127+I122+I116</f>
        <v>2075210</v>
      </c>
      <c r="J150" s="376">
        <f>J149+J146+J139+J136+J133+J127+J122+J116</f>
        <v>1383481</v>
      </c>
      <c r="K150" s="1350"/>
      <c r="L150" s="1334"/>
      <c r="M150" s="1334"/>
      <c r="N150" s="1335"/>
    </row>
    <row r="151" spans="1:15" ht="15" customHeight="1" thickBot="1" x14ac:dyDescent="0.25">
      <c r="A151" s="114" t="s">
        <v>5</v>
      </c>
      <c r="B151" s="9" t="s">
        <v>42</v>
      </c>
      <c r="C151" s="1243" t="s">
        <v>45</v>
      </c>
      <c r="D151" s="1244"/>
      <c r="E151" s="1244"/>
      <c r="F151" s="1244"/>
      <c r="G151" s="1244"/>
      <c r="H151" s="1244"/>
      <c r="I151" s="1244"/>
      <c r="J151" s="1244"/>
      <c r="K151" s="1244"/>
      <c r="L151" s="1244"/>
      <c r="M151" s="1244"/>
      <c r="N151" s="1245"/>
    </row>
    <row r="152" spans="1:15" ht="25.5" x14ac:dyDescent="0.2">
      <c r="A152" s="774" t="s">
        <v>5</v>
      </c>
      <c r="B152" s="775" t="s">
        <v>42</v>
      </c>
      <c r="C152" s="494" t="s">
        <v>5</v>
      </c>
      <c r="D152" s="152" t="s">
        <v>142</v>
      </c>
      <c r="E152" s="143"/>
      <c r="F152" s="144"/>
      <c r="G152" s="17"/>
      <c r="H152" s="463"/>
      <c r="I152" s="464"/>
      <c r="J152" s="955"/>
      <c r="K152" s="131"/>
      <c r="L152" s="130"/>
      <c r="M152" s="130"/>
      <c r="N152" s="132"/>
    </row>
    <row r="153" spans="1:15" ht="39" customHeight="1" thickBot="1" x14ac:dyDescent="0.25">
      <c r="A153" s="769"/>
      <c r="B153" s="776"/>
      <c r="C153" s="233"/>
      <c r="D153" s="617" t="s">
        <v>144</v>
      </c>
      <c r="E153" s="773"/>
      <c r="F153" s="779" t="s">
        <v>61</v>
      </c>
      <c r="G153" s="618" t="s">
        <v>243</v>
      </c>
      <c r="H153" s="706">
        <f>2896-1896</f>
        <v>1000</v>
      </c>
      <c r="I153" s="620">
        <f>10/3.4528*1000</f>
        <v>2896</v>
      </c>
      <c r="J153" s="956">
        <f>10/3.4528*1000</f>
        <v>2896</v>
      </c>
      <c r="K153" s="621" t="s">
        <v>157</v>
      </c>
      <c r="L153" s="622">
        <v>100</v>
      </c>
      <c r="M153" s="622">
        <v>100</v>
      </c>
      <c r="N153" s="623">
        <v>100</v>
      </c>
    </row>
    <row r="154" spans="1:15" ht="16.5" customHeight="1" x14ac:dyDescent="0.2">
      <c r="A154" s="753"/>
      <c r="B154" s="755"/>
      <c r="C154" s="232"/>
      <c r="D154" s="770" t="s">
        <v>251</v>
      </c>
      <c r="E154" s="772"/>
      <c r="F154" s="751" t="s">
        <v>48</v>
      </c>
      <c r="G154" s="18" t="s">
        <v>243</v>
      </c>
      <c r="H154" s="951">
        <f>795451-32991</f>
        <v>762460</v>
      </c>
      <c r="I154" s="466">
        <f>1200/3.4528*1000</f>
        <v>347544</v>
      </c>
      <c r="J154" s="476">
        <f>1200/3.4528*1000</f>
        <v>347544</v>
      </c>
      <c r="K154" s="767" t="s">
        <v>248</v>
      </c>
      <c r="L154" s="236">
        <v>3.5</v>
      </c>
      <c r="M154" s="236">
        <v>2.5</v>
      </c>
      <c r="N154" s="237">
        <v>2.5</v>
      </c>
      <c r="O154" s="64"/>
    </row>
    <row r="155" spans="1:15" ht="27" customHeight="1" x14ac:dyDescent="0.2">
      <c r="A155" s="753"/>
      <c r="B155" s="755"/>
      <c r="C155" s="232"/>
      <c r="D155" s="624" t="s">
        <v>249</v>
      </c>
      <c r="E155" s="328"/>
      <c r="F155" s="324"/>
      <c r="G155" s="285" t="s">
        <v>243</v>
      </c>
      <c r="H155" s="952">
        <v>345544</v>
      </c>
      <c r="I155" s="466"/>
      <c r="J155" s="476"/>
      <c r="K155" s="789"/>
      <c r="L155" s="625"/>
      <c r="M155" s="625"/>
      <c r="N155" s="626"/>
      <c r="O155" s="64"/>
    </row>
    <row r="156" spans="1:15" ht="15" customHeight="1" x14ac:dyDescent="0.2">
      <c r="A156" s="753"/>
      <c r="B156" s="755"/>
      <c r="C156" s="232"/>
      <c r="D156" s="624" t="s">
        <v>250</v>
      </c>
      <c r="E156" s="328"/>
      <c r="F156" s="324"/>
      <c r="G156" s="285"/>
      <c r="H156" s="952"/>
      <c r="I156" s="466"/>
      <c r="J156" s="476"/>
      <c r="K156" s="789"/>
      <c r="L156" s="625"/>
      <c r="M156" s="625"/>
      <c r="N156" s="626"/>
      <c r="O156" s="64"/>
    </row>
    <row r="157" spans="1:15" ht="26.25" customHeight="1" x14ac:dyDescent="0.2">
      <c r="A157" s="753"/>
      <c r="B157" s="755"/>
      <c r="C157" s="232"/>
      <c r="D157" s="502" t="s">
        <v>253</v>
      </c>
      <c r="E157" s="328"/>
      <c r="F157" s="324"/>
      <c r="G157" s="285"/>
      <c r="H157" s="952"/>
      <c r="I157" s="466"/>
      <c r="J157" s="476"/>
      <c r="K157" s="797"/>
      <c r="L157" s="625"/>
      <c r="M157" s="625"/>
      <c r="N157" s="626"/>
      <c r="O157" s="64"/>
    </row>
    <row r="158" spans="1:15" ht="27" customHeight="1" x14ac:dyDescent="0.2">
      <c r="A158" s="753"/>
      <c r="B158" s="755"/>
      <c r="C158" s="232"/>
      <c r="D158" s="502" t="s">
        <v>254</v>
      </c>
      <c r="E158" s="772"/>
      <c r="F158" s="751"/>
      <c r="G158" s="96"/>
      <c r="H158" s="953"/>
      <c r="I158" s="474"/>
      <c r="J158" s="475"/>
      <c r="K158" s="1210"/>
      <c r="L158" s="236"/>
      <c r="M158" s="236"/>
      <c r="N158" s="237"/>
      <c r="O158" s="64"/>
    </row>
    <row r="159" spans="1:15" ht="15.75" customHeight="1" thickBot="1" x14ac:dyDescent="0.25">
      <c r="A159" s="769"/>
      <c r="B159" s="776"/>
      <c r="C159" s="233"/>
      <c r="D159" s="791"/>
      <c r="E159" s="234"/>
      <c r="F159" s="235"/>
      <c r="G159" s="556" t="s">
        <v>6</v>
      </c>
      <c r="H159" s="954">
        <f>SUM(H152:H155)</f>
        <v>1109004</v>
      </c>
      <c r="I159" s="469">
        <f t="shared" ref="I159:J159" si="6">SUM(I152:I155)</f>
        <v>350440</v>
      </c>
      <c r="J159" s="477">
        <f t="shared" si="6"/>
        <v>350440</v>
      </c>
      <c r="K159" s="1211"/>
      <c r="L159" s="88"/>
      <c r="M159" s="88"/>
      <c r="N159" s="89"/>
    </row>
    <row r="160" spans="1:15" x14ac:dyDescent="0.2">
      <c r="A160" s="1208" t="s">
        <v>5</v>
      </c>
      <c r="B160" s="1218" t="s">
        <v>42</v>
      </c>
      <c r="C160" s="1220" t="s">
        <v>7</v>
      </c>
      <c r="D160" s="1226" t="s">
        <v>77</v>
      </c>
      <c r="E160" s="238"/>
      <c r="F160" s="783"/>
      <c r="G160" s="48"/>
      <c r="H160" s="710"/>
      <c r="I160" s="471"/>
      <c r="J160" s="472"/>
      <c r="K160" s="798"/>
      <c r="L160" s="27"/>
      <c r="M160" s="27"/>
      <c r="N160" s="28"/>
    </row>
    <row r="161" spans="1:14" x14ac:dyDescent="0.2">
      <c r="A161" s="1136"/>
      <c r="B161" s="1128"/>
      <c r="C161" s="1129"/>
      <c r="D161" s="1227"/>
      <c r="E161" s="772"/>
      <c r="F161" s="751" t="s">
        <v>48</v>
      </c>
      <c r="G161" s="96"/>
      <c r="H161" s="708"/>
      <c r="I161" s="474"/>
      <c r="J161" s="475"/>
      <c r="K161" s="768"/>
      <c r="L161" s="236"/>
      <c r="M161" s="236"/>
      <c r="N161" s="237"/>
    </row>
    <row r="162" spans="1:14" ht="25.5" x14ac:dyDescent="0.2">
      <c r="A162" s="1136"/>
      <c r="B162" s="1128"/>
      <c r="C162" s="1129"/>
      <c r="D162" s="1224" t="s">
        <v>76</v>
      </c>
      <c r="E162" s="328"/>
      <c r="F162" s="324"/>
      <c r="G162" s="18" t="s">
        <v>243</v>
      </c>
      <c r="H162" s="707">
        <f>780613+65000+56134</f>
        <v>901747</v>
      </c>
      <c r="I162" s="466">
        <f>2170/3.4528*1000</f>
        <v>628475</v>
      </c>
      <c r="J162" s="476">
        <f>2170/3.4528*1000</f>
        <v>628475</v>
      </c>
      <c r="K162" s="767" t="s">
        <v>56</v>
      </c>
      <c r="L162" s="145" t="s">
        <v>140</v>
      </c>
      <c r="M162" s="145" t="s">
        <v>140</v>
      </c>
      <c r="N162" s="146" t="s">
        <v>140</v>
      </c>
    </row>
    <row r="163" spans="1:14" ht="25.5" x14ac:dyDescent="0.2">
      <c r="A163" s="1136"/>
      <c r="B163" s="1128"/>
      <c r="C163" s="1129"/>
      <c r="D163" s="1225"/>
      <c r="E163" s="328"/>
      <c r="F163" s="324"/>
      <c r="G163" s="47"/>
      <c r="H163" s="707"/>
      <c r="I163" s="466"/>
      <c r="J163" s="476"/>
      <c r="K163" s="149" t="s">
        <v>55</v>
      </c>
      <c r="L163" s="150" t="s">
        <v>244</v>
      </c>
      <c r="M163" s="150" t="s">
        <v>141</v>
      </c>
      <c r="N163" s="151" t="s">
        <v>141</v>
      </c>
    </row>
    <row r="164" spans="1:14" ht="13.5" customHeight="1" x14ac:dyDescent="0.2">
      <c r="A164" s="1136"/>
      <c r="B164" s="1128"/>
      <c r="C164" s="1129"/>
      <c r="D164" s="1225"/>
      <c r="E164" s="772"/>
      <c r="F164" s="751"/>
      <c r="G164" s="330"/>
      <c r="H164" s="708"/>
      <c r="I164" s="474"/>
      <c r="J164" s="475"/>
      <c r="K164" s="768" t="s">
        <v>100</v>
      </c>
      <c r="L164" s="147" t="s">
        <v>246</v>
      </c>
      <c r="M164" s="147" t="s">
        <v>139</v>
      </c>
      <c r="N164" s="148" t="s">
        <v>139</v>
      </c>
    </row>
    <row r="165" spans="1:14" ht="15.75" customHeight="1" x14ac:dyDescent="0.2">
      <c r="A165" s="1136"/>
      <c r="B165" s="1128"/>
      <c r="C165" s="1129"/>
      <c r="D165" s="1130" t="s">
        <v>75</v>
      </c>
      <c r="E165" s="772"/>
      <c r="F165" s="751"/>
      <c r="G165" s="22" t="s">
        <v>35</v>
      </c>
      <c r="H165" s="711">
        <f>500/3.4528*1000</f>
        <v>144810</v>
      </c>
      <c r="I165" s="467">
        <f>629.9/3.4528*1000</f>
        <v>182432</v>
      </c>
      <c r="J165" s="547">
        <f>629.9/3.4528*1000</f>
        <v>182432</v>
      </c>
      <c r="K165" s="1174" t="s">
        <v>54</v>
      </c>
      <c r="L165" s="79">
        <v>0.8</v>
      </c>
      <c r="M165" s="79">
        <v>0.9</v>
      </c>
      <c r="N165" s="80">
        <v>0.9</v>
      </c>
    </row>
    <row r="166" spans="1:14" ht="13.5" thickBot="1" x14ac:dyDescent="0.25">
      <c r="A166" s="1209"/>
      <c r="B166" s="1219"/>
      <c r="C166" s="1223"/>
      <c r="D166" s="1333"/>
      <c r="E166" s="234"/>
      <c r="F166" s="240"/>
      <c r="G166" s="556" t="s">
        <v>6</v>
      </c>
      <c r="H166" s="709">
        <f>SUM(H160:H165)</f>
        <v>1046557</v>
      </c>
      <c r="I166" s="469">
        <f>SUM(I160:I165)</f>
        <v>810907</v>
      </c>
      <c r="J166" s="477">
        <f>SUM(J160:J165)</f>
        <v>810907</v>
      </c>
      <c r="K166" s="1256"/>
      <c r="L166" s="241"/>
      <c r="M166" s="241"/>
      <c r="N166" s="242"/>
    </row>
    <row r="167" spans="1:14" ht="12.75" customHeight="1" x14ac:dyDescent="0.2">
      <c r="A167" s="1136" t="s">
        <v>5</v>
      </c>
      <c r="B167" s="1128" t="s">
        <v>42</v>
      </c>
      <c r="C167" s="1129" t="s">
        <v>37</v>
      </c>
      <c r="D167" s="1213" t="s">
        <v>216</v>
      </c>
      <c r="E167" s="1215"/>
      <c r="F167" s="1134" t="s">
        <v>48</v>
      </c>
      <c r="G167" s="239" t="s">
        <v>103</v>
      </c>
      <c r="H167" s="712">
        <f>45/3.4528*1000</f>
        <v>13033</v>
      </c>
      <c r="I167" s="529">
        <f t="shared" ref="I167:J167" si="7">45/3.4528*1000</f>
        <v>13033</v>
      </c>
      <c r="J167" s="530">
        <f t="shared" si="7"/>
        <v>13033</v>
      </c>
      <c r="K167" s="767" t="s">
        <v>53</v>
      </c>
      <c r="L167" s="236">
        <v>1</v>
      </c>
      <c r="M167" s="236">
        <v>0.3</v>
      </c>
      <c r="N167" s="237">
        <v>0.3</v>
      </c>
    </row>
    <row r="168" spans="1:14" ht="28.5" x14ac:dyDescent="0.2">
      <c r="A168" s="1136"/>
      <c r="B168" s="1128"/>
      <c r="C168" s="1129"/>
      <c r="D168" s="1213"/>
      <c r="E168" s="1215"/>
      <c r="F168" s="1134"/>
      <c r="G168" s="96" t="s">
        <v>243</v>
      </c>
      <c r="H168" s="707">
        <f>451220-32009-600-338</f>
        <v>418273</v>
      </c>
      <c r="I168" s="531">
        <f t="shared" ref="I168:J168" si="8">455/3.4528*1000</f>
        <v>131777</v>
      </c>
      <c r="J168" s="532">
        <f t="shared" si="8"/>
        <v>131777</v>
      </c>
      <c r="K168" s="767" t="s">
        <v>266</v>
      </c>
      <c r="L168" s="236">
        <v>3.7</v>
      </c>
      <c r="M168" s="499"/>
      <c r="N168" s="534"/>
    </row>
    <row r="169" spans="1:14" ht="14.25" customHeight="1" thickBot="1" x14ac:dyDescent="0.25">
      <c r="A169" s="1209"/>
      <c r="B169" s="1219"/>
      <c r="C169" s="1221"/>
      <c r="D169" s="1214"/>
      <c r="E169" s="1216"/>
      <c r="F169" s="1222"/>
      <c r="G169" s="101" t="s">
        <v>6</v>
      </c>
      <c r="H169" s="713">
        <f>SUM(H167:H168)</f>
        <v>431306</v>
      </c>
      <c r="I169" s="479">
        <f>I168+I167</f>
        <v>144810</v>
      </c>
      <c r="J169" s="480">
        <f>SUM(J167:J168)</f>
        <v>144810</v>
      </c>
      <c r="K169" s="16"/>
      <c r="L169" s="97"/>
      <c r="M169" s="97"/>
      <c r="N169" s="98"/>
    </row>
    <row r="170" spans="1:14" ht="27.75" customHeight="1" x14ac:dyDescent="0.2">
      <c r="A170" s="1208" t="s">
        <v>5</v>
      </c>
      <c r="B170" s="1218" t="s">
        <v>42</v>
      </c>
      <c r="C170" s="1220" t="s">
        <v>42</v>
      </c>
      <c r="D170" s="272" t="s">
        <v>263</v>
      </c>
      <c r="E170" s="277"/>
      <c r="F170" s="278" t="s">
        <v>48</v>
      </c>
      <c r="G170" s="239" t="s">
        <v>35</v>
      </c>
      <c r="H170" s="712">
        <f>52711+28897+32954</f>
        <v>114562</v>
      </c>
      <c r="I170" s="482"/>
      <c r="J170" s="483"/>
      <c r="K170" s="273" t="s">
        <v>175</v>
      </c>
      <c r="L170" s="274">
        <v>21</v>
      </c>
      <c r="M170" s="275"/>
      <c r="N170" s="276"/>
    </row>
    <row r="171" spans="1:14" ht="17.25" customHeight="1" x14ac:dyDescent="0.2">
      <c r="A171" s="1136"/>
      <c r="B171" s="1128"/>
      <c r="C171" s="1129"/>
      <c r="D171" s="1147" t="s">
        <v>217</v>
      </c>
      <c r="E171" s="772"/>
      <c r="F171" s="751" t="s">
        <v>61</v>
      </c>
      <c r="G171" s="18" t="s">
        <v>243</v>
      </c>
      <c r="H171" s="707">
        <v>0</v>
      </c>
      <c r="I171" s="466">
        <f>203/3.4528*1000</f>
        <v>58793</v>
      </c>
      <c r="J171" s="476"/>
      <c r="K171" s="279" t="s">
        <v>156</v>
      </c>
      <c r="L171" s="280"/>
      <c r="M171" s="281">
        <v>1</v>
      </c>
      <c r="N171" s="282"/>
    </row>
    <row r="172" spans="1:14" ht="23.25" customHeight="1" thickBot="1" x14ac:dyDescent="0.25">
      <c r="A172" s="1209"/>
      <c r="B172" s="1219"/>
      <c r="C172" s="1221"/>
      <c r="D172" s="1248"/>
      <c r="E172" s="773"/>
      <c r="F172" s="779"/>
      <c r="G172" s="101" t="s">
        <v>6</v>
      </c>
      <c r="H172" s="478">
        <f>SUM(H170:H171)</f>
        <v>114562</v>
      </c>
      <c r="I172" s="479">
        <f t="shared" ref="I172:J172" si="9">SUM(I170:I171)</f>
        <v>58793</v>
      </c>
      <c r="J172" s="484">
        <f t="shared" si="9"/>
        <v>0</v>
      </c>
      <c r="K172" s="16" t="s">
        <v>186</v>
      </c>
      <c r="L172" s="97"/>
      <c r="M172" s="97">
        <v>100</v>
      </c>
      <c r="N172" s="98"/>
    </row>
    <row r="173" spans="1:14" ht="15" customHeight="1" x14ac:dyDescent="0.2">
      <c r="A173" s="1208" t="s">
        <v>5</v>
      </c>
      <c r="B173" s="1218" t="s">
        <v>42</v>
      </c>
      <c r="C173" s="1220" t="s">
        <v>44</v>
      </c>
      <c r="D173" s="1228" t="s">
        <v>52</v>
      </c>
      <c r="E173" s="1233"/>
      <c r="F173" s="1232" t="s">
        <v>48</v>
      </c>
      <c r="G173" s="48" t="s">
        <v>243</v>
      </c>
      <c r="H173" s="470">
        <f>317.7/3.4528*1000</f>
        <v>92012</v>
      </c>
      <c r="I173" s="471">
        <f>320/3.4528*1000</f>
        <v>92678</v>
      </c>
      <c r="J173" s="472">
        <f>320/3.4528*1000</f>
        <v>92678</v>
      </c>
      <c r="K173" s="810" t="s">
        <v>81</v>
      </c>
      <c r="L173" s="340">
        <v>14</v>
      </c>
      <c r="M173" s="340">
        <v>14</v>
      </c>
      <c r="N173" s="533">
        <v>14</v>
      </c>
    </row>
    <row r="174" spans="1:14" ht="15.75" customHeight="1" thickBot="1" x14ac:dyDescent="0.25">
      <c r="A174" s="1209"/>
      <c r="B174" s="1219"/>
      <c r="C174" s="1221"/>
      <c r="D174" s="1214"/>
      <c r="E174" s="1216"/>
      <c r="F174" s="1222"/>
      <c r="G174" s="101" t="s">
        <v>6</v>
      </c>
      <c r="H174" s="478">
        <f>SUM(H173:H173)</f>
        <v>92012</v>
      </c>
      <c r="I174" s="479">
        <f>SUM(I173:I173)</f>
        <v>92678</v>
      </c>
      <c r="J174" s="480">
        <f>SUM(J173:J173)</f>
        <v>92678</v>
      </c>
      <c r="K174" s="153"/>
      <c r="L174" s="97"/>
      <c r="M174" s="97"/>
      <c r="N174" s="98"/>
    </row>
    <row r="175" spans="1:14" ht="14.25" customHeight="1" thickBot="1" x14ac:dyDescent="0.25">
      <c r="A175" s="115" t="s">
        <v>5</v>
      </c>
      <c r="B175" s="9" t="s">
        <v>42</v>
      </c>
      <c r="C175" s="1242" t="s">
        <v>8</v>
      </c>
      <c r="D175" s="1242"/>
      <c r="E175" s="1242"/>
      <c r="F175" s="1242"/>
      <c r="G175" s="1336"/>
      <c r="H175" s="485">
        <f>SUM(H174,H169,H166,H159,,H172)</f>
        <v>2793441</v>
      </c>
      <c r="I175" s="486">
        <f>SUM(I174,I169,I166,I159,,I172)</f>
        <v>1457628</v>
      </c>
      <c r="J175" s="487">
        <f>SUM(J174,J169,J166,J159,,J172)</f>
        <v>1398835</v>
      </c>
      <c r="K175" s="1350"/>
      <c r="L175" s="1334"/>
      <c r="M175" s="1334"/>
      <c r="N175" s="1335"/>
    </row>
    <row r="176" spans="1:14" ht="14.25" customHeight="1" thickBot="1" x14ac:dyDescent="0.25">
      <c r="A176" s="115" t="s">
        <v>5</v>
      </c>
      <c r="B176" s="1287" t="s">
        <v>9</v>
      </c>
      <c r="C176" s="1288"/>
      <c r="D176" s="1288"/>
      <c r="E176" s="1288"/>
      <c r="F176" s="1288"/>
      <c r="G176" s="1289"/>
      <c r="H176" s="488">
        <f>H175+H150+H103+H89</f>
        <v>13382145</v>
      </c>
      <c r="I176" s="489">
        <f>I175+I150+I103+I89</f>
        <v>12165894</v>
      </c>
      <c r="J176" s="490">
        <f>J175+J150+J103+J89</f>
        <v>13496432</v>
      </c>
      <c r="K176" s="1290"/>
      <c r="L176" s="1291"/>
      <c r="M176" s="1291"/>
      <c r="N176" s="1292"/>
    </row>
    <row r="177" spans="1:31" ht="14.25" customHeight="1" thickBot="1" x14ac:dyDescent="0.25">
      <c r="A177" s="74" t="s">
        <v>46</v>
      </c>
      <c r="B177" s="1293" t="s">
        <v>87</v>
      </c>
      <c r="C177" s="1294"/>
      <c r="D177" s="1294"/>
      <c r="E177" s="1294"/>
      <c r="F177" s="1294"/>
      <c r="G177" s="1295"/>
      <c r="H177" s="491">
        <f>H176</f>
        <v>13382145</v>
      </c>
      <c r="I177" s="492">
        <f t="shared" ref="I177:J177" si="10">SUM(I176)</f>
        <v>12165894</v>
      </c>
      <c r="J177" s="493">
        <f t="shared" si="10"/>
        <v>13496432</v>
      </c>
      <c r="K177" s="1296"/>
      <c r="L177" s="1297"/>
      <c r="M177" s="1297"/>
      <c r="N177" s="1298"/>
    </row>
    <row r="178" spans="1:31" s="20" customFormat="1" ht="12.75" customHeight="1" x14ac:dyDescent="0.2">
      <c r="A178" s="1283"/>
      <c r="B178" s="1283"/>
      <c r="C178" s="1283"/>
      <c r="D178" s="1283"/>
      <c r="E178" s="1283"/>
      <c r="F178" s="1283"/>
      <c r="G178" s="1283"/>
      <c r="H178" s="1283"/>
      <c r="I178" s="1283"/>
      <c r="J178" s="1283"/>
      <c r="K178" s="1283"/>
      <c r="L178" s="1283"/>
      <c r="M178" s="1283"/>
      <c r="N178" s="1283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1:31" s="20" customFormat="1" ht="15" customHeight="1" thickBot="1" x14ac:dyDescent="0.25">
      <c r="A179" s="1351" t="s">
        <v>13</v>
      </c>
      <c r="B179" s="1351"/>
      <c r="C179" s="1351"/>
      <c r="D179" s="1351"/>
      <c r="E179" s="1351"/>
      <c r="F179" s="1351"/>
      <c r="G179" s="1351"/>
      <c r="H179" s="1351"/>
      <c r="I179" s="1351"/>
      <c r="J179" s="1351"/>
      <c r="K179" s="5"/>
      <c r="L179" s="5"/>
      <c r="M179" s="5"/>
      <c r="N179" s="5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1:31" ht="51" customHeight="1" thickBot="1" x14ac:dyDescent="0.25">
      <c r="A180" s="1284" t="s">
        <v>10</v>
      </c>
      <c r="B180" s="1285"/>
      <c r="C180" s="1285"/>
      <c r="D180" s="1285"/>
      <c r="E180" s="1285"/>
      <c r="F180" s="1285"/>
      <c r="G180" s="1286"/>
      <c r="H180" s="292" t="s">
        <v>177</v>
      </c>
      <c r="I180" s="265" t="s">
        <v>96</v>
      </c>
      <c r="J180" s="265" t="s">
        <v>127</v>
      </c>
    </row>
    <row r="181" spans="1:31" ht="14.25" customHeight="1" x14ac:dyDescent="0.2">
      <c r="A181" s="1277" t="s">
        <v>14</v>
      </c>
      <c r="B181" s="1278"/>
      <c r="C181" s="1278"/>
      <c r="D181" s="1278"/>
      <c r="E181" s="1278"/>
      <c r="F181" s="1278"/>
      <c r="G181" s="1279"/>
      <c r="H181" s="380">
        <f>H182+H188+H190+H189</f>
        <v>10636547</v>
      </c>
      <c r="I181" s="380">
        <f t="shared" ref="I181:J181" si="11">I182+I188+I190+I189</f>
        <v>11216056</v>
      </c>
      <c r="J181" s="380">
        <f t="shared" si="11"/>
        <v>11507322</v>
      </c>
    </row>
    <row r="182" spans="1:31" ht="14.25" customHeight="1" x14ac:dyDescent="0.2">
      <c r="A182" s="1280" t="s">
        <v>169</v>
      </c>
      <c r="B182" s="1281"/>
      <c r="C182" s="1281"/>
      <c r="D182" s="1281"/>
      <c r="E182" s="1281"/>
      <c r="F182" s="1281"/>
      <c r="G182" s="1282"/>
      <c r="H182" s="381">
        <f>SUM(H183:H187)</f>
        <v>10254465</v>
      </c>
      <c r="I182" s="381">
        <f t="shared" ref="I182:J182" si="12">SUM(I183:I187)</f>
        <v>11216056</v>
      </c>
      <c r="J182" s="381">
        <f t="shared" si="12"/>
        <v>11507322</v>
      </c>
    </row>
    <row r="183" spans="1:31" x14ac:dyDescent="0.2">
      <c r="A183" s="1274" t="s">
        <v>28</v>
      </c>
      <c r="B183" s="1275"/>
      <c r="C183" s="1275"/>
      <c r="D183" s="1275"/>
      <c r="E183" s="1275"/>
      <c r="F183" s="1275"/>
      <c r="G183" s="1276"/>
      <c r="H183" s="382">
        <f>SUMIF(G12:G177,"SB",H12:H177)</f>
        <v>5353519</v>
      </c>
      <c r="I183" s="382">
        <f>SUMIF(G12:G177,"SB",I12:I177)</f>
        <v>6061429</v>
      </c>
      <c r="J183" s="382">
        <f>SUMIF(G12:G177,"SB",J12:J177)</f>
        <v>6209164</v>
      </c>
      <c r="K183" s="58"/>
    </row>
    <row r="184" spans="1:31" x14ac:dyDescent="0.2">
      <c r="A184" s="1271" t="s">
        <v>29</v>
      </c>
      <c r="B184" s="1272"/>
      <c r="C184" s="1272"/>
      <c r="D184" s="1272"/>
      <c r="E184" s="1272"/>
      <c r="F184" s="1272"/>
      <c r="G184" s="1273"/>
      <c r="H184" s="382">
        <f>SUMIF(G12:G177,"SB(P)",H12:H177)</f>
        <v>120829</v>
      </c>
      <c r="I184" s="382">
        <f>SUMIF(G12:G177,"SB(P)",I12:I177)</f>
        <v>134384</v>
      </c>
      <c r="J184" s="382">
        <f>SUMIF(G12:G177,"SB(P)",J12:J177)</f>
        <v>227178</v>
      </c>
      <c r="K184" s="58"/>
    </row>
    <row r="185" spans="1:31" x14ac:dyDescent="0.2">
      <c r="A185" s="1271" t="s">
        <v>104</v>
      </c>
      <c r="B185" s="1272"/>
      <c r="C185" s="1272"/>
      <c r="D185" s="1272"/>
      <c r="E185" s="1272"/>
      <c r="F185" s="1272"/>
      <c r="G185" s="1273"/>
      <c r="H185" s="382">
        <f>SUMIF(G12:G177,"SB(VR)",H12:H177)</f>
        <v>1084598</v>
      </c>
      <c r="I185" s="382">
        <f>SUMIF(G12:G177,"SB(VR)",I12:I177)</f>
        <v>1288198</v>
      </c>
      <c r="J185" s="382">
        <f>SUMIF(G12:G177,"SB(VR)",J12:J177)</f>
        <v>1275049</v>
      </c>
      <c r="K185" s="58"/>
    </row>
    <row r="186" spans="1:31" x14ac:dyDescent="0.2">
      <c r="A186" s="1271" t="s">
        <v>230</v>
      </c>
      <c r="B186" s="1272"/>
      <c r="C186" s="1272"/>
      <c r="D186" s="1272"/>
      <c r="E186" s="1272"/>
      <c r="F186" s="1272"/>
      <c r="G186" s="1273"/>
      <c r="H186" s="382">
        <f>SUMIF(G13:G177,"SB(L)",H13:H177)</f>
        <v>8974</v>
      </c>
      <c r="I186" s="382">
        <f>SUMIF(G11:G175,"SB(L)",I11:I175)</f>
        <v>0</v>
      </c>
      <c r="J186" s="382">
        <f>SUMIF(G11:G175,"SB(L)",J11:J175)</f>
        <v>0</v>
      </c>
    </row>
    <row r="187" spans="1:31" x14ac:dyDescent="0.2">
      <c r="A187" s="1124" t="s">
        <v>247</v>
      </c>
      <c r="B187" s="1125"/>
      <c r="C187" s="1125"/>
      <c r="D187" s="1125"/>
      <c r="E187" s="1125"/>
      <c r="F187" s="1125"/>
      <c r="G187" s="1126"/>
      <c r="H187" s="383">
        <f>SUMIF(G13:G177,"SB(KPP)",H13:H177)</f>
        <v>3686545</v>
      </c>
      <c r="I187" s="383">
        <f>SUMIF(G13:G177,"SB(KPP)",I13:I177)</f>
        <v>3732045</v>
      </c>
      <c r="J187" s="383">
        <f>SUMIF(G13:G177,"SB(KPP)",J13:J177)</f>
        <v>3795931</v>
      </c>
      <c r="K187" s="58"/>
    </row>
    <row r="188" spans="1:31" x14ac:dyDescent="0.2">
      <c r="A188" s="1266" t="s">
        <v>107</v>
      </c>
      <c r="B188" s="1267"/>
      <c r="C188" s="1267"/>
      <c r="D188" s="1267"/>
      <c r="E188" s="1267"/>
      <c r="F188" s="1267"/>
      <c r="G188" s="1268"/>
      <c r="H188" s="359">
        <f>SUMIF(G12:G177,"SB(VRL)",H12:H177)</f>
        <v>72307</v>
      </c>
      <c r="I188" s="359">
        <f>SUMIF(G12:G177,"SB(VRL)",I12:I177)</f>
        <v>0</v>
      </c>
      <c r="J188" s="359">
        <f>SUMIF(G12:G178,"SB(VRL)",J12:J178)</f>
        <v>0</v>
      </c>
      <c r="K188" s="58"/>
    </row>
    <row r="189" spans="1:31" x14ac:dyDescent="0.2">
      <c r="A189" s="1266" t="s">
        <v>229</v>
      </c>
      <c r="B189" s="1267"/>
      <c r="C189" s="1267"/>
      <c r="D189" s="1267"/>
      <c r="E189" s="1267"/>
      <c r="F189" s="1267"/>
      <c r="G189" s="1268"/>
      <c r="H189" s="359">
        <f>SUMIF(G12:G178,"SB(ŽPL)",H12:H178)</f>
        <v>309775</v>
      </c>
      <c r="I189" s="359">
        <f>SUMIF(G13:G178,"SB(ŽPL)",I13:I178)</f>
        <v>0</v>
      </c>
      <c r="J189" s="359">
        <f>SUMIF(G13:G179,"SB(ŽPL)",J13:J179)</f>
        <v>0</v>
      </c>
      <c r="K189" s="58"/>
    </row>
    <row r="190" spans="1:31" x14ac:dyDescent="0.2">
      <c r="A190" s="1266" t="s">
        <v>112</v>
      </c>
      <c r="B190" s="1269"/>
      <c r="C190" s="1269"/>
      <c r="D190" s="1269"/>
      <c r="E190" s="1269"/>
      <c r="F190" s="1269"/>
      <c r="G190" s="1270"/>
      <c r="H190" s="359">
        <f>SUMIF(G12:G177,"PF",H12:H177)</f>
        <v>0</v>
      </c>
      <c r="I190" s="359">
        <f>SUMIF(G12:G175,"PF",I12:I177)</f>
        <v>0</v>
      </c>
      <c r="J190" s="359">
        <f>SUMIF(G12:G175,"PF",J12:J177)</f>
        <v>0</v>
      </c>
    </row>
    <row r="191" spans="1:31" x14ac:dyDescent="0.2">
      <c r="A191" s="1260" t="s">
        <v>15</v>
      </c>
      <c r="B191" s="1261"/>
      <c r="C191" s="1261"/>
      <c r="D191" s="1261"/>
      <c r="E191" s="1261"/>
      <c r="F191" s="1261"/>
      <c r="G191" s="1262"/>
      <c r="H191" s="384">
        <f>H192+H193+H194+H195</f>
        <v>2745598</v>
      </c>
      <c r="I191" s="384">
        <f t="shared" ref="I191:J191" si="13">I192+I193+I194+I195</f>
        <v>949838</v>
      </c>
      <c r="J191" s="384">
        <f t="shared" si="13"/>
        <v>1989110</v>
      </c>
    </row>
    <row r="192" spans="1:31" x14ac:dyDescent="0.2">
      <c r="A192" s="1263" t="s">
        <v>30</v>
      </c>
      <c r="B192" s="1264"/>
      <c r="C192" s="1264"/>
      <c r="D192" s="1264"/>
      <c r="E192" s="1264"/>
      <c r="F192" s="1264"/>
      <c r="G192" s="1265"/>
      <c r="H192" s="383">
        <f>SUMIF(G12:G177,"ES",H12:H177)</f>
        <v>1981696</v>
      </c>
      <c r="I192" s="383">
        <f>SUMIF(G12:G177,"ES",I12:I177)</f>
        <v>761585</v>
      </c>
      <c r="J192" s="383">
        <f>SUMIF(G12:G177,"ES",J12:J177)</f>
        <v>1287361</v>
      </c>
      <c r="K192" s="58"/>
    </row>
    <row r="193" spans="1:14" x14ac:dyDescent="0.2">
      <c r="A193" s="1124" t="s">
        <v>31</v>
      </c>
      <c r="B193" s="1125"/>
      <c r="C193" s="1125"/>
      <c r="D193" s="1125"/>
      <c r="E193" s="1125"/>
      <c r="F193" s="1125"/>
      <c r="G193" s="1126"/>
      <c r="H193" s="383">
        <f>SUMIF(G12:G177,"KVJUD",H12:H177)</f>
        <v>516074</v>
      </c>
      <c r="I193" s="383">
        <f>SUMIF(G12:G177,"KVJUD",I12:I177)</f>
        <v>0</v>
      </c>
      <c r="J193" s="383">
        <f>SUMIF(G12:G177,"KVJUD",J12:J177)</f>
        <v>289620</v>
      </c>
      <c r="K193" s="64"/>
      <c r="L193" s="6"/>
      <c r="M193" s="6"/>
      <c r="N193" s="6"/>
    </row>
    <row r="194" spans="1:14" x14ac:dyDescent="0.2">
      <c r="A194" s="1257" t="s">
        <v>32</v>
      </c>
      <c r="B194" s="1258"/>
      <c r="C194" s="1258"/>
      <c r="D194" s="1258"/>
      <c r="E194" s="1258"/>
      <c r="F194" s="1258"/>
      <c r="G194" s="1259"/>
      <c r="H194" s="383">
        <f>SUMIF(G12:G177,"LRVB",H12:H177)</f>
        <v>0</v>
      </c>
      <c r="I194" s="383">
        <f>SUMIF(G12:G177,"LRVB",I12:I177)</f>
        <v>0</v>
      </c>
      <c r="J194" s="383">
        <f>SUMIF(G12:G177,"LRVB",J12:J177)</f>
        <v>0</v>
      </c>
      <c r="K194" s="64"/>
      <c r="L194" s="6"/>
      <c r="M194" s="6"/>
      <c r="N194" s="6"/>
    </row>
    <row r="195" spans="1:14" x14ac:dyDescent="0.2">
      <c r="A195" s="1257" t="s">
        <v>33</v>
      </c>
      <c r="B195" s="1258"/>
      <c r="C195" s="1258"/>
      <c r="D195" s="1258"/>
      <c r="E195" s="1258"/>
      <c r="F195" s="1258"/>
      <c r="G195" s="1259"/>
      <c r="H195" s="383">
        <f>SUMIF(G12:G177,"Kt",H12:H177)</f>
        <v>247828</v>
      </c>
      <c r="I195" s="383">
        <f>SUMIF(G12:G177,"Kt",I12:I177)</f>
        <v>188253</v>
      </c>
      <c r="J195" s="383">
        <f>SUMIF(G12:G177,"Kt",J12:J177)</f>
        <v>412129</v>
      </c>
      <c r="K195" s="64"/>
      <c r="L195" s="6"/>
      <c r="M195" s="6"/>
      <c r="N195" s="6"/>
    </row>
    <row r="196" spans="1:14" ht="13.5" thickBot="1" x14ac:dyDescent="0.25">
      <c r="A196" s="1252" t="s">
        <v>16</v>
      </c>
      <c r="B196" s="1253"/>
      <c r="C196" s="1253"/>
      <c r="D196" s="1253"/>
      <c r="E196" s="1253"/>
      <c r="F196" s="1253"/>
      <c r="G196" s="1254"/>
      <c r="H196" s="385">
        <f>H191+H181</f>
        <v>13382145</v>
      </c>
      <c r="I196" s="385">
        <f t="shared" ref="I196:J196" si="14">I191+I181</f>
        <v>12165894</v>
      </c>
      <c r="J196" s="385">
        <f t="shared" si="14"/>
        <v>13496432</v>
      </c>
      <c r="K196" s="6"/>
      <c r="L196" s="6"/>
      <c r="M196" s="6"/>
      <c r="N196" s="6"/>
    </row>
    <row r="198" spans="1:14" x14ac:dyDescent="0.2">
      <c r="G198" s="266"/>
      <c r="I198" s="58"/>
      <c r="J198" s="58"/>
      <c r="K198" s="58"/>
    </row>
    <row r="199" spans="1:14" x14ac:dyDescent="0.2">
      <c r="I199" s="58"/>
    </row>
    <row r="200" spans="1:14" x14ac:dyDescent="0.2">
      <c r="H200" s="605"/>
    </row>
    <row r="201" spans="1:14" x14ac:dyDescent="0.2">
      <c r="I201" s="58"/>
      <c r="J201" s="58"/>
    </row>
    <row r="202" spans="1:14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</sheetData>
  <mergeCells count="247">
    <mergeCell ref="K38:K39"/>
    <mergeCell ref="K28:K30"/>
    <mergeCell ref="E32:E34"/>
    <mergeCell ref="D52:D53"/>
    <mergeCell ref="E52:E53"/>
    <mergeCell ref="D17:D18"/>
    <mergeCell ref="K79:K81"/>
    <mergeCell ref="K52:K53"/>
    <mergeCell ref="D58:D60"/>
    <mergeCell ref="E61:E63"/>
    <mergeCell ref="K64:K66"/>
    <mergeCell ref="D64:D66"/>
    <mergeCell ref="D82:D83"/>
    <mergeCell ref="E82:E83"/>
    <mergeCell ref="F58:F60"/>
    <mergeCell ref="K58:K60"/>
    <mergeCell ref="C79:C81"/>
    <mergeCell ref="D79:D81"/>
    <mergeCell ref="F72:F74"/>
    <mergeCell ref="K72:K73"/>
    <mergeCell ref="E73:E74"/>
    <mergeCell ref="F82:F83"/>
    <mergeCell ref="E58:E60"/>
    <mergeCell ref="K62:K63"/>
    <mergeCell ref="D74:D75"/>
    <mergeCell ref="A189:G189"/>
    <mergeCell ref="K165:K166"/>
    <mergeCell ref="D165:D166"/>
    <mergeCell ref="K103:N103"/>
    <mergeCell ref="B101:B102"/>
    <mergeCell ref="C101:C102"/>
    <mergeCell ref="C150:G150"/>
    <mergeCell ref="C147:C149"/>
    <mergeCell ref="D147:D149"/>
    <mergeCell ref="E147:E149"/>
    <mergeCell ref="F147:F149"/>
    <mergeCell ref="D123:D127"/>
    <mergeCell ref="D117:D118"/>
    <mergeCell ref="E124:E125"/>
    <mergeCell ref="E134:E136"/>
    <mergeCell ref="F134:F136"/>
    <mergeCell ref="K132:K133"/>
    <mergeCell ref="K135:K136"/>
    <mergeCell ref="K150:N150"/>
    <mergeCell ref="A179:J179"/>
    <mergeCell ref="C175:G175"/>
    <mergeCell ref="K175:N175"/>
    <mergeCell ref="C170:C172"/>
    <mergeCell ref="A173:A174"/>
    <mergeCell ref="A54:A55"/>
    <mergeCell ref="B54:B55"/>
    <mergeCell ref="C54:C55"/>
    <mergeCell ref="K54:K55"/>
    <mergeCell ref="A52:A53"/>
    <mergeCell ref="B52:B53"/>
    <mergeCell ref="A41:A43"/>
    <mergeCell ref="B41:B43"/>
    <mergeCell ref="C41:C43"/>
    <mergeCell ref="F41:F43"/>
    <mergeCell ref="D41:D43"/>
    <mergeCell ref="D54:D56"/>
    <mergeCell ref="C52:C53"/>
    <mergeCell ref="K49:K51"/>
    <mergeCell ref="A48:A51"/>
    <mergeCell ref="B48:B51"/>
    <mergeCell ref="C48:C51"/>
    <mergeCell ref="D48:D51"/>
    <mergeCell ref="E48:E51"/>
    <mergeCell ref="F48:F51"/>
    <mergeCell ref="D44:D45"/>
    <mergeCell ref="K42:K43"/>
    <mergeCell ref="F52:F53"/>
    <mergeCell ref="A64:A66"/>
    <mergeCell ref="B64:B66"/>
    <mergeCell ref="A101:A102"/>
    <mergeCell ref="C90:N90"/>
    <mergeCell ref="L79:L81"/>
    <mergeCell ref="K68:K71"/>
    <mergeCell ref="E70:E71"/>
    <mergeCell ref="D68:D71"/>
    <mergeCell ref="E64:E66"/>
    <mergeCell ref="F64:F66"/>
    <mergeCell ref="A82:A83"/>
    <mergeCell ref="B82:B83"/>
    <mergeCell ref="E86:E88"/>
    <mergeCell ref="F86:F88"/>
    <mergeCell ref="A79:A81"/>
    <mergeCell ref="B79:B81"/>
    <mergeCell ref="K82:K83"/>
    <mergeCell ref="D101:D102"/>
    <mergeCell ref="E101:E102"/>
    <mergeCell ref="F101:F102"/>
    <mergeCell ref="K101:K102"/>
    <mergeCell ref="D91:D93"/>
    <mergeCell ref="C82:C83"/>
    <mergeCell ref="C64:C66"/>
    <mergeCell ref="A196:G196"/>
    <mergeCell ref="K84:K85"/>
    <mergeCell ref="D84:D85"/>
    <mergeCell ref="A194:G194"/>
    <mergeCell ref="A195:G195"/>
    <mergeCell ref="A193:G193"/>
    <mergeCell ref="A191:G191"/>
    <mergeCell ref="A192:G192"/>
    <mergeCell ref="A188:G188"/>
    <mergeCell ref="A190:G190"/>
    <mergeCell ref="A185:G185"/>
    <mergeCell ref="A186:G186"/>
    <mergeCell ref="A183:G183"/>
    <mergeCell ref="A184:G184"/>
    <mergeCell ref="A181:G181"/>
    <mergeCell ref="C151:N151"/>
    <mergeCell ref="A182:G182"/>
    <mergeCell ref="A178:N178"/>
    <mergeCell ref="A180:G180"/>
    <mergeCell ref="B176:G176"/>
    <mergeCell ref="K176:N176"/>
    <mergeCell ref="B177:G177"/>
    <mergeCell ref="K177:N177"/>
    <mergeCell ref="A123:A127"/>
    <mergeCell ref="B61:B63"/>
    <mergeCell ref="C61:C63"/>
    <mergeCell ref="D61:D63"/>
    <mergeCell ref="E91:E93"/>
    <mergeCell ref="B72:B74"/>
    <mergeCell ref="C72:C74"/>
    <mergeCell ref="D72:D73"/>
    <mergeCell ref="F79:F81"/>
    <mergeCell ref="D171:D172"/>
    <mergeCell ref="B170:B172"/>
    <mergeCell ref="B123:B127"/>
    <mergeCell ref="B117:B122"/>
    <mergeCell ref="C167:C169"/>
    <mergeCell ref="D134:D136"/>
    <mergeCell ref="E130:E133"/>
    <mergeCell ref="F130:F132"/>
    <mergeCell ref="C123:C127"/>
    <mergeCell ref="C117:C122"/>
    <mergeCell ref="B137:B139"/>
    <mergeCell ref="C137:C139"/>
    <mergeCell ref="D145:D146"/>
    <mergeCell ref="B167:B169"/>
    <mergeCell ref="B86:B88"/>
    <mergeCell ref="C89:G89"/>
    <mergeCell ref="B173:B174"/>
    <mergeCell ref="C173:C174"/>
    <mergeCell ref="D173:D174"/>
    <mergeCell ref="E173:E174"/>
    <mergeCell ref="F173:F174"/>
    <mergeCell ref="C86:C88"/>
    <mergeCell ref="D86:D88"/>
    <mergeCell ref="D108:D110"/>
    <mergeCell ref="F108:F109"/>
    <mergeCell ref="D115:D116"/>
    <mergeCell ref="C103:G103"/>
    <mergeCell ref="C104:N104"/>
    <mergeCell ref="A170:A172"/>
    <mergeCell ref="A117:A122"/>
    <mergeCell ref="K158:K159"/>
    <mergeCell ref="A137:A139"/>
    <mergeCell ref="A86:A88"/>
    <mergeCell ref="K86:K87"/>
    <mergeCell ref="A167:A169"/>
    <mergeCell ref="D167:D169"/>
    <mergeCell ref="E167:E169"/>
    <mergeCell ref="D130:D133"/>
    <mergeCell ref="A134:A136"/>
    <mergeCell ref="B134:B136"/>
    <mergeCell ref="C134:C136"/>
    <mergeCell ref="F167:F169"/>
    <mergeCell ref="A160:A166"/>
    <mergeCell ref="B160:B166"/>
    <mergeCell ref="C160:C166"/>
    <mergeCell ref="D162:D164"/>
    <mergeCell ref="D160:D161"/>
    <mergeCell ref="D137:D139"/>
    <mergeCell ref="E137:E139"/>
    <mergeCell ref="F137:F139"/>
    <mergeCell ref="F141:F144"/>
    <mergeCell ref="A19:A20"/>
    <mergeCell ref="B19:B20"/>
    <mergeCell ref="C19:C20"/>
    <mergeCell ref="A38:A39"/>
    <mergeCell ref="B38:B39"/>
    <mergeCell ref="C38:C39"/>
    <mergeCell ref="D38:D39"/>
    <mergeCell ref="D25:D27"/>
    <mergeCell ref="E25:E27"/>
    <mergeCell ref="A1:N1"/>
    <mergeCell ref="A2:N2"/>
    <mergeCell ref="A3:N3"/>
    <mergeCell ref="L4:N4"/>
    <mergeCell ref="A5:A7"/>
    <mergeCell ref="B5:B7"/>
    <mergeCell ref="C5:C7"/>
    <mergeCell ref="D5:D7"/>
    <mergeCell ref="E5:E7"/>
    <mergeCell ref="K6:K7"/>
    <mergeCell ref="L6:N6"/>
    <mergeCell ref="E13:E16"/>
    <mergeCell ref="F28:F30"/>
    <mergeCell ref="A8:N8"/>
    <mergeCell ref="I5:I7"/>
    <mergeCell ref="J5:J7"/>
    <mergeCell ref="K5:N5"/>
    <mergeCell ref="F5:F7"/>
    <mergeCell ref="G5:G7"/>
    <mergeCell ref="A9:N9"/>
    <mergeCell ref="B10:N10"/>
    <mergeCell ref="H5:H7"/>
    <mergeCell ref="K25:K27"/>
    <mergeCell ref="D14:D15"/>
    <mergeCell ref="C11:N11"/>
    <mergeCell ref="F13:F16"/>
    <mergeCell ref="A13:A16"/>
    <mergeCell ref="B13:B16"/>
    <mergeCell ref="C13:C16"/>
    <mergeCell ref="D19:D20"/>
    <mergeCell ref="E19:E20"/>
    <mergeCell ref="A28:A30"/>
    <mergeCell ref="B28:B30"/>
    <mergeCell ref="C28:C30"/>
    <mergeCell ref="D28:D30"/>
    <mergeCell ref="A187:G187"/>
    <mergeCell ref="A35:A36"/>
    <mergeCell ref="B35:B36"/>
    <mergeCell ref="C35:C36"/>
    <mergeCell ref="D35:D36"/>
    <mergeCell ref="F35:F36"/>
    <mergeCell ref="F19:F20"/>
    <mergeCell ref="D21:D22"/>
    <mergeCell ref="A21:A23"/>
    <mergeCell ref="B21:B23"/>
    <mergeCell ref="C21:C23"/>
    <mergeCell ref="E21:E23"/>
    <mergeCell ref="F32:F34"/>
    <mergeCell ref="A32:A34"/>
    <mergeCell ref="B32:B34"/>
    <mergeCell ref="C32:C34"/>
    <mergeCell ref="D32:D34"/>
    <mergeCell ref="D106:D107"/>
    <mergeCell ref="D141:D144"/>
    <mergeCell ref="F61:F63"/>
    <mergeCell ref="A61:A63"/>
    <mergeCell ref="A72:A74"/>
    <mergeCell ref="F38:F39"/>
    <mergeCell ref="E28:E30"/>
  </mergeCells>
  <pageMargins left="0.78740157480314965" right="0" top="0.19685039370078741" bottom="0.19685039370078741" header="0" footer="0"/>
  <pageSetup paperSize="9" scale="70" orientation="portrait" r:id="rId1"/>
  <headerFooter differentOddEven="1"/>
  <rowBreaks count="3" manualBreakCount="3">
    <brk id="56" max="13" man="1"/>
    <brk id="107" max="13" man="1"/>
    <brk id="153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202"/>
  <sheetViews>
    <sheetView zoomScaleNormal="100" zoomScaleSheetLayoutView="100" workbookViewId="0">
      <selection activeCell="T182" sqref="T182"/>
    </sheetView>
  </sheetViews>
  <sheetFormatPr defaultRowHeight="12.75" x14ac:dyDescent="0.2"/>
  <cols>
    <col min="1" max="3" width="2.7109375" style="7" customWidth="1"/>
    <col min="4" max="4" width="34.5703125" style="7" customWidth="1"/>
    <col min="5" max="5" width="3.42578125" style="36" customWidth="1"/>
    <col min="6" max="6" width="3.42578125" style="56" customWidth="1"/>
    <col min="7" max="7" width="7.7109375" style="8" customWidth="1"/>
    <col min="8" max="9" width="10.140625" style="7" customWidth="1"/>
    <col min="10" max="10" width="9.140625" style="1110" customWidth="1"/>
    <col min="11" max="11" width="8.42578125" style="7" hidden="1" customWidth="1"/>
    <col min="12" max="12" width="14.42578125" style="7" customWidth="1"/>
    <col min="13" max="13" width="3.5703125" style="7" customWidth="1"/>
    <col min="14" max="15" width="3.28515625" style="7" customWidth="1"/>
    <col min="16" max="16384" width="9.140625" style="6"/>
  </cols>
  <sheetData>
    <row r="1" spans="1:18" ht="15.75" customHeight="1" x14ac:dyDescent="0.2">
      <c r="H1" s="1386" t="s">
        <v>238</v>
      </c>
      <c r="I1" s="1387"/>
      <c r="J1" s="1387"/>
      <c r="K1" s="1387"/>
      <c r="L1" s="1387"/>
      <c r="M1" s="1387"/>
      <c r="N1" s="1387"/>
      <c r="O1" s="1387"/>
    </row>
    <row r="2" spans="1:18" ht="15.75" x14ac:dyDescent="0.2">
      <c r="A2" s="1185" t="s">
        <v>173</v>
      </c>
      <c r="B2" s="1185"/>
      <c r="C2" s="1185"/>
      <c r="D2" s="1185"/>
      <c r="E2" s="1185"/>
      <c r="F2" s="1185"/>
      <c r="G2" s="1185"/>
      <c r="H2" s="1185"/>
      <c r="I2" s="1185"/>
      <c r="J2" s="1185"/>
      <c r="K2" s="1185"/>
      <c r="L2" s="1185"/>
      <c r="M2" s="1185"/>
      <c r="N2" s="1185"/>
      <c r="O2" s="1185"/>
    </row>
    <row r="3" spans="1:18" ht="15.75" x14ac:dyDescent="0.2">
      <c r="A3" s="1186" t="s">
        <v>38</v>
      </c>
      <c r="B3" s="1186"/>
      <c r="C3" s="1186"/>
      <c r="D3" s="1186"/>
      <c r="E3" s="1186"/>
      <c r="F3" s="1186"/>
      <c r="G3" s="1186"/>
      <c r="H3" s="1186"/>
      <c r="I3" s="1186"/>
      <c r="J3" s="1186"/>
      <c r="K3" s="1186"/>
      <c r="L3" s="1186"/>
      <c r="M3" s="1186"/>
      <c r="N3" s="1186"/>
      <c r="O3" s="1186"/>
    </row>
    <row r="4" spans="1:18" ht="15.75" x14ac:dyDescent="0.2">
      <c r="A4" s="1187" t="s">
        <v>25</v>
      </c>
      <c r="B4" s="1187"/>
      <c r="C4" s="1187"/>
      <c r="D4" s="1187"/>
      <c r="E4" s="1187"/>
      <c r="F4" s="1187"/>
      <c r="G4" s="1187"/>
      <c r="H4" s="1187"/>
      <c r="I4" s="1187"/>
      <c r="J4" s="1187"/>
      <c r="K4" s="1187"/>
      <c r="L4" s="1187"/>
      <c r="M4" s="1187"/>
      <c r="N4" s="1187"/>
      <c r="O4" s="1187"/>
      <c r="P4" s="4"/>
      <c r="Q4" s="4"/>
      <c r="R4" s="4"/>
    </row>
    <row r="5" spans="1:18" ht="13.5" thickBot="1" x14ac:dyDescent="0.25">
      <c r="A5" s="104"/>
      <c r="B5" s="104"/>
      <c r="C5" s="104"/>
      <c r="D5" s="104"/>
      <c r="E5" s="105"/>
      <c r="F5" s="106"/>
      <c r="G5" s="683"/>
      <c r="H5" s="104"/>
      <c r="I5" s="104"/>
      <c r="J5" s="1070"/>
      <c r="K5" s="104"/>
      <c r="L5" s="104"/>
      <c r="M5" s="1188" t="s">
        <v>201</v>
      </c>
      <c r="N5" s="1188"/>
      <c r="O5" s="1188"/>
    </row>
    <row r="6" spans="1:18" ht="42" customHeight="1" x14ac:dyDescent="0.2">
      <c r="A6" s="1189" t="s">
        <v>26</v>
      </c>
      <c r="B6" s="1192" t="s">
        <v>0</v>
      </c>
      <c r="C6" s="1192" t="s">
        <v>1</v>
      </c>
      <c r="D6" s="1195" t="s">
        <v>12</v>
      </c>
      <c r="E6" s="1198" t="s">
        <v>2</v>
      </c>
      <c r="F6" s="1159" t="s">
        <v>3</v>
      </c>
      <c r="G6" s="1162" t="s">
        <v>4</v>
      </c>
      <c r="H6" s="1361" t="s">
        <v>124</v>
      </c>
      <c r="I6" s="1364" t="s">
        <v>222</v>
      </c>
      <c r="J6" s="1367" t="s">
        <v>223</v>
      </c>
      <c r="K6" s="1364" t="s">
        <v>259</v>
      </c>
      <c r="L6" s="1156" t="s">
        <v>11</v>
      </c>
      <c r="M6" s="1157"/>
      <c r="N6" s="1157"/>
      <c r="O6" s="1158"/>
    </row>
    <row r="7" spans="1:18" ht="21" customHeight="1" x14ac:dyDescent="0.2">
      <c r="A7" s="1190"/>
      <c r="B7" s="1193"/>
      <c r="C7" s="1193"/>
      <c r="D7" s="1196"/>
      <c r="E7" s="1199"/>
      <c r="F7" s="1160"/>
      <c r="G7" s="1163"/>
      <c r="H7" s="1362"/>
      <c r="I7" s="1365"/>
      <c r="J7" s="1368"/>
      <c r="K7" s="1365"/>
      <c r="L7" s="1201" t="s">
        <v>12</v>
      </c>
      <c r="M7" s="1203" t="s">
        <v>200</v>
      </c>
      <c r="N7" s="1204"/>
      <c r="O7" s="1205"/>
    </row>
    <row r="8" spans="1:18" ht="66.75" customHeight="1" thickBot="1" x14ac:dyDescent="0.25">
      <c r="A8" s="1191"/>
      <c r="B8" s="1194"/>
      <c r="C8" s="1194"/>
      <c r="D8" s="1197"/>
      <c r="E8" s="1200"/>
      <c r="F8" s="1161"/>
      <c r="G8" s="1164"/>
      <c r="H8" s="1363"/>
      <c r="I8" s="1366"/>
      <c r="J8" s="1369"/>
      <c r="K8" s="1366"/>
      <c r="L8" s="1202"/>
      <c r="M8" s="724" t="s">
        <v>34</v>
      </c>
      <c r="N8" s="724" t="s">
        <v>97</v>
      </c>
      <c r="O8" s="725" t="s">
        <v>126</v>
      </c>
    </row>
    <row r="9" spans="1:18" s="51" customFormat="1" x14ac:dyDescent="0.2">
      <c r="A9" s="1150" t="s">
        <v>94</v>
      </c>
      <c r="B9" s="1151"/>
      <c r="C9" s="1151"/>
      <c r="D9" s="1151"/>
      <c r="E9" s="1151"/>
      <c r="F9" s="1151"/>
      <c r="G9" s="1151"/>
      <c r="H9" s="1151"/>
      <c r="I9" s="1151"/>
      <c r="J9" s="1151"/>
      <c r="K9" s="1151"/>
      <c r="L9" s="1151"/>
      <c r="M9" s="1151"/>
      <c r="N9" s="1151"/>
      <c r="O9" s="1152"/>
    </row>
    <row r="10" spans="1:18" s="51" customFormat="1" x14ac:dyDescent="0.2">
      <c r="A10" s="1165" t="s">
        <v>36</v>
      </c>
      <c r="B10" s="1166"/>
      <c r="C10" s="1166"/>
      <c r="D10" s="1166"/>
      <c r="E10" s="1166"/>
      <c r="F10" s="1166"/>
      <c r="G10" s="1166"/>
      <c r="H10" s="1166"/>
      <c r="I10" s="1166"/>
      <c r="J10" s="1166"/>
      <c r="K10" s="1166"/>
      <c r="L10" s="1166"/>
      <c r="M10" s="1166"/>
      <c r="N10" s="1166"/>
      <c r="O10" s="1167"/>
    </row>
    <row r="11" spans="1:18" ht="15" customHeight="1" x14ac:dyDescent="0.2">
      <c r="A11" s="112" t="s">
        <v>5</v>
      </c>
      <c r="B11" s="1168" t="s">
        <v>39</v>
      </c>
      <c r="C11" s="1169"/>
      <c r="D11" s="1169"/>
      <c r="E11" s="1169"/>
      <c r="F11" s="1169"/>
      <c r="G11" s="1169"/>
      <c r="H11" s="1169"/>
      <c r="I11" s="1169"/>
      <c r="J11" s="1169"/>
      <c r="K11" s="1169"/>
      <c r="L11" s="1169"/>
      <c r="M11" s="1169"/>
      <c r="N11" s="1169"/>
      <c r="O11" s="1170"/>
    </row>
    <row r="12" spans="1:18" ht="14.25" customHeight="1" x14ac:dyDescent="0.2">
      <c r="A12" s="113" t="s">
        <v>5</v>
      </c>
      <c r="B12" s="76" t="s">
        <v>5</v>
      </c>
      <c r="C12" s="1179" t="s">
        <v>40</v>
      </c>
      <c r="D12" s="1180"/>
      <c r="E12" s="1180"/>
      <c r="F12" s="1180"/>
      <c r="G12" s="1180"/>
      <c r="H12" s="1180"/>
      <c r="I12" s="1180"/>
      <c r="J12" s="1180"/>
      <c r="K12" s="1180"/>
      <c r="L12" s="1180"/>
      <c r="M12" s="1180"/>
      <c r="N12" s="1180"/>
      <c r="O12" s="1181"/>
    </row>
    <row r="13" spans="1:18" ht="27" customHeight="1" x14ac:dyDescent="0.2">
      <c r="A13" s="654" t="s">
        <v>5</v>
      </c>
      <c r="B13" s="629" t="s">
        <v>5</v>
      </c>
      <c r="C13" s="630" t="s">
        <v>5</v>
      </c>
      <c r="D13" s="352" t="s">
        <v>69</v>
      </c>
      <c r="E13" s="595" t="s">
        <v>159</v>
      </c>
      <c r="F13" s="678" t="s">
        <v>61</v>
      </c>
      <c r="G13" s="353"/>
      <c r="H13" s="688"/>
      <c r="I13" s="100"/>
      <c r="J13" s="1071"/>
      <c r="K13" s="831"/>
      <c r="L13" s="33"/>
      <c r="M13" s="49"/>
      <c r="N13" s="68"/>
      <c r="O13" s="69"/>
    </row>
    <row r="14" spans="1:18" ht="39.75" customHeight="1" x14ac:dyDescent="0.2">
      <c r="A14" s="1136"/>
      <c r="B14" s="1128"/>
      <c r="C14" s="1129"/>
      <c r="D14" s="631" t="s">
        <v>180</v>
      </c>
      <c r="E14" s="1148" t="s">
        <v>66</v>
      </c>
      <c r="F14" s="1134" t="s">
        <v>61</v>
      </c>
      <c r="G14" s="308" t="s">
        <v>228</v>
      </c>
      <c r="H14" s="538">
        <f>457.2/3.4528*1000</f>
        <v>132414</v>
      </c>
      <c r="I14" s="689">
        <f>457.2/3.4528*1000</f>
        <v>132414</v>
      </c>
      <c r="J14" s="940"/>
      <c r="K14" s="817"/>
      <c r="L14" s="740"/>
      <c r="M14" s="741"/>
      <c r="N14" s="742"/>
      <c r="O14" s="743"/>
    </row>
    <row r="15" spans="1:18" ht="15" customHeight="1" x14ac:dyDescent="0.2">
      <c r="A15" s="1136"/>
      <c r="B15" s="1128"/>
      <c r="C15" s="1129"/>
      <c r="D15" s="309" t="s">
        <v>197</v>
      </c>
      <c r="E15" s="1148"/>
      <c r="F15" s="1134"/>
      <c r="G15" s="181" t="s">
        <v>35</v>
      </c>
      <c r="H15" s="537"/>
      <c r="I15" s="690"/>
      <c r="J15" s="940"/>
      <c r="K15" s="817"/>
      <c r="L15" s="312"/>
      <c r="M15" s="313"/>
      <c r="N15" s="314"/>
      <c r="O15" s="315"/>
    </row>
    <row r="16" spans="1:18" ht="28.5" customHeight="1" x14ac:dyDescent="0.2">
      <c r="A16" s="1136"/>
      <c r="B16" s="1128"/>
      <c r="C16" s="1129"/>
      <c r="D16" s="646" t="s">
        <v>205</v>
      </c>
      <c r="E16" s="1149"/>
      <c r="F16" s="1140"/>
      <c r="G16" s="310"/>
      <c r="H16" s="371"/>
      <c r="I16" s="691"/>
      <c r="J16" s="936"/>
      <c r="K16" s="818"/>
      <c r="L16" s="667"/>
      <c r="M16" s="70"/>
      <c r="N16" s="311"/>
      <c r="O16" s="71"/>
      <c r="P16" s="562"/>
    </row>
    <row r="17" spans="1:17" ht="24" customHeight="1" x14ac:dyDescent="0.2">
      <c r="A17" s="654"/>
      <c r="B17" s="629"/>
      <c r="C17" s="630"/>
      <c r="D17" s="1360" t="s">
        <v>181</v>
      </c>
      <c r="E17" s="671"/>
      <c r="F17" s="638"/>
      <c r="G17" s="180" t="s">
        <v>228</v>
      </c>
      <c r="H17" s="541">
        <f>20/3.4528*1000</f>
        <v>5792</v>
      </c>
      <c r="I17" s="692">
        <f>20/3.4528*1000</f>
        <v>5792</v>
      </c>
      <c r="J17" s="1072"/>
      <c r="K17" s="832"/>
      <c r="L17" s="680"/>
      <c r="M17" s="85"/>
      <c r="N17" s="68"/>
      <c r="O17" s="69"/>
    </row>
    <row r="18" spans="1:17" ht="28.5" customHeight="1" x14ac:dyDescent="0.2">
      <c r="A18" s="654"/>
      <c r="B18" s="629"/>
      <c r="C18" s="630"/>
      <c r="D18" s="1370"/>
      <c r="E18" s="671"/>
      <c r="F18" s="638"/>
      <c r="G18" s="15" t="s">
        <v>35</v>
      </c>
      <c r="H18" s="375"/>
      <c r="I18" s="693"/>
      <c r="J18" s="1073"/>
      <c r="K18" s="819"/>
      <c r="L18" s="680"/>
      <c r="M18" s="85"/>
      <c r="N18" s="68"/>
      <c r="O18" s="69"/>
    </row>
    <row r="19" spans="1:17" ht="15.75" customHeight="1" x14ac:dyDescent="0.2">
      <c r="A19" s="1136"/>
      <c r="B19" s="1128"/>
      <c r="C19" s="1129"/>
      <c r="D19" s="1130" t="s">
        <v>150</v>
      </c>
      <c r="E19" s="1182"/>
      <c r="F19" s="1132" t="s">
        <v>61</v>
      </c>
      <c r="G19" s="180" t="s">
        <v>228</v>
      </c>
      <c r="H19" s="541">
        <f>50/3.4528*1000</f>
        <v>14481</v>
      </c>
      <c r="I19" s="692">
        <f>14481</f>
        <v>14481</v>
      </c>
      <c r="J19" s="1074"/>
      <c r="K19" s="820"/>
      <c r="L19" s="156"/>
      <c r="M19" s="345"/>
      <c r="N19" s="306"/>
      <c r="O19" s="307"/>
    </row>
    <row r="20" spans="1:17" ht="15" customHeight="1" x14ac:dyDescent="0.2">
      <c r="A20" s="1136"/>
      <c r="B20" s="1128"/>
      <c r="C20" s="1129"/>
      <c r="D20" s="1135"/>
      <c r="E20" s="1183"/>
      <c r="F20" s="1134"/>
      <c r="G20" s="327"/>
      <c r="H20" s="371"/>
      <c r="I20" s="691"/>
      <c r="J20" s="936"/>
      <c r="K20" s="821"/>
      <c r="L20" s="680"/>
      <c r="M20" s="346"/>
      <c r="N20" s="25"/>
      <c r="O20" s="26"/>
    </row>
    <row r="21" spans="1:17" ht="26.25" customHeight="1" x14ac:dyDescent="0.2">
      <c r="A21" s="1136"/>
      <c r="B21" s="1128"/>
      <c r="C21" s="1129"/>
      <c r="D21" s="1130" t="s">
        <v>182</v>
      </c>
      <c r="E21" s="1137" t="s">
        <v>66</v>
      </c>
      <c r="F21" s="651" t="s">
        <v>61</v>
      </c>
      <c r="G21" s="323" t="s">
        <v>228</v>
      </c>
      <c r="H21" s="536">
        <f>50/3.4528*1000</f>
        <v>14481</v>
      </c>
      <c r="I21" s="521">
        <f>50/3.4528*1000</f>
        <v>14481</v>
      </c>
      <c r="J21" s="938"/>
      <c r="K21" s="822"/>
      <c r="L21" s="156"/>
      <c r="M21" s="347"/>
      <c r="N21" s="306"/>
      <c r="O21" s="307"/>
    </row>
    <row r="22" spans="1:17" ht="15.75" customHeight="1" x14ac:dyDescent="0.2">
      <c r="A22" s="1136"/>
      <c r="B22" s="1128"/>
      <c r="C22" s="1129"/>
      <c r="D22" s="1135"/>
      <c r="E22" s="1138"/>
      <c r="F22" s="638"/>
      <c r="G22" s="173"/>
      <c r="H22" s="537"/>
      <c r="I22" s="690"/>
      <c r="J22" s="726"/>
      <c r="K22" s="823"/>
      <c r="L22" s="563"/>
      <c r="M22" s="564"/>
      <c r="N22" s="565"/>
      <c r="O22" s="566"/>
    </row>
    <row r="23" spans="1:17" ht="28.5" customHeight="1" x14ac:dyDescent="0.2">
      <c r="A23" s="1136"/>
      <c r="B23" s="1128"/>
      <c r="C23" s="1129"/>
      <c r="D23" s="660"/>
      <c r="E23" s="1139"/>
      <c r="F23" s="653"/>
      <c r="G23" s="23" t="s">
        <v>35</v>
      </c>
      <c r="H23" s="371"/>
      <c r="I23" s="691"/>
      <c r="J23" s="936"/>
      <c r="K23" s="818"/>
      <c r="L23" s="188"/>
      <c r="M23" s="34"/>
      <c r="N23" s="186"/>
      <c r="O23" s="187"/>
    </row>
    <row r="24" spans="1:17" ht="39.75" customHeight="1" x14ac:dyDescent="0.2">
      <c r="A24" s="654"/>
      <c r="B24" s="629"/>
      <c r="C24" s="630"/>
      <c r="D24" s="349" t="s">
        <v>183</v>
      </c>
      <c r="E24" s="350"/>
      <c r="F24" s="678" t="s">
        <v>61</v>
      </c>
      <c r="G24" s="21" t="s">
        <v>243</v>
      </c>
      <c r="H24" s="544">
        <f>210.9/3.4528*1000</f>
        <v>61081</v>
      </c>
      <c r="I24" s="694">
        <f>61081-61081</f>
        <v>0</v>
      </c>
      <c r="J24" s="1010">
        <f>I24-H24</f>
        <v>-61081</v>
      </c>
      <c r="K24" s="824"/>
      <c r="L24" s="1044" t="s">
        <v>188</v>
      </c>
      <c r="M24" s="1045" t="s">
        <v>267</v>
      </c>
      <c r="N24" s="1046" t="s">
        <v>174</v>
      </c>
      <c r="O24" s="351"/>
    </row>
    <row r="25" spans="1:17" ht="13.5" customHeight="1" x14ac:dyDescent="0.2">
      <c r="A25" s="654"/>
      <c r="B25" s="629"/>
      <c r="C25" s="630"/>
      <c r="D25" s="1135" t="s">
        <v>114</v>
      </c>
      <c r="E25" s="1137" t="s">
        <v>66</v>
      </c>
      <c r="F25" s="638" t="s">
        <v>61</v>
      </c>
      <c r="G25" s="327"/>
      <c r="H25" s="371"/>
      <c r="I25" s="691"/>
      <c r="J25" s="936"/>
      <c r="K25" s="822"/>
      <c r="L25" s="1174"/>
      <c r="M25" s="204"/>
      <c r="N25" s="304"/>
      <c r="O25" s="305"/>
    </row>
    <row r="26" spans="1:17" ht="12" customHeight="1" x14ac:dyDescent="0.2">
      <c r="A26" s="654"/>
      <c r="B26" s="629"/>
      <c r="C26" s="630"/>
      <c r="D26" s="1206"/>
      <c r="E26" s="1148"/>
      <c r="F26" s="638"/>
      <c r="G26" s="193" t="s">
        <v>228</v>
      </c>
      <c r="H26" s="542">
        <f>66.3/3.4528*1000</f>
        <v>19202</v>
      </c>
      <c r="I26" s="689">
        <f>66.3/3.4528*1000+6020</f>
        <v>25222</v>
      </c>
      <c r="J26" s="836">
        <f>I26-H26</f>
        <v>6020</v>
      </c>
      <c r="K26" s="833"/>
      <c r="L26" s="1175"/>
      <c r="M26" s="107"/>
      <c r="N26" s="304"/>
      <c r="O26" s="305"/>
    </row>
    <row r="27" spans="1:17" ht="13.5" customHeight="1" x14ac:dyDescent="0.2">
      <c r="A27" s="654"/>
      <c r="B27" s="629"/>
      <c r="C27" s="630"/>
      <c r="D27" s="1207"/>
      <c r="E27" s="1139"/>
      <c r="F27" s="638"/>
      <c r="G27" s="23" t="s">
        <v>243</v>
      </c>
      <c r="H27" s="550">
        <f>358/3.4528*1000</f>
        <v>103684</v>
      </c>
      <c r="I27" s="697">
        <f>103684-11392</f>
        <v>92292</v>
      </c>
      <c r="J27" s="1011">
        <f>I27-H27</f>
        <v>-11392</v>
      </c>
      <c r="K27" s="826"/>
      <c r="L27" s="1176"/>
      <c r="M27" s="205"/>
      <c r="N27" s="304"/>
      <c r="O27" s="305"/>
    </row>
    <row r="28" spans="1:17" ht="12.75" customHeight="1" x14ac:dyDescent="0.2">
      <c r="A28" s="1136"/>
      <c r="B28" s="1128"/>
      <c r="C28" s="1129"/>
      <c r="D28" s="1141" t="s">
        <v>206</v>
      </c>
      <c r="E28" s="1137" t="s">
        <v>66</v>
      </c>
      <c r="F28" s="1132" t="s">
        <v>61</v>
      </c>
      <c r="G28" s="719"/>
      <c r="H28" s="541"/>
      <c r="I28" s="692"/>
      <c r="J28" s="1054"/>
      <c r="K28" s="834"/>
      <c r="L28" s="1174"/>
      <c r="M28" s="253"/>
      <c r="N28" s="41"/>
      <c r="O28" s="42"/>
    </row>
    <row r="29" spans="1:17" ht="13.5" customHeight="1" x14ac:dyDescent="0.2">
      <c r="A29" s="1136"/>
      <c r="B29" s="1128"/>
      <c r="C29" s="1129"/>
      <c r="D29" s="1142"/>
      <c r="E29" s="1148"/>
      <c r="F29" s="1134"/>
      <c r="G29" s="15" t="s">
        <v>35</v>
      </c>
      <c r="H29" s="548"/>
      <c r="I29" s="693"/>
      <c r="J29" s="1055"/>
      <c r="K29" s="840"/>
      <c r="L29" s="1175"/>
      <c r="M29" s="254"/>
      <c r="N29" s="25"/>
      <c r="O29" s="26"/>
    </row>
    <row r="30" spans="1:17" ht="15.75" customHeight="1" thickBot="1" x14ac:dyDescent="0.25">
      <c r="A30" s="1136"/>
      <c r="B30" s="1128"/>
      <c r="C30" s="1129"/>
      <c r="D30" s="1143"/>
      <c r="E30" s="1139"/>
      <c r="F30" s="1140"/>
      <c r="G30" s="210" t="s">
        <v>6</v>
      </c>
      <c r="H30" s="539">
        <f>SUM(H13:H29)</f>
        <v>351135</v>
      </c>
      <c r="I30" s="695">
        <f>SUM(I13:I29)</f>
        <v>284682</v>
      </c>
      <c r="J30" s="1056">
        <f>SUM(J13:J29)</f>
        <v>-66453</v>
      </c>
      <c r="K30" s="701"/>
      <c r="L30" s="1324"/>
      <c r="M30" s="255"/>
      <c r="N30" s="34"/>
      <c r="O30" s="35"/>
    </row>
    <row r="31" spans="1:17" ht="33.75" customHeight="1" x14ac:dyDescent="0.2">
      <c r="A31" s="655" t="s">
        <v>5</v>
      </c>
      <c r="B31" s="657" t="s">
        <v>5</v>
      </c>
      <c r="C31" s="636" t="s">
        <v>7</v>
      </c>
      <c r="D31" s="67" t="s">
        <v>70</v>
      </c>
      <c r="E31" s="208" t="s">
        <v>161</v>
      </c>
      <c r="F31" s="637"/>
      <c r="G31" s="243"/>
      <c r="H31" s="535"/>
      <c r="I31" s="698"/>
      <c r="J31" s="1057"/>
      <c r="K31" s="903"/>
      <c r="L31" s="131"/>
      <c r="M31" s="164"/>
      <c r="N31" s="176"/>
      <c r="O31" s="177"/>
      <c r="P31" s="13"/>
      <c r="Q31" s="12"/>
    </row>
    <row r="32" spans="1:17" ht="13.5" customHeight="1" x14ac:dyDescent="0.2">
      <c r="A32" s="1127"/>
      <c r="B32" s="1128"/>
      <c r="C32" s="1129"/>
      <c r="D32" s="1141" t="s">
        <v>236</v>
      </c>
      <c r="E32" s="1182" t="s">
        <v>66</v>
      </c>
      <c r="F32" s="1132" t="s">
        <v>61</v>
      </c>
      <c r="G32" s="198" t="s">
        <v>49</v>
      </c>
      <c r="H32" s="568">
        <f>155207-155207</f>
        <v>0</v>
      </c>
      <c r="I32" s="692">
        <f>155207-155207</f>
        <v>0</v>
      </c>
      <c r="J32" s="815"/>
      <c r="K32" s="904"/>
      <c r="L32" s="596"/>
      <c r="M32" s="597"/>
      <c r="N32" s="347"/>
      <c r="O32" s="598"/>
    </row>
    <row r="33" spans="1:18" ht="17.25" customHeight="1" x14ac:dyDescent="0.2">
      <c r="A33" s="1127"/>
      <c r="B33" s="1128"/>
      <c r="C33" s="1129"/>
      <c r="D33" s="1142"/>
      <c r="E33" s="1310"/>
      <c r="F33" s="1134"/>
      <c r="G33" s="246" t="s">
        <v>243</v>
      </c>
      <c r="H33" s="905">
        <v>155210</v>
      </c>
      <c r="I33" s="693">
        <v>155210</v>
      </c>
      <c r="J33" s="836"/>
      <c r="K33" s="837"/>
      <c r="L33" s="167"/>
      <c r="M33" s="168"/>
      <c r="N33" s="169"/>
      <c r="O33" s="170"/>
    </row>
    <row r="34" spans="1:18" ht="12" customHeight="1" x14ac:dyDescent="0.2">
      <c r="A34" s="1127"/>
      <c r="B34" s="1128"/>
      <c r="C34" s="1129"/>
      <c r="D34" s="1142"/>
      <c r="E34" s="1310"/>
      <c r="F34" s="1134"/>
      <c r="G34" s="569" t="s">
        <v>228</v>
      </c>
      <c r="H34" s="906">
        <f>41387+57400</f>
        <v>98787</v>
      </c>
      <c r="I34" s="690">
        <f>41387+57400</f>
        <v>98787</v>
      </c>
      <c r="J34" s="1016"/>
      <c r="K34" s="907"/>
      <c r="L34" s="167"/>
      <c r="M34" s="168"/>
      <c r="N34" s="169"/>
      <c r="O34" s="170"/>
    </row>
    <row r="35" spans="1:18" x14ac:dyDescent="0.2">
      <c r="A35" s="1127"/>
      <c r="B35" s="1128"/>
      <c r="C35" s="1129"/>
      <c r="D35" s="1143"/>
      <c r="E35" s="1183"/>
      <c r="F35" s="1140"/>
      <c r="G35" s="249" t="s">
        <v>35</v>
      </c>
      <c r="H35" s="908"/>
      <c r="I35" s="691"/>
      <c r="J35" s="1017"/>
      <c r="K35" s="909"/>
      <c r="L35" s="189"/>
      <c r="M35" s="183"/>
      <c r="N35" s="194"/>
      <c r="O35" s="184"/>
    </row>
    <row r="36" spans="1:18" ht="12.75" customHeight="1" x14ac:dyDescent="0.2">
      <c r="A36" s="1127"/>
      <c r="B36" s="1128"/>
      <c r="C36" s="1129"/>
      <c r="D36" s="1130" t="s">
        <v>153</v>
      </c>
      <c r="E36" s="63" t="s">
        <v>66</v>
      </c>
      <c r="F36" s="1132" t="s">
        <v>61</v>
      </c>
      <c r="G36" s="198" t="s">
        <v>243</v>
      </c>
      <c r="H36" s="568">
        <f>320/3.4528*1000</f>
        <v>92678</v>
      </c>
      <c r="I36" s="692">
        <f>92678-62364</f>
        <v>30314</v>
      </c>
      <c r="J36" s="1012">
        <f>I36-H36</f>
        <v>-62364</v>
      </c>
      <c r="K36" s="835"/>
      <c r="L36" s="632"/>
      <c r="M36" s="41"/>
      <c r="N36" s="41"/>
      <c r="O36" s="42"/>
    </row>
    <row r="37" spans="1:18" x14ac:dyDescent="0.2">
      <c r="A37" s="1127"/>
      <c r="B37" s="1128"/>
      <c r="C37" s="1129"/>
      <c r="D37" s="1131"/>
      <c r="E37" s="332"/>
      <c r="F37" s="1133"/>
      <c r="G37" s="250" t="s">
        <v>35</v>
      </c>
      <c r="H37" s="910"/>
      <c r="I37" s="689"/>
      <c r="J37" s="1058"/>
      <c r="K37" s="907"/>
      <c r="L37" s="333"/>
      <c r="M37" s="334"/>
      <c r="N37" s="335"/>
      <c r="O37" s="336"/>
    </row>
    <row r="38" spans="1:18" ht="27" customHeight="1" x14ac:dyDescent="0.2">
      <c r="A38" s="654"/>
      <c r="B38" s="629"/>
      <c r="C38" s="630"/>
      <c r="D38" s="331" t="s">
        <v>184</v>
      </c>
      <c r="E38" s="268"/>
      <c r="F38" s="638" t="s">
        <v>61</v>
      </c>
      <c r="G38" s="249" t="s">
        <v>243</v>
      </c>
      <c r="H38" s="908">
        <f>131.2/3.4528*1000</f>
        <v>37998</v>
      </c>
      <c r="I38" s="691">
        <f>37998+35309</f>
        <v>73307</v>
      </c>
      <c r="J38" s="1023">
        <f>I38-H38</f>
        <v>35309</v>
      </c>
      <c r="K38" s="851"/>
      <c r="L38" s="348"/>
      <c r="M38" s="320"/>
      <c r="N38" s="34"/>
      <c r="O38" s="35"/>
    </row>
    <row r="39" spans="1:18" ht="16.5" customHeight="1" x14ac:dyDescent="0.2">
      <c r="A39" s="1136"/>
      <c r="B39" s="1128"/>
      <c r="C39" s="1129"/>
      <c r="D39" s="1130" t="s">
        <v>165</v>
      </c>
      <c r="E39" s="63" t="s">
        <v>66</v>
      </c>
      <c r="F39" s="1132" t="s">
        <v>61</v>
      </c>
      <c r="G39" s="198" t="s">
        <v>243</v>
      </c>
      <c r="H39" s="568">
        <f>550/3.4528*1000</f>
        <v>159291</v>
      </c>
      <c r="I39" s="692">
        <f>159291-72126</f>
        <v>87165</v>
      </c>
      <c r="J39" s="815">
        <f>I39-H39</f>
        <v>-72126</v>
      </c>
      <c r="K39" s="931"/>
      <c r="L39" s="1174"/>
      <c r="M39" s="41"/>
      <c r="N39" s="41"/>
      <c r="O39" s="42"/>
    </row>
    <row r="40" spans="1:18" ht="15.75" customHeight="1" x14ac:dyDescent="0.2">
      <c r="A40" s="1136"/>
      <c r="B40" s="1128"/>
      <c r="C40" s="1129"/>
      <c r="D40" s="1184"/>
      <c r="E40" s="268"/>
      <c r="F40" s="1140"/>
      <c r="G40" s="249" t="s">
        <v>228</v>
      </c>
      <c r="H40" s="908">
        <f>85/3.4528*1000</f>
        <v>24618</v>
      </c>
      <c r="I40" s="691">
        <f>24618-6020</f>
        <v>18598</v>
      </c>
      <c r="J40" s="1023">
        <f>I40-H40</f>
        <v>-6020</v>
      </c>
      <c r="K40" s="932"/>
      <c r="L40" s="1176"/>
      <c r="M40" s="34"/>
      <c r="N40" s="34"/>
      <c r="O40" s="35"/>
    </row>
    <row r="41" spans="1:18" ht="18" customHeight="1" x14ac:dyDescent="0.2">
      <c r="A41" s="654"/>
      <c r="B41" s="629"/>
      <c r="C41" s="630"/>
      <c r="D41" s="316" t="s">
        <v>185</v>
      </c>
      <c r="E41" s="329"/>
      <c r="F41" s="678" t="s">
        <v>61</v>
      </c>
      <c r="G41" s="244" t="s">
        <v>243</v>
      </c>
      <c r="H41" s="911">
        <f>34.7/3.4528*1000</f>
        <v>10050</v>
      </c>
      <c r="I41" s="694">
        <f>10050+39000</f>
        <v>49050</v>
      </c>
      <c r="J41" s="1059">
        <f>I41-H41</f>
        <v>39000</v>
      </c>
      <c r="K41" s="877"/>
      <c r="L41" s="318"/>
      <c r="M41" s="319"/>
      <c r="N41" s="321"/>
      <c r="O41" s="322"/>
    </row>
    <row r="42" spans="1:18" ht="15.75" customHeight="1" x14ac:dyDescent="0.2">
      <c r="A42" s="1127"/>
      <c r="B42" s="1128"/>
      <c r="C42" s="1129"/>
      <c r="D42" s="1141" t="s">
        <v>90</v>
      </c>
      <c r="E42" s="63" t="s">
        <v>66</v>
      </c>
      <c r="F42" s="1132" t="s">
        <v>61</v>
      </c>
      <c r="G42" s="198" t="s">
        <v>243</v>
      </c>
      <c r="H42" s="568">
        <v>18455</v>
      </c>
      <c r="I42" s="692">
        <f>18455-4240</f>
        <v>14215</v>
      </c>
      <c r="J42" s="1013">
        <f>I42-H42</f>
        <v>-4240</v>
      </c>
      <c r="K42" s="933"/>
      <c r="L42" s="722"/>
      <c r="M42" s="41"/>
      <c r="N42" s="41"/>
      <c r="O42" s="42"/>
      <c r="P42" s="611"/>
      <c r="Q42" s="739"/>
    </row>
    <row r="43" spans="1:18" ht="18" customHeight="1" x14ac:dyDescent="0.2">
      <c r="A43" s="1127"/>
      <c r="B43" s="1128"/>
      <c r="C43" s="1129"/>
      <c r="D43" s="1143"/>
      <c r="E43" s="203"/>
      <c r="F43" s="1140"/>
      <c r="G43" s="560" t="s">
        <v>49</v>
      </c>
      <c r="H43" s="908">
        <f>24241-24241</f>
        <v>0</v>
      </c>
      <c r="I43" s="691">
        <f>24241-24241</f>
        <v>0</v>
      </c>
      <c r="J43" s="1017"/>
      <c r="K43" s="909"/>
      <c r="L43" s="188"/>
      <c r="M43" s="34"/>
      <c r="N43" s="34"/>
      <c r="O43" s="35"/>
      <c r="P43" s="739"/>
      <c r="Q43" s="739"/>
      <c r="R43" s="603"/>
    </row>
    <row r="44" spans="1:18" ht="39" customHeight="1" x14ac:dyDescent="0.2">
      <c r="A44" s="654"/>
      <c r="B44" s="629"/>
      <c r="C44" s="630"/>
      <c r="D44" s="1142" t="s">
        <v>207</v>
      </c>
      <c r="E44" s="641" t="s">
        <v>66</v>
      </c>
      <c r="F44" s="638" t="s">
        <v>61</v>
      </c>
      <c r="G44" s="244" t="s">
        <v>243</v>
      </c>
      <c r="H44" s="911"/>
      <c r="I44" s="694"/>
      <c r="J44" s="1059"/>
      <c r="K44" s="839"/>
      <c r="L44" s="723"/>
      <c r="M44" s="68"/>
      <c r="N44" s="68"/>
      <c r="O44" s="69"/>
    </row>
    <row r="45" spans="1:18" ht="15" customHeight="1" thickBot="1" x14ac:dyDescent="0.25">
      <c r="A45" s="656"/>
      <c r="B45" s="634"/>
      <c r="C45" s="635"/>
      <c r="D45" s="1371"/>
      <c r="E45" s="203"/>
      <c r="F45" s="639"/>
      <c r="G45" s="838" t="s">
        <v>6</v>
      </c>
      <c r="H45" s="912">
        <f>SUM(H31:H44)</f>
        <v>597087</v>
      </c>
      <c r="I45" s="700">
        <f>SUM(I31:I44)</f>
        <v>526646</v>
      </c>
      <c r="J45" s="1060">
        <f>SUM(J31:J44)</f>
        <v>-70441</v>
      </c>
      <c r="K45" s="857"/>
      <c r="L45" s="128"/>
      <c r="M45" s="34"/>
      <c r="N45" s="186"/>
      <c r="O45" s="187"/>
    </row>
    <row r="46" spans="1:18" ht="35.25" customHeight="1" x14ac:dyDescent="0.2">
      <c r="A46" s="655" t="s">
        <v>5</v>
      </c>
      <c r="B46" s="657" t="s">
        <v>5</v>
      </c>
      <c r="C46" s="636" t="s">
        <v>37</v>
      </c>
      <c r="D46" s="73" t="s">
        <v>71</v>
      </c>
      <c r="E46" s="207" t="s">
        <v>164</v>
      </c>
      <c r="F46" s="92"/>
      <c r="G46" s="243"/>
      <c r="H46" s="913"/>
      <c r="I46" s="699"/>
      <c r="J46" s="1061"/>
      <c r="K46" s="858"/>
      <c r="L46" s="131"/>
      <c r="M46" s="171"/>
      <c r="N46" s="171"/>
      <c r="O46" s="172"/>
    </row>
    <row r="47" spans="1:18" ht="19.5" customHeight="1" x14ac:dyDescent="0.2">
      <c r="A47" s="654"/>
      <c r="B47" s="629"/>
      <c r="C47" s="630"/>
      <c r="D47" s="1130" t="s">
        <v>86</v>
      </c>
      <c r="E47" s="642" t="s">
        <v>66</v>
      </c>
      <c r="F47" s="651" t="s">
        <v>61</v>
      </c>
      <c r="G47" s="244" t="s">
        <v>49</v>
      </c>
      <c r="H47" s="911">
        <f>47816-47816</f>
        <v>0</v>
      </c>
      <c r="I47" s="694">
        <f>47816-47816</f>
        <v>0</v>
      </c>
      <c r="J47" s="1010"/>
      <c r="K47" s="856"/>
      <c r="L47" s="129"/>
      <c r="M47" s="496"/>
      <c r="N47" s="196"/>
      <c r="O47" s="197"/>
    </row>
    <row r="48" spans="1:18" ht="17.25" customHeight="1" x14ac:dyDescent="0.2">
      <c r="A48" s="654"/>
      <c r="B48" s="629"/>
      <c r="C48" s="630"/>
      <c r="D48" s="1370"/>
      <c r="E48" s="679"/>
      <c r="F48" s="271"/>
      <c r="G48" s="244" t="s">
        <v>243</v>
      </c>
      <c r="H48" s="911">
        <v>47820</v>
      </c>
      <c r="I48" s="694">
        <v>47820</v>
      </c>
      <c r="J48" s="1010"/>
      <c r="K48" s="856"/>
      <c r="L48" s="129"/>
      <c r="M48" s="496"/>
      <c r="N48" s="196"/>
      <c r="O48" s="197"/>
    </row>
    <row r="49" spans="1:21" ht="16.5" customHeight="1" x14ac:dyDescent="0.2">
      <c r="A49" s="1136"/>
      <c r="B49" s="1128"/>
      <c r="C49" s="1129"/>
      <c r="D49" s="1325" t="s">
        <v>233</v>
      </c>
      <c r="E49" s="1327" t="s">
        <v>66</v>
      </c>
      <c r="F49" s="1329" t="s">
        <v>61</v>
      </c>
      <c r="G49" s="720" t="s">
        <v>49</v>
      </c>
      <c r="H49" s="910">
        <f>34725-34725</f>
        <v>0</v>
      </c>
      <c r="I49" s="689">
        <f>34725-34725</f>
        <v>0</v>
      </c>
      <c r="J49" s="1062"/>
      <c r="K49" s="914"/>
      <c r="L49" s="1372"/>
      <c r="M49" s="744"/>
      <c r="N49" s="744"/>
      <c r="O49" s="69"/>
    </row>
    <row r="50" spans="1:21" ht="16.5" customHeight="1" x14ac:dyDescent="0.2">
      <c r="A50" s="1136"/>
      <c r="B50" s="1128"/>
      <c r="C50" s="1129"/>
      <c r="D50" s="1325"/>
      <c r="E50" s="1327"/>
      <c r="F50" s="1329"/>
      <c r="G50" s="721" t="s">
        <v>243</v>
      </c>
      <c r="H50" s="906">
        <v>34730</v>
      </c>
      <c r="I50" s="690">
        <v>34730</v>
      </c>
      <c r="J50" s="1014"/>
      <c r="K50" s="844"/>
      <c r="L50" s="1372"/>
      <c r="M50" s="744"/>
      <c r="N50" s="744"/>
      <c r="O50" s="69"/>
    </row>
    <row r="51" spans="1:21" ht="16.5" customHeight="1" x14ac:dyDescent="0.2">
      <c r="A51" s="1136"/>
      <c r="B51" s="1128"/>
      <c r="C51" s="1129"/>
      <c r="D51" s="1325"/>
      <c r="E51" s="1327"/>
      <c r="F51" s="1329"/>
      <c r="G51" s="600" t="s">
        <v>243</v>
      </c>
      <c r="H51" s="905">
        <v>4000</v>
      </c>
      <c r="I51" s="693">
        <f>4-4</f>
        <v>0</v>
      </c>
      <c r="J51" s="1014">
        <f>I51-H51</f>
        <v>-4000</v>
      </c>
      <c r="K51" s="844"/>
      <c r="L51" s="1372"/>
      <c r="M51" s="744"/>
      <c r="N51" s="744"/>
      <c r="O51" s="69"/>
    </row>
    <row r="52" spans="1:21" ht="16.5" customHeight="1" x14ac:dyDescent="0.2">
      <c r="A52" s="1136"/>
      <c r="B52" s="1128"/>
      <c r="C52" s="1129"/>
      <c r="D52" s="1325"/>
      <c r="E52" s="1327"/>
      <c r="F52" s="1329"/>
      <c r="G52" s="245" t="s">
        <v>65</v>
      </c>
      <c r="H52" s="549"/>
      <c r="I52" s="690"/>
      <c r="J52" s="1014"/>
      <c r="K52" s="844"/>
      <c r="L52" s="1372"/>
      <c r="M52" s="744"/>
      <c r="N52" s="744"/>
      <c r="O52" s="69"/>
    </row>
    <row r="53" spans="1:21" ht="18.75" customHeight="1" x14ac:dyDescent="0.2">
      <c r="A53" s="1136"/>
      <c r="B53" s="1128"/>
      <c r="C53" s="1129"/>
      <c r="D53" s="1326"/>
      <c r="E53" s="1328"/>
      <c r="F53" s="1330"/>
      <c r="G53" s="591" t="s">
        <v>62</v>
      </c>
      <c r="H53" s="543"/>
      <c r="I53" s="691"/>
      <c r="J53" s="1017"/>
      <c r="K53" s="909"/>
      <c r="L53" s="1373"/>
      <c r="M53" s="745"/>
      <c r="N53" s="745"/>
      <c r="O53" s="71"/>
    </row>
    <row r="54" spans="1:21" x14ac:dyDescent="0.2">
      <c r="A54" s="1136"/>
      <c r="B54" s="1128"/>
      <c r="C54" s="1129"/>
      <c r="D54" s="1225" t="s">
        <v>91</v>
      </c>
      <c r="E54" s="1327" t="s">
        <v>66</v>
      </c>
      <c r="F54" s="1329" t="s">
        <v>61</v>
      </c>
      <c r="G54" s="250" t="s">
        <v>243</v>
      </c>
      <c r="H54" s="542"/>
      <c r="I54" s="689"/>
      <c r="J54" s="1012"/>
      <c r="K54" s="845"/>
      <c r="L54" s="1318"/>
      <c r="M54" s="68"/>
      <c r="N54" s="68"/>
      <c r="O54" s="69"/>
    </row>
    <row r="55" spans="1:21" x14ac:dyDescent="0.2">
      <c r="A55" s="1136"/>
      <c r="B55" s="1128"/>
      <c r="C55" s="1129"/>
      <c r="D55" s="1225"/>
      <c r="E55" s="1327"/>
      <c r="F55" s="1329"/>
      <c r="G55" s="246" t="s">
        <v>63</v>
      </c>
      <c r="H55" s="548"/>
      <c r="I55" s="693"/>
      <c r="J55" s="929"/>
      <c r="K55" s="915"/>
      <c r="L55" s="1318"/>
      <c r="M55" s="499"/>
      <c r="N55" s="499"/>
      <c r="O55" s="534"/>
      <c r="Q55" s="561"/>
    </row>
    <row r="56" spans="1:21" x14ac:dyDescent="0.2">
      <c r="A56" s="1136"/>
      <c r="B56" s="1128"/>
      <c r="C56" s="1129"/>
      <c r="D56" s="1130" t="s">
        <v>208</v>
      </c>
      <c r="E56" s="647" t="s">
        <v>66</v>
      </c>
      <c r="F56" s="673" t="s">
        <v>61</v>
      </c>
      <c r="G56" s="247" t="s">
        <v>35</v>
      </c>
      <c r="H56" s="541"/>
      <c r="I56" s="692"/>
      <c r="J56" s="1013"/>
      <c r="K56" s="846"/>
      <c r="L56" s="1255"/>
      <c r="M56" s="52"/>
      <c r="N56" s="52"/>
      <c r="O56" s="72"/>
    </row>
    <row r="57" spans="1:21" x14ac:dyDescent="0.2">
      <c r="A57" s="1136"/>
      <c r="B57" s="1128"/>
      <c r="C57" s="1129"/>
      <c r="D57" s="1135"/>
      <c r="E57" s="212"/>
      <c r="F57" s="213"/>
      <c r="G57" s="248" t="s">
        <v>243</v>
      </c>
      <c r="H57" s="550"/>
      <c r="I57" s="697"/>
      <c r="J57" s="1063"/>
      <c r="K57" s="847"/>
      <c r="L57" s="1318"/>
      <c r="M57" s="499"/>
      <c r="N57" s="499"/>
      <c r="O57" s="534"/>
      <c r="Q57" s="12"/>
    </row>
    <row r="58" spans="1:21" ht="13.5" thickBot="1" x14ac:dyDescent="0.25">
      <c r="A58" s="656"/>
      <c r="B58" s="634"/>
      <c r="C58" s="666"/>
      <c r="D58" s="1371"/>
      <c r="E58" s="592"/>
      <c r="F58" s="639"/>
      <c r="G58" s="211" t="s">
        <v>6</v>
      </c>
      <c r="H58" s="545">
        <f>SUM(H46:H57)</f>
        <v>86550</v>
      </c>
      <c r="I58" s="700">
        <f>SUM(I46:I57)</f>
        <v>82550</v>
      </c>
      <c r="J58" s="1060">
        <f>SUM(J46:J57)</f>
        <v>-4000</v>
      </c>
      <c r="K58" s="857"/>
      <c r="L58" s="128"/>
      <c r="M58" s="295"/>
      <c r="N58" s="295"/>
      <c r="O58" s="593"/>
    </row>
    <row r="59" spans="1:21" ht="27" customHeight="1" x14ac:dyDescent="0.2">
      <c r="A59" s="655" t="s">
        <v>5</v>
      </c>
      <c r="B59" s="657" t="s">
        <v>5</v>
      </c>
      <c r="C59" s="636" t="s">
        <v>42</v>
      </c>
      <c r="D59" s="77" t="s">
        <v>72</v>
      </c>
      <c r="E59" s="594" t="s">
        <v>160</v>
      </c>
      <c r="F59" s="78"/>
      <c r="G59" s="90"/>
      <c r="H59" s="535"/>
      <c r="I59" s="698"/>
      <c r="J59" s="1064"/>
      <c r="K59" s="916"/>
      <c r="L59" s="163"/>
      <c r="M59" s="164"/>
      <c r="N59" s="164"/>
      <c r="O59" s="165"/>
      <c r="P59" s="983"/>
      <c r="Q59" s="12"/>
    </row>
    <row r="60" spans="1:21" ht="18" customHeight="1" x14ac:dyDescent="0.2">
      <c r="A60" s="654"/>
      <c r="B60" s="629"/>
      <c r="C60" s="630"/>
      <c r="D60" s="1142" t="s">
        <v>92</v>
      </c>
      <c r="E60" s="1340" t="s">
        <v>66</v>
      </c>
      <c r="F60" s="1354" t="s">
        <v>61</v>
      </c>
      <c r="G60" s="850" t="s">
        <v>49</v>
      </c>
      <c r="H60" s="568">
        <f>98471-98471</f>
        <v>0</v>
      </c>
      <c r="I60" s="692">
        <f>98471-98471</f>
        <v>0</v>
      </c>
      <c r="J60" s="815"/>
      <c r="K60" s="845"/>
      <c r="L60" s="1318"/>
      <c r="M60" s="41"/>
      <c r="N60" s="499"/>
      <c r="O60" s="534"/>
      <c r="P60" s="983"/>
      <c r="Q60" s="12"/>
    </row>
    <row r="61" spans="1:21" ht="28.5" customHeight="1" x14ac:dyDescent="0.2">
      <c r="A61" s="654"/>
      <c r="B61" s="629"/>
      <c r="C61" s="630"/>
      <c r="D61" s="1142"/>
      <c r="E61" s="1340"/>
      <c r="F61" s="1354"/>
      <c r="G61" s="91" t="s">
        <v>243</v>
      </c>
      <c r="H61" s="908">
        <v>74849</v>
      </c>
      <c r="I61" s="691">
        <f>74849-5690</f>
        <v>69159</v>
      </c>
      <c r="J61" s="929">
        <f>I61-H61</f>
        <v>-5690</v>
      </c>
      <c r="K61" s="930"/>
      <c r="L61" s="1318"/>
      <c r="M61" s="499"/>
      <c r="N61" s="499"/>
      <c r="O61" s="534"/>
      <c r="P61" s="611"/>
      <c r="Q61" s="739"/>
      <c r="U61" s="562"/>
    </row>
    <row r="62" spans="1:21" ht="18" customHeight="1" x14ac:dyDescent="0.2">
      <c r="A62" s="1136"/>
      <c r="B62" s="1128"/>
      <c r="C62" s="1129"/>
      <c r="D62" s="1130" t="s">
        <v>209</v>
      </c>
      <c r="E62" s="1182" t="s">
        <v>66</v>
      </c>
      <c r="F62" s="1132" t="s">
        <v>61</v>
      </c>
      <c r="G62" s="198" t="s">
        <v>243</v>
      </c>
      <c r="H62" s="568">
        <f>28962-22620</f>
        <v>6342</v>
      </c>
      <c r="I62" s="692">
        <v>0</v>
      </c>
      <c r="J62" s="815">
        <f>I62-H62</f>
        <v>-6342</v>
      </c>
      <c r="K62" s="904"/>
      <c r="L62" s="185"/>
      <c r="M62" s="201"/>
      <c r="N62" s="201"/>
      <c r="O62" s="202"/>
      <c r="P62" s="611"/>
      <c r="Q62" s="739"/>
    </row>
    <row r="63" spans="1:21" ht="27" customHeight="1" x14ac:dyDescent="0.2">
      <c r="A63" s="1136"/>
      <c r="B63" s="1128"/>
      <c r="C63" s="1129"/>
      <c r="D63" s="1135"/>
      <c r="E63" s="1310"/>
      <c r="F63" s="1134"/>
      <c r="G63" s="246" t="s">
        <v>35</v>
      </c>
      <c r="H63" s="905"/>
      <c r="I63" s="693"/>
      <c r="J63" s="929"/>
      <c r="K63" s="930"/>
      <c r="L63" s="648"/>
      <c r="M63" s="68"/>
      <c r="N63" s="68"/>
      <c r="O63" s="192"/>
    </row>
    <row r="64" spans="1:21" ht="12.75" customHeight="1" x14ac:dyDescent="0.2">
      <c r="A64" s="1136"/>
      <c r="B64" s="1128"/>
      <c r="C64" s="1129"/>
      <c r="D64" s="1130" t="s">
        <v>166</v>
      </c>
      <c r="E64" s="1182" t="s">
        <v>66</v>
      </c>
      <c r="F64" s="1132" t="s">
        <v>61</v>
      </c>
      <c r="G64" s="198" t="s">
        <v>243</v>
      </c>
      <c r="H64" s="568">
        <f>88/3.4528*1000</f>
        <v>25487</v>
      </c>
      <c r="I64" s="692">
        <f>25487-14988</f>
        <v>10499</v>
      </c>
      <c r="J64" s="1012">
        <f>I64-H64</f>
        <v>-14988</v>
      </c>
      <c r="K64" s="835"/>
      <c r="L64" s="1174"/>
      <c r="M64" s="52"/>
      <c r="N64" s="52"/>
      <c r="O64" s="72"/>
    </row>
    <row r="65" spans="1:19" ht="12.75" customHeight="1" x14ac:dyDescent="0.2">
      <c r="A65" s="1136"/>
      <c r="B65" s="1128"/>
      <c r="C65" s="1129"/>
      <c r="D65" s="1135"/>
      <c r="E65" s="1310"/>
      <c r="F65" s="1134"/>
      <c r="G65" s="248" t="s">
        <v>63</v>
      </c>
      <c r="H65" s="917"/>
      <c r="I65" s="697"/>
      <c r="J65" s="1065"/>
      <c r="K65" s="851"/>
      <c r="L65" s="1175"/>
      <c r="M65" s="68"/>
      <c r="N65" s="68"/>
      <c r="O65" s="69"/>
    </row>
    <row r="66" spans="1:19" ht="15.75" customHeight="1" thickBot="1" x14ac:dyDescent="0.25">
      <c r="A66" s="1136"/>
      <c r="B66" s="1128"/>
      <c r="C66" s="1129"/>
      <c r="D66" s="1184"/>
      <c r="E66" s="1183"/>
      <c r="F66" s="1140"/>
      <c r="G66" s="211" t="s">
        <v>6</v>
      </c>
      <c r="H66" s="912">
        <f>SUM(H59:H65)</f>
        <v>106678</v>
      </c>
      <c r="I66" s="700">
        <f>SUM(I59:I65)</f>
        <v>79658</v>
      </c>
      <c r="J66" s="1060">
        <f>SUM(J59:J65)</f>
        <v>-27020</v>
      </c>
      <c r="K66" s="857"/>
      <c r="L66" s="1324"/>
      <c r="M66" s="70"/>
      <c r="N66" s="199"/>
      <c r="O66" s="200"/>
    </row>
    <row r="67" spans="1:19" ht="30" customHeight="1" x14ac:dyDescent="0.2">
      <c r="A67" s="655" t="s">
        <v>5</v>
      </c>
      <c r="B67" s="657" t="s">
        <v>5</v>
      </c>
      <c r="C67" s="636" t="s">
        <v>44</v>
      </c>
      <c r="D67" s="67" t="s">
        <v>210</v>
      </c>
      <c r="E67" s="594" t="s">
        <v>149</v>
      </c>
      <c r="F67" s="343"/>
      <c r="G67" s="162"/>
      <c r="H67" s="699"/>
      <c r="I67" s="699"/>
      <c r="J67" s="1057"/>
      <c r="K67" s="827"/>
      <c r="L67" s="14"/>
      <c r="M67" s="43"/>
      <c r="N67" s="43"/>
      <c r="O67" s="803"/>
      <c r="S67" s="264"/>
    </row>
    <row r="68" spans="1:19" ht="12.75" customHeight="1" x14ac:dyDescent="0.2">
      <c r="A68" s="654"/>
      <c r="B68" s="629"/>
      <c r="C68" s="630"/>
      <c r="D68" s="1130" t="s">
        <v>211</v>
      </c>
      <c r="E68" s="62" t="s">
        <v>66</v>
      </c>
      <c r="F68" s="166" t="s">
        <v>61</v>
      </c>
      <c r="G68" s="102" t="s">
        <v>243</v>
      </c>
      <c r="H68" s="521">
        <f>14481-10000</f>
        <v>4481</v>
      </c>
      <c r="I68" s="521">
        <v>0</v>
      </c>
      <c r="J68" s="1015">
        <f>I68-H68</f>
        <v>-4481</v>
      </c>
      <c r="K68" s="934"/>
      <c r="L68" s="1374" t="s">
        <v>179</v>
      </c>
      <c r="M68" s="1035" t="s">
        <v>84</v>
      </c>
      <c r="N68" s="1036">
        <v>1</v>
      </c>
      <c r="O68" s="42"/>
      <c r="P68" s="739"/>
      <c r="Q68" s="739"/>
    </row>
    <row r="69" spans="1:19" x14ac:dyDescent="0.2">
      <c r="A69" s="654"/>
      <c r="B69" s="629"/>
      <c r="C69" s="630"/>
      <c r="D69" s="1135"/>
      <c r="E69" s="1307"/>
      <c r="F69" s="283"/>
      <c r="G69" s="173" t="s">
        <v>62</v>
      </c>
      <c r="H69" s="690"/>
      <c r="I69" s="690"/>
      <c r="J69" s="927"/>
      <c r="K69" s="935"/>
      <c r="L69" s="1372"/>
      <c r="M69" s="1037"/>
      <c r="N69" s="1038"/>
      <c r="O69" s="26"/>
    </row>
    <row r="70" spans="1:19" ht="14.25" customHeight="1" x14ac:dyDescent="0.2">
      <c r="A70" s="654"/>
      <c r="B70" s="629"/>
      <c r="C70" s="630"/>
      <c r="D70" s="1309"/>
      <c r="E70" s="1308"/>
      <c r="F70" s="271"/>
      <c r="G70" s="23" t="s">
        <v>65</v>
      </c>
      <c r="H70" s="691"/>
      <c r="I70" s="691"/>
      <c r="J70" s="936"/>
      <c r="K70" s="937"/>
      <c r="L70" s="1375"/>
      <c r="M70" s="1039"/>
      <c r="N70" s="1039"/>
      <c r="O70" s="35"/>
    </row>
    <row r="71" spans="1:19" ht="19.5" customHeight="1" x14ac:dyDescent="0.2">
      <c r="A71" s="1136"/>
      <c r="B71" s="1128"/>
      <c r="C71" s="1129"/>
      <c r="D71" s="1130" t="s">
        <v>212</v>
      </c>
      <c r="E71" s="62" t="s">
        <v>66</v>
      </c>
      <c r="F71" s="1132" t="s">
        <v>61</v>
      </c>
      <c r="G71" s="122" t="s">
        <v>93</v>
      </c>
      <c r="H71" s="692">
        <v>5257</v>
      </c>
      <c r="I71" s="692">
        <v>5257</v>
      </c>
      <c r="J71" s="938"/>
      <c r="K71" s="939"/>
      <c r="L71" s="1175"/>
      <c r="M71" s="499"/>
      <c r="N71" s="499"/>
      <c r="O71" s="534"/>
      <c r="Q71" s="12"/>
    </row>
    <row r="72" spans="1:19" ht="22.5" customHeight="1" x14ac:dyDescent="0.2">
      <c r="A72" s="1136"/>
      <c r="B72" s="1128"/>
      <c r="C72" s="1129"/>
      <c r="D72" s="1206"/>
      <c r="E72" s="1357"/>
      <c r="F72" s="1134"/>
      <c r="G72" s="209" t="s">
        <v>63</v>
      </c>
      <c r="H72" s="689">
        <f>32.2/3.4528*1000</f>
        <v>9326</v>
      </c>
      <c r="I72" s="689">
        <f>32.2/3.4528*1000</f>
        <v>9326</v>
      </c>
      <c r="J72" s="940"/>
      <c r="K72" s="941"/>
      <c r="L72" s="1323"/>
      <c r="M72" s="499"/>
      <c r="N72" s="499"/>
      <c r="O72" s="534"/>
      <c r="Q72" s="12"/>
    </row>
    <row r="73" spans="1:19" ht="54.75" customHeight="1" x14ac:dyDescent="0.2">
      <c r="A73" s="1136"/>
      <c r="B73" s="1128"/>
      <c r="C73" s="1129"/>
      <c r="D73" s="502" t="s">
        <v>237</v>
      </c>
      <c r="E73" s="1357"/>
      <c r="F73" s="1134"/>
      <c r="G73" s="161" t="s">
        <v>243</v>
      </c>
      <c r="H73" s="690">
        <f>14481-10000</f>
        <v>4481</v>
      </c>
      <c r="I73" s="690">
        <v>0</v>
      </c>
      <c r="J73" s="1016">
        <f>I73-H73</f>
        <v>-4481</v>
      </c>
      <c r="K73" s="876"/>
      <c r="L73" s="178"/>
      <c r="M73" s="220"/>
      <c r="N73" s="220"/>
      <c r="O73" s="221"/>
      <c r="P73" s="739"/>
      <c r="Q73" s="739"/>
    </row>
    <row r="74" spans="1:19" ht="27" customHeight="1" x14ac:dyDescent="0.2">
      <c r="A74" s="654"/>
      <c r="B74" s="629"/>
      <c r="C74" s="630"/>
      <c r="D74" s="960" t="s">
        <v>220</v>
      </c>
      <c r="E74" s="980"/>
      <c r="F74" s="972"/>
      <c r="G74" s="96" t="s">
        <v>243</v>
      </c>
      <c r="H74" s="691">
        <f>472.1/3.4528*1000</f>
        <v>136730</v>
      </c>
      <c r="I74" s="691">
        <v>0</v>
      </c>
      <c r="J74" s="1017">
        <f>I74-H74</f>
        <v>-136730</v>
      </c>
      <c r="K74" s="828"/>
      <c r="L74" s="975"/>
      <c r="M74" s="499"/>
      <c r="N74" s="499"/>
      <c r="O74" s="534"/>
      <c r="Q74" s="12"/>
    </row>
    <row r="75" spans="1:19" ht="15.75" customHeight="1" thickBot="1" x14ac:dyDescent="0.25">
      <c r="A75" s="656"/>
      <c r="B75" s="634"/>
      <c r="C75" s="635"/>
      <c r="D75" s="341"/>
      <c r="E75" s="289"/>
      <c r="F75" s="267"/>
      <c r="G75" s="344" t="s">
        <v>6</v>
      </c>
      <c r="H75" s="545">
        <f>SUM(H67:H74)</f>
        <v>160275</v>
      </c>
      <c r="I75" s="700">
        <f>SUM(I67:I74)</f>
        <v>14583</v>
      </c>
      <c r="J75" s="1066">
        <f>SUM(J67:J74)</f>
        <v>-145692</v>
      </c>
      <c r="K75" s="857"/>
      <c r="L75" s="963"/>
      <c r="M75" s="969"/>
      <c r="N75" s="29"/>
      <c r="O75" s="30"/>
    </row>
    <row r="76" spans="1:19" ht="25.5" customHeight="1" x14ac:dyDescent="0.2">
      <c r="A76" s="655" t="s">
        <v>5</v>
      </c>
      <c r="B76" s="657" t="s">
        <v>5</v>
      </c>
      <c r="C76" s="636" t="s">
        <v>46</v>
      </c>
      <c r="D76" s="67" t="s">
        <v>105</v>
      </c>
      <c r="E76" s="594" t="s">
        <v>162</v>
      </c>
      <c r="F76" s="144"/>
      <c r="G76" s="557"/>
      <c r="H76" s="535"/>
      <c r="I76" s="698"/>
      <c r="J76" s="1067"/>
      <c r="K76" s="858"/>
      <c r="L76" s="14"/>
      <c r="M76" s="43"/>
      <c r="N76" s="43"/>
      <c r="O76" s="682"/>
    </row>
    <row r="77" spans="1:19" ht="18.75" customHeight="1" x14ac:dyDescent="0.2">
      <c r="A77" s="1136"/>
      <c r="B77" s="1128"/>
      <c r="C77" s="1129"/>
      <c r="D77" s="1130" t="s">
        <v>213</v>
      </c>
      <c r="E77" s="642" t="s">
        <v>66</v>
      </c>
      <c r="F77" s="1134" t="s">
        <v>61</v>
      </c>
      <c r="G77" s="198" t="s">
        <v>65</v>
      </c>
      <c r="H77" s="541">
        <f>(217.8+ 199.4)/3.4528*1000</f>
        <v>120829</v>
      </c>
      <c r="I77" s="692">
        <f>(217.8+ 199.4)/3.4528*1000</f>
        <v>120829</v>
      </c>
      <c r="J77" s="1062"/>
      <c r="K77" s="821"/>
      <c r="L77" s="1174"/>
      <c r="M77" s="1302"/>
      <c r="N77" s="41"/>
      <c r="O77" s="42"/>
      <c r="P77" s="33"/>
      <c r="Q77" s="191"/>
    </row>
    <row r="78" spans="1:19" ht="18.75" customHeight="1" x14ac:dyDescent="0.2">
      <c r="A78" s="1136"/>
      <c r="B78" s="1128"/>
      <c r="C78" s="1129"/>
      <c r="D78" s="1135"/>
      <c r="E78" s="643"/>
      <c r="F78" s="1134"/>
      <c r="G78" s="569" t="s">
        <v>67</v>
      </c>
      <c r="H78" s="549">
        <v>23199</v>
      </c>
      <c r="I78" s="690">
        <v>23199</v>
      </c>
      <c r="J78" s="1014"/>
      <c r="K78" s="853"/>
      <c r="L78" s="1175"/>
      <c r="M78" s="1303"/>
      <c r="N78" s="25"/>
      <c r="O78" s="26"/>
      <c r="Q78" s="191"/>
    </row>
    <row r="79" spans="1:19" ht="20.25" customHeight="1" x14ac:dyDescent="0.2">
      <c r="A79" s="1136"/>
      <c r="B79" s="1128"/>
      <c r="C79" s="1129"/>
      <c r="D79" s="1135"/>
      <c r="E79" s="256"/>
      <c r="F79" s="1134"/>
      <c r="G79" s="249" t="s">
        <v>63</v>
      </c>
      <c r="H79" s="543">
        <v>191149</v>
      </c>
      <c r="I79" s="691">
        <v>191149</v>
      </c>
      <c r="J79" s="1023"/>
      <c r="K79" s="826"/>
      <c r="L79" s="1176"/>
      <c r="M79" s="1304"/>
      <c r="N79" s="34"/>
      <c r="O79" s="35"/>
    </row>
    <row r="80" spans="1:19" ht="21" customHeight="1" x14ac:dyDescent="0.2">
      <c r="A80" s="1136"/>
      <c r="B80" s="1128"/>
      <c r="C80" s="1129"/>
      <c r="D80" s="1130" t="s">
        <v>224</v>
      </c>
      <c r="E80" s="1352" t="s">
        <v>66</v>
      </c>
      <c r="F80" s="1132" t="s">
        <v>61</v>
      </c>
      <c r="G80" s="250" t="s">
        <v>62</v>
      </c>
      <c r="H80" s="542">
        <f>6842.4/3.4528*1000</f>
        <v>1981696</v>
      </c>
      <c r="I80" s="689">
        <f>6842.4/3.4528*1000</f>
        <v>1981696</v>
      </c>
      <c r="J80" s="1013"/>
      <c r="K80" s="834"/>
      <c r="L80" s="1314"/>
      <c r="M80" s="182"/>
      <c r="N80" s="81"/>
      <c r="O80" s="55"/>
    </row>
    <row r="81" spans="1:19" ht="30.75" customHeight="1" x14ac:dyDescent="0.2">
      <c r="A81" s="1136"/>
      <c r="B81" s="1128"/>
      <c r="C81" s="1129"/>
      <c r="D81" s="1184"/>
      <c r="E81" s="1353"/>
      <c r="F81" s="1140"/>
      <c r="G81" s="249" t="s">
        <v>67</v>
      </c>
      <c r="H81" s="543">
        <f>1701.8/3.4528*1000</f>
        <v>492875</v>
      </c>
      <c r="I81" s="691">
        <f>1701.8/3.4528*1000</f>
        <v>492875</v>
      </c>
      <c r="J81" s="1023"/>
      <c r="K81" s="826"/>
      <c r="L81" s="1376"/>
      <c r="M81" s="66"/>
      <c r="N81" s="54"/>
      <c r="O81" s="35"/>
    </row>
    <row r="82" spans="1:19" ht="21.75" customHeight="1" x14ac:dyDescent="0.2">
      <c r="A82" s="654"/>
      <c r="B82" s="629"/>
      <c r="C82" s="608"/>
      <c r="D82" s="1141" t="s">
        <v>122</v>
      </c>
      <c r="E82" s="641" t="s">
        <v>66</v>
      </c>
      <c r="F82" s="651" t="s">
        <v>61</v>
      </c>
      <c r="G82" s="244" t="s">
        <v>67</v>
      </c>
      <c r="H82" s="548"/>
      <c r="I82" s="694"/>
      <c r="J82" s="1059"/>
      <c r="K82" s="859"/>
      <c r="L82" s="1255"/>
      <c r="M82" s="68"/>
      <c r="N82" s="190"/>
      <c r="O82" s="337"/>
    </row>
    <row r="83" spans="1:19" ht="19.5" customHeight="1" thickBot="1" x14ac:dyDescent="0.25">
      <c r="A83" s="654"/>
      <c r="B83" s="629"/>
      <c r="C83" s="608"/>
      <c r="D83" s="1241"/>
      <c r="E83" s="661"/>
      <c r="F83" s="653"/>
      <c r="G83" s="211" t="s">
        <v>6</v>
      </c>
      <c r="H83" s="539">
        <f>SUM(H76:H82)</f>
        <v>2809748</v>
      </c>
      <c r="I83" s="700">
        <f>SUM(I76:I82)</f>
        <v>2809748</v>
      </c>
      <c r="J83" s="1068"/>
      <c r="K83" s="829"/>
      <c r="L83" s="1256"/>
      <c r="M83" s="214"/>
      <c r="N83" s="215"/>
      <c r="O83" s="216"/>
    </row>
    <row r="84" spans="1:19" s="39" customFormat="1" ht="22.5" customHeight="1" x14ac:dyDescent="0.2">
      <c r="A84" s="1208" t="s">
        <v>5</v>
      </c>
      <c r="B84" s="1218" t="s">
        <v>5</v>
      </c>
      <c r="C84" s="1234" t="s">
        <v>47</v>
      </c>
      <c r="D84" s="1237" t="s">
        <v>115</v>
      </c>
      <c r="E84" s="1311"/>
      <c r="F84" s="1232" t="s">
        <v>61</v>
      </c>
      <c r="G84" s="251" t="s">
        <v>35</v>
      </c>
      <c r="H84" s="551">
        <f>10/3.4528*1000</f>
        <v>2896</v>
      </c>
      <c r="I84" s="702">
        <f>10/3.4528*1000</f>
        <v>2896</v>
      </c>
      <c r="J84" s="961"/>
      <c r="K84" s="830"/>
      <c r="L84" s="1212"/>
      <c r="M84" s="37"/>
      <c r="N84" s="37"/>
      <c r="O84" s="38"/>
    </row>
    <row r="85" spans="1:19" ht="14.25" customHeight="1" x14ac:dyDescent="0.2">
      <c r="A85" s="1136"/>
      <c r="B85" s="1128"/>
      <c r="C85" s="1235"/>
      <c r="D85" s="1135"/>
      <c r="E85" s="1312"/>
      <c r="F85" s="1134"/>
      <c r="G85" s="249"/>
      <c r="H85" s="548"/>
      <c r="I85" s="693"/>
      <c r="J85" s="1069"/>
      <c r="K85" s="860"/>
      <c r="L85" s="1212"/>
      <c r="M85" s="25"/>
      <c r="N85" s="25"/>
      <c r="O85" s="26"/>
      <c r="P85" s="33"/>
    </row>
    <row r="86" spans="1:19" ht="13.5" thickBot="1" x14ac:dyDescent="0.25">
      <c r="A86" s="1209"/>
      <c r="B86" s="1219"/>
      <c r="C86" s="1236"/>
      <c r="D86" s="1238"/>
      <c r="E86" s="1313"/>
      <c r="F86" s="1222"/>
      <c r="G86" s="252" t="s">
        <v>6</v>
      </c>
      <c r="H86" s="539">
        <f>SUM(H84:H85)</f>
        <v>2896</v>
      </c>
      <c r="I86" s="695">
        <f>SUM(I84:I85)</f>
        <v>2896</v>
      </c>
      <c r="J86" s="1068"/>
      <c r="K86" s="829"/>
      <c r="L86" s="16"/>
      <c r="M86" s="29"/>
      <c r="N86" s="29"/>
      <c r="O86" s="30"/>
    </row>
    <row r="87" spans="1:19" ht="13.5" thickBot="1" x14ac:dyDescent="0.25">
      <c r="A87" s="114" t="s">
        <v>5</v>
      </c>
      <c r="B87" s="9" t="s">
        <v>5</v>
      </c>
      <c r="C87" s="1242" t="s">
        <v>8</v>
      </c>
      <c r="D87" s="1242"/>
      <c r="E87" s="1242"/>
      <c r="F87" s="1242"/>
      <c r="G87" s="1242"/>
      <c r="H87" s="552">
        <f>H86+H83+H75+H58+H45+H30+H66</f>
        <v>4114369</v>
      </c>
      <c r="I87" s="703">
        <f>I86+I83+I75+I58+I45+I30+I66</f>
        <v>3800763</v>
      </c>
      <c r="J87" s="1123">
        <f>J86+J83+J75+J58+J45+J30+J66</f>
        <v>-313606</v>
      </c>
      <c r="K87" s="862"/>
      <c r="L87" s="979"/>
      <c r="M87" s="31"/>
      <c r="N87" s="31"/>
      <c r="O87" s="32"/>
      <c r="P87" s="562"/>
    </row>
    <row r="88" spans="1:19" ht="13.5" thickBot="1" x14ac:dyDescent="0.25">
      <c r="A88" s="114" t="s">
        <v>5</v>
      </c>
      <c r="B88" s="9" t="s">
        <v>7</v>
      </c>
      <c r="C88" s="1299" t="s">
        <v>41</v>
      </c>
      <c r="D88" s="1299"/>
      <c r="E88" s="1299"/>
      <c r="F88" s="1299"/>
      <c r="G88" s="1299"/>
      <c r="H88" s="1300"/>
      <c r="I88" s="1299"/>
      <c r="J88" s="1299"/>
      <c r="K88" s="1299"/>
      <c r="L88" s="1299"/>
      <c r="M88" s="1299"/>
      <c r="N88" s="1299"/>
      <c r="O88" s="1301"/>
    </row>
    <row r="89" spans="1:19" x14ac:dyDescent="0.2">
      <c r="A89" s="655" t="s">
        <v>5</v>
      </c>
      <c r="B89" s="657" t="s">
        <v>7</v>
      </c>
      <c r="C89" s="976" t="s">
        <v>5</v>
      </c>
      <c r="D89" s="1320" t="s">
        <v>85</v>
      </c>
      <c r="E89" s="1246" t="s">
        <v>199</v>
      </c>
      <c r="F89" s="978"/>
      <c r="G89" s="94" t="s">
        <v>35</v>
      </c>
      <c r="H89" s="1009">
        <f>5018217+2896</f>
        <v>5021113</v>
      </c>
      <c r="I89" s="704">
        <f>5018217+2896</f>
        <v>5021113</v>
      </c>
      <c r="J89" s="1030"/>
      <c r="K89" s="1004"/>
      <c r="L89" s="45"/>
      <c r="M89" s="46"/>
      <c r="N89" s="65"/>
      <c r="O89" s="57"/>
      <c r="Q89" s="12"/>
    </row>
    <row r="90" spans="1:19" x14ac:dyDescent="0.2">
      <c r="A90" s="654"/>
      <c r="B90" s="629"/>
      <c r="C90" s="970"/>
      <c r="D90" s="1239"/>
      <c r="E90" s="1247"/>
      <c r="F90" s="972"/>
      <c r="G90" s="93" t="s">
        <v>103</v>
      </c>
      <c r="H90" s="544">
        <f>500/3.4528*1000</f>
        <v>144810</v>
      </c>
      <c r="I90" s="694">
        <f>500/3.4528*1000+155549</f>
        <v>300359</v>
      </c>
      <c r="J90" s="932">
        <f>I90-H90</f>
        <v>155549</v>
      </c>
      <c r="K90" s="949"/>
      <c r="L90" s="33"/>
      <c r="M90" s="49"/>
      <c r="N90" s="6"/>
      <c r="O90" s="50"/>
      <c r="Q90" s="12"/>
    </row>
    <row r="91" spans="1:19" x14ac:dyDescent="0.2">
      <c r="A91" s="654"/>
      <c r="B91" s="629"/>
      <c r="C91" s="970"/>
      <c r="D91" s="1145"/>
      <c r="E91" s="1247"/>
      <c r="F91" s="974"/>
      <c r="G91" s="95" t="s">
        <v>93</v>
      </c>
      <c r="H91" s="543">
        <v>3717</v>
      </c>
      <c r="I91" s="691">
        <v>3717</v>
      </c>
      <c r="J91" s="877"/>
      <c r="K91" s="1005"/>
      <c r="L91" s="33"/>
      <c r="M91" s="49"/>
      <c r="N91" s="6"/>
      <c r="O91" s="50"/>
      <c r="Q91" s="12"/>
    </row>
    <row r="92" spans="1:19" ht="13.5" customHeight="1" x14ac:dyDescent="0.2">
      <c r="A92" s="654"/>
      <c r="B92" s="629"/>
      <c r="C92" s="970"/>
      <c r="D92" s="302" t="s">
        <v>74</v>
      </c>
      <c r="E92" s="977"/>
      <c r="F92" s="972"/>
      <c r="G92" s="217"/>
      <c r="H92" s="548"/>
      <c r="I92" s="693"/>
      <c r="J92" s="904"/>
      <c r="K92" s="1006"/>
      <c r="L92" s="863"/>
      <c r="M92" s="299"/>
      <c r="N92" s="300"/>
      <c r="O92" s="301"/>
      <c r="Q92" s="12"/>
      <c r="S92" s="264"/>
    </row>
    <row r="93" spans="1:19" ht="27" customHeight="1" x14ac:dyDescent="0.2">
      <c r="A93" s="654"/>
      <c r="B93" s="629"/>
      <c r="C93" s="970"/>
      <c r="D93" s="973" t="s">
        <v>117</v>
      </c>
      <c r="E93" s="977"/>
      <c r="F93" s="972" t="s">
        <v>48</v>
      </c>
      <c r="G93" s="219"/>
      <c r="H93" s="549"/>
      <c r="I93" s="690"/>
      <c r="J93" s="1075"/>
      <c r="K93" s="394"/>
      <c r="L93" s="297"/>
      <c r="M93" s="126"/>
      <c r="N93" s="126"/>
      <c r="O93" s="127"/>
      <c r="Q93" s="12"/>
    </row>
    <row r="94" spans="1:19" x14ac:dyDescent="0.2">
      <c r="A94" s="654"/>
      <c r="B94" s="629"/>
      <c r="C94" s="970"/>
      <c r="D94" s="226" t="s">
        <v>118</v>
      </c>
      <c r="E94" s="977"/>
      <c r="F94" s="972"/>
      <c r="G94" s="219"/>
      <c r="H94" s="549"/>
      <c r="I94" s="690"/>
      <c r="J94" s="1076"/>
      <c r="K94" s="397"/>
      <c r="L94" s="178"/>
      <c r="M94" s="154"/>
      <c r="N94" s="154"/>
      <c r="O94" s="155"/>
      <c r="Q94" s="12"/>
    </row>
    <row r="95" spans="1:19" x14ac:dyDescent="0.2">
      <c r="A95" s="654"/>
      <c r="B95" s="629"/>
      <c r="C95" s="970"/>
      <c r="D95" s="503" t="s">
        <v>119</v>
      </c>
      <c r="E95" s="504"/>
      <c r="F95" s="971"/>
      <c r="G95" s="219"/>
      <c r="H95" s="549"/>
      <c r="I95" s="690"/>
      <c r="J95" s="1076"/>
      <c r="K95" s="397"/>
      <c r="L95" s="178"/>
      <c r="M95" s="154"/>
      <c r="N95" s="154"/>
      <c r="O95" s="155"/>
      <c r="Q95" s="12"/>
    </row>
    <row r="96" spans="1:19" ht="27" customHeight="1" x14ac:dyDescent="0.2">
      <c r="A96" s="654"/>
      <c r="B96" s="629"/>
      <c r="C96" s="970"/>
      <c r="D96" s="227" t="s">
        <v>58</v>
      </c>
      <c r="E96" s="977"/>
      <c r="F96" s="972" t="s">
        <v>48</v>
      </c>
      <c r="G96" s="217"/>
      <c r="H96" s="542"/>
      <c r="I96" s="689"/>
      <c r="J96" s="1075"/>
      <c r="K96" s="394"/>
      <c r="L96" s="297"/>
      <c r="M96" s="225"/>
      <c r="N96" s="124"/>
      <c r="O96" s="125"/>
      <c r="Q96" s="12"/>
    </row>
    <row r="97" spans="1:17" ht="51.75" customHeight="1" x14ac:dyDescent="0.2">
      <c r="A97" s="654"/>
      <c r="B97" s="629"/>
      <c r="C97" s="970"/>
      <c r="D97" s="226" t="s">
        <v>214</v>
      </c>
      <c r="E97" s="290"/>
      <c r="F97" s="291" t="s">
        <v>48</v>
      </c>
      <c r="G97" s="219"/>
      <c r="H97" s="549"/>
      <c r="I97" s="690"/>
      <c r="J97" s="1076"/>
      <c r="K97" s="397"/>
      <c r="L97" s="178"/>
      <c r="M97" s="154"/>
      <c r="N97" s="154"/>
      <c r="O97" s="155"/>
      <c r="Q97" s="12"/>
    </row>
    <row r="98" spans="1:17" ht="42" customHeight="1" x14ac:dyDescent="0.2">
      <c r="A98" s="654"/>
      <c r="B98" s="629"/>
      <c r="C98" s="970"/>
      <c r="D98" s="226" t="s">
        <v>116</v>
      </c>
      <c r="E98" s="290"/>
      <c r="F98" s="291" t="s">
        <v>48</v>
      </c>
      <c r="G98" s="219"/>
      <c r="H98" s="549"/>
      <c r="I98" s="690"/>
      <c r="J98" s="1076"/>
      <c r="K98" s="397"/>
      <c r="L98" s="312"/>
      <c r="M98" s="220"/>
      <c r="N98" s="220"/>
      <c r="O98" s="221"/>
      <c r="Q98" s="12"/>
    </row>
    <row r="99" spans="1:17" ht="21.75" customHeight="1" x14ac:dyDescent="0.2">
      <c r="A99" s="1136"/>
      <c r="B99" s="1128"/>
      <c r="C99" s="1129"/>
      <c r="D99" s="1213" t="s">
        <v>59</v>
      </c>
      <c r="E99" s="1316" t="s">
        <v>109</v>
      </c>
      <c r="F99" s="1134" t="s">
        <v>48</v>
      </c>
      <c r="G99" s="140"/>
      <c r="H99" s="550"/>
      <c r="I99" s="697"/>
      <c r="J99" s="1077"/>
      <c r="K99" s="590"/>
      <c r="L99" s="1318"/>
      <c r="M99" s="499"/>
      <c r="N99" s="499"/>
      <c r="O99" s="534"/>
      <c r="Q99" s="12"/>
    </row>
    <row r="100" spans="1:17" ht="13.5" thickBot="1" x14ac:dyDescent="0.25">
      <c r="A100" s="1209"/>
      <c r="B100" s="1219"/>
      <c r="C100" s="1221"/>
      <c r="D100" s="1214"/>
      <c r="E100" s="1317"/>
      <c r="F100" s="1222"/>
      <c r="G100" s="864" t="s">
        <v>6</v>
      </c>
      <c r="H100" s="545">
        <f>SUM(H88:H99)</f>
        <v>5169640</v>
      </c>
      <c r="I100" s="700">
        <f>SUM(I89:I99)</f>
        <v>5325189</v>
      </c>
      <c r="J100" s="1078">
        <f>SUM(J88:J99)</f>
        <v>155549</v>
      </c>
      <c r="K100" s="1007"/>
      <c r="L100" s="1319"/>
      <c r="M100" s="97"/>
      <c r="N100" s="97"/>
      <c r="O100" s="98"/>
      <c r="Q100" s="12"/>
    </row>
    <row r="101" spans="1:17" ht="13.5" thickBot="1" x14ac:dyDescent="0.25">
      <c r="A101" s="115" t="s">
        <v>5</v>
      </c>
      <c r="B101" s="9" t="s">
        <v>7</v>
      </c>
      <c r="C101" s="1242" t="s">
        <v>8</v>
      </c>
      <c r="D101" s="1242"/>
      <c r="E101" s="1242"/>
      <c r="F101" s="1242"/>
      <c r="G101" s="1242"/>
      <c r="H101" s="552">
        <f>H100</f>
        <v>5169640</v>
      </c>
      <c r="I101" s="703">
        <f>I100</f>
        <v>5325189</v>
      </c>
      <c r="J101" s="1122">
        <f t="shared" ref="J101" si="0">J100</f>
        <v>155549</v>
      </c>
      <c r="K101" s="1008"/>
      <c r="L101" s="1350"/>
      <c r="M101" s="1334"/>
      <c r="N101" s="1334"/>
      <c r="O101" s="1335"/>
    </row>
    <row r="102" spans="1:17" ht="13.5" thickBot="1" x14ac:dyDescent="0.25">
      <c r="A102" s="114" t="s">
        <v>5</v>
      </c>
      <c r="B102" s="9" t="s">
        <v>37</v>
      </c>
      <c r="C102" s="1243" t="s">
        <v>43</v>
      </c>
      <c r="D102" s="1244"/>
      <c r="E102" s="1244"/>
      <c r="F102" s="1244"/>
      <c r="G102" s="1244"/>
      <c r="H102" s="1244"/>
      <c r="I102" s="1244"/>
      <c r="J102" s="1244"/>
      <c r="K102" s="1244"/>
      <c r="L102" s="1244"/>
      <c r="M102" s="1244"/>
      <c r="N102" s="1244"/>
      <c r="O102" s="1245"/>
    </row>
    <row r="103" spans="1:17" ht="38.25" customHeight="1" x14ac:dyDescent="0.2">
      <c r="A103" s="655" t="s">
        <v>5</v>
      </c>
      <c r="B103" s="657" t="s">
        <v>37</v>
      </c>
      <c r="C103" s="607" t="s">
        <v>5</v>
      </c>
      <c r="D103" s="152" t="s">
        <v>218</v>
      </c>
      <c r="E103" s="505" t="s">
        <v>113</v>
      </c>
      <c r="F103" s="144"/>
      <c r="G103" s="17"/>
      <c r="H103" s="506"/>
      <c r="I103" s="378"/>
      <c r="J103" s="1079"/>
      <c r="K103" s="866"/>
      <c r="L103" s="131"/>
      <c r="M103" s="164"/>
      <c r="N103" s="164"/>
      <c r="O103" s="165"/>
      <c r="Q103" s="12"/>
    </row>
    <row r="104" spans="1:17" ht="15" customHeight="1" x14ac:dyDescent="0.2">
      <c r="A104" s="654"/>
      <c r="B104" s="629"/>
      <c r="C104" s="608"/>
      <c r="D104" s="1144" t="s">
        <v>98</v>
      </c>
      <c r="E104" s="575"/>
      <c r="F104" s="324" t="s">
        <v>48</v>
      </c>
      <c r="G104" s="122" t="s">
        <v>103</v>
      </c>
      <c r="H104" s="450">
        <f>364.8/3.4528*1000</f>
        <v>105653</v>
      </c>
      <c r="I104" s="414">
        <f>364.8/3.4528*1000</f>
        <v>105653</v>
      </c>
      <c r="J104" s="1080"/>
      <c r="K104" s="834"/>
      <c r="L104" s="680"/>
      <c r="M104" s="85"/>
      <c r="N104" s="85"/>
      <c r="O104" s="86"/>
      <c r="Q104" s="12"/>
    </row>
    <row r="105" spans="1:17" ht="14.25" customHeight="1" x14ac:dyDescent="0.2">
      <c r="A105" s="674"/>
      <c r="B105" s="675"/>
      <c r="C105" s="586"/>
      <c r="D105" s="1145"/>
      <c r="E105" s="587"/>
      <c r="F105" s="326"/>
      <c r="G105" s="588" t="s">
        <v>243</v>
      </c>
      <c r="H105" s="589">
        <v>152311</v>
      </c>
      <c r="I105" s="412">
        <v>152311</v>
      </c>
      <c r="J105" s="936"/>
      <c r="K105" s="818"/>
      <c r="L105" s="681"/>
      <c r="M105" s="117"/>
      <c r="N105" s="117"/>
      <c r="O105" s="118"/>
      <c r="Q105" s="12"/>
    </row>
    <row r="106" spans="1:17" ht="38.25" customHeight="1" x14ac:dyDescent="0.2">
      <c r="A106" s="654"/>
      <c r="B106" s="629"/>
      <c r="C106" s="608"/>
      <c r="D106" s="1135"/>
      <c r="E106" s="581" t="s">
        <v>110</v>
      </c>
      <c r="F106" s="1134"/>
      <c r="G106" s="285"/>
      <c r="H106" s="375"/>
      <c r="I106" s="360"/>
      <c r="J106" s="1081"/>
      <c r="K106" s="821"/>
      <c r="L106" s="645"/>
      <c r="M106" s="499"/>
      <c r="N106" s="499"/>
      <c r="O106" s="534"/>
      <c r="Q106" s="12"/>
    </row>
    <row r="107" spans="1:17" ht="25.5" customHeight="1" x14ac:dyDescent="0.2">
      <c r="A107" s="654"/>
      <c r="B107" s="629"/>
      <c r="C107" s="608"/>
      <c r="D107" s="1377"/>
      <c r="E107" s="582"/>
      <c r="F107" s="1378"/>
      <c r="G107" s="18"/>
      <c r="H107" s="375"/>
      <c r="I107" s="360"/>
      <c r="J107" s="1081"/>
      <c r="K107" s="821"/>
      <c r="L107" s="649"/>
      <c r="M107" s="685"/>
      <c r="N107" s="685"/>
      <c r="O107" s="687"/>
      <c r="Q107" s="12"/>
    </row>
    <row r="108" spans="1:17" ht="14.25" customHeight="1" x14ac:dyDescent="0.2">
      <c r="A108" s="654"/>
      <c r="B108" s="629"/>
      <c r="C108" s="608"/>
      <c r="D108" s="1377"/>
      <c r="E108" s="582"/>
      <c r="F108" s="638"/>
      <c r="G108" s="209"/>
      <c r="H108" s="538"/>
      <c r="I108" s="442"/>
      <c r="J108" s="940"/>
      <c r="K108" s="817"/>
      <c r="L108" s="123"/>
      <c r="M108" s="124"/>
      <c r="N108" s="124"/>
      <c r="O108" s="125"/>
      <c r="Q108" s="12"/>
    </row>
    <row r="109" spans="1:17" ht="24" customHeight="1" x14ac:dyDescent="0.2">
      <c r="A109" s="654"/>
      <c r="B109" s="629"/>
      <c r="C109" s="608"/>
      <c r="D109" s="631"/>
      <c r="E109" s="606"/>
      <c r="F109" s="670"/>
      <c r="G109" s="579" t="s">
        <v>106</v>
      </c>
      <c r="H109" s="538">
        <v>65825</v>
      </c>
      <c r="I109" s="442">
        <v>65825</v>
      </c>
      <c r="J109" s="940"/>
      <c r="K109" s="817"/>
      <c r="L109" s="123"/>
      <c r="M109" s="578"/>
      <c r="N109" s="124"/>
      <c r="O109" s="125"/>
      <c r="Q109" s="12"/>
    </row>
    <row r="110" spans="1:17" ht="13.5" customHeight="1" x14ac:dyDescent="0.2">
      <c r="A110" s="654"/>
      <c r="B110" s="629"/>
      <c r="C110" s="608"/>
      <c r="D110" s="613" t="s">
        <v>99</v>
      </c>
      <c r="E110" s="614"/>
      <c r="F110" s="610"/>
      <c r="G110" s="500" t="s">
        <v>243</v>
      </c>
      <c r="H110" s="507">
        <v>174911</v>
      </c>
      <c r="I110" s="985">
        <v>174911</v>
      </c>
      <c r="J110" s="1082"/>
      <c r="K110" s="821"/>
      <c r="L110" s="649"/>
      <c r="M110" s="119"/>
      <c r="N110" s="119"/>
      <c r="O110" s="120"/>
      <c r="P110" s="603"/>
      <c r="Q110" s="12"/>
    </row>
    <row r="111" spans="1:17" ht="13.5" customHeight="1" x14ac:dyDescent="0.2">
      <c r="A111" s="654"/>
      <c r="B111" s="629"/>
      <c r="C111" s="608"/>
      <c r="D111" s="631"/>
      <c r="E111" s="615"/>
      <c r="F111" s="638"/>
      <c r="G111" s="96"/>
      <c r="H111" s="371"/>
      <c r="I111" s="359"/>
      <c r="J111" s="936"/>
      <c r="K111" s="821"/>
      <c r="L111" s="649"/>
      <c r="M111" s="119"/>
      <c r="N111" s="601"/>
      <c r="O111" s="602"/>
      <c r="P111" s="603"/>
      <c r="Q111" s="12"/>
    </row>
    <row r="112" spans="1:17" ht="54.75" customHeight="1" x14ac:dyDescent="0.2">
      <c r="A112" s="654"/>
      <c r="B112" s="629"/>
      <c r="C112" s="608"/>
      <c r="D112" s="316" t="s">
        <v>226</v>
      </c>
      <c r="E112" s="338" t="s">
        <v>66</v>
      </c>
      <c r="F112" s="339" t="s">
        <v>61</v>
      </c>
      <c r="G112" s="22" t="s">
        <v>243</v>
      </c>
      <c r="H112" s="370">
        <f>30/3.4528*1000</f>
        <v>8689</v>
      </c>
      <c r="I112" s="407">
        <v>0</v>
      </c>
      <c r="J112" s="1010">
        <f>I112-H112</f>
        <v>-8689</v>
      </c>
      <c r="K112" s="867"/>
      <c r="L112" s="1050" t="s">
        <v>231</v>
      </c>
      <c r="M112" s="1049" t="s">
        <v>84</v>
      </c>
      <c r="N112" s="1047" t="s">
        <v>268</v>
      </c>
      <c r="O112" s="303"/>
      <c r="Q112" s="12"/>
    </row>
    <row r="113" spans="1:17" ht="27" customHeight="1" x14ac:dyDescent="0.2">
      <c r="A113" s="654"/>
      <c r="B113" s="629"/>
      <c r="C113" s="608"/>
      <c r="D113" s="1141" t="s">
        <v>215</v>
      </c>
      <c r="E113" s="672"/>
      <c r="F113" s="354" t="s">
        <v>48</v>
      </c>
      <c r="G113" s="22" t="s">
        <v>35</v>
      </c>
      <c r="H113" s="370">
        <f>18/3.4528*1000</f>
        <v>5213</v>
      </c>
      <c r="I113" s="407">
        <f>18/3.4528*1000</f>
        <v>5213</v>
      </c>
      <c r="J113" s="452"/>
      <c r="K113" s="880"/>
      <c r="L113" s="355"/>
      <c r="M113" s="145"/>
      <c r="N113" s="145"/>
      <c r="O113" s="146"/>
      <c r="Q113" s="12"/>
    </row>
    <row r="114" spans="1:17" ht="23.25" customHeight="1" thickBot="1" x14ac:dyDescent="0.25">
      <c r="A114" s="654"/>
      <c r="B114" s="629"/>
      <c r="C114" s="608"/>
      <c r="D114" s="1371"/>
      <c r="E114" s="668"/>
      <c r="F114" s="665"/>
      <c r="G114" s="293" t="s">
        <v>6</v>
      </c>
      <c r="H114" s="454">
        <f>SUM(H103:H113)</f>
        <v>512602</v>
      </c>
      <c r="I114" s="1001">
        <f>SUM(I103:I113)</f>
        <v>503913</v>
      </c>
      <c r="J114" s="1083">
        <f>SUM(J103:J113)</f>
        <v>-8689</v>
      </c>
      <c r="K114" s="868"/>
      <c r="L114" s="680"/>
      <c r="M114" s="499"/>
      <c r="N114" s="85"/>
      <c r="O114" s="86"/>
      <c r="Q114" s="12"/>
    </row>
    <row r="115" spans="1:17" ht="15.75" customHeight="1" x14ac:dyDescent="0.2">
      <c r="A115" s="1208" t="s">
        <v>5</v>
      </c>
      <c r="B115" s="1218" t="s">
        <v>37</v>
      </c>
      <c r="C115" s="1220" t="s">
        <v>7</v>
      </c>
      <c r="D115" s="1228" t="s">
        <v>51</v>
      </c>
      <c r="E115" s="662"/>
      <c r="F115" s="142" t="s">
        <v>48</v>
      </c>
      <c r="G115" s="228" t="s">
        <v>103</v>
      </c>
      <c r="H115" s="372">
        <f>1730.2/3.4528*1000</f>
        <v>501101</v>
      </c>
      <c r="I115" s="1002">
        <f>501101+15519</f>
        <v>516620</v>
      </c>
      <c r="J115" s="1018">
        <f>I115-H115</f>
        <v>15519</v>
      </c>
      <c r="K115" s="869"/>
      <c r="L115" s="676"/>
      <c r="M115" s="686"/>
      <c r="N115" s="686"/>
      <c r="O115" s="684"/>
      <c r="Q115" s="12"/>
    </row>
    <row r="116" spans="1:17" x14ac:dyDescent="0.2">
      <c r="A116" s="1136"/>
      <c r="B116" s="1128"/>
      <c r="C116" s="1129"/>
      <c r="D116" s="1239"/>
      <c r="E116" s="664"/>
      <c r="F116" s="141"/>
      <c r="G116" s="509" t="s">
        <v>106</v>
      </c>
      <c r="H116" s="507">
        <v>6482</v>
      </c>
      <c r="I116" s="985">
        <v>6482</v>
      </c>
      <c r="J116" s="1084"/>
      <c r="K116" s="870"/>
      <c r="L116" s="149"/>
      <c r="M116" s="220"/>
      <c r="N116" s="220"/>
      <c r="O116" s="221"/>
      <c r="Q116" s="12"/>
    </row>
    <row r="117" spans="1:17" x14ac:dyDescent="0.2">
      <c r="A117" s="1136"/>
      <c r="B117" s="1128"/>
      <c r="C117" s="1129"/>
      <c r="D117" s="658"/>
      <c r="E117" s="664"/>
      <c r="F117" s="141"/>
      <c r="G117" s="285"/>
      <c r="H117" s="375"/>
      <c r="I117" s="360"/>
      <c r="J117" s="1062"/>
      <c r="K117" s="821"/>
      <c r="L117" s="284"/>
      <c r="M117" s="280"/>
      <c r="N117" s="280"/>
      <c r="O117" s="286"/>
      <c r="Q117" s="12"/>
    </row>
    <row r="118" spans="1:17" x14ac:dyDescent="0.2">
      <c r="A118" s="1136"/>
      <c r="B118" s="1128"/>
      <c r="C118" s="1129"/>
      <c r="D118" s="658"/>
      <c r="E118" s="664"/>
      <c r="F118" s="141"/>
      <c r="G118" s="285"/>
      <c r="H118" s="375"/>
      <c r="I118" s="360"/>
      <c r="J118" s="929"/>
      <c r="K118" s="825"/>
      <c r="L118" s="284"/>
      <c r="M118" s="287"/>
      <c r="N118" s="287"/>
      <c r="O118" s="288"/>
      <c r="Q118" s="12"/>
    </row>
    <row r="119" spans="1:17" x14ac:dyDescent="0.2">
      <c r="A119" s="1136"/>
      <c r="B119" s="1128"/>
      <c r="C119" s="1129"/>
      <c r="D119" s="658"/>
      <c r="E119" s="664"/>
      <c r="F119" s="141"/>
      <c r="G119" s="121"/>
      <c r="H119" s="375"/>
      <c r="I119" s="360"/>
      <c r="J119" s="1023"/>
      <c r="K119" s="879"/>
      <c r="L119" s="116"/>
      <c r="M119" s="136"/>
      <c r="N119" s="260"/>
      <c r="O119" s="261"/>
      <c r="Q119" s="12"/>
    </row>
    <row r="120" spans="1:17" ht="14.25" customHeight="1" thickBot="1" x14ac:dyDescent="0.25">
      <c r="A120" s="1209"/>
      <c r="B120" s="1219"/>
      <c r="C120" s="1221"/>
      <c r="D120" s="659"/>
      <c r="E120" s="663"/>
      <c r="F120" s="294"/>
      <c r="G120" s="101" t="s">
        <v>6</v>
      </c>
      <c r="H120" s="456">
        <f>SUM(H115:H119)</f>
        <v>507583</v>
      </c>
      <c r="I120" s="365">
        <f>SUM(I115:I119)</f>
        <v>523102</v>
      </c>
      <c r="J120" s="1085">
        <f>SUM(J115:J119)</f>
        <v>15519</v>
      </c>
      <c r="K120" s="829"/>
      <c r="L120" s="650"/>
      <c r="M120" s="257"/>
      <c r="N120" s="258"/>
      <c r="O120" s="259"/>
      <c r="Q120" s="12"/>
    </row>
    <row r="121" spans="1:17" ht="25.5" customHeight="1" x14ac:dyDescent="0.2">
      <c r="A121" s="1208" t="s">
        <v>5</v>
      </c>
      <c r="B121" s="1218" t="s">
        <v>37</v>
      </c>
      <c r="C121" s="1220" t="s">
        <v>37</v>
      </c>
      <c r="D121" s="1342" t="s">
        <v>132</v>
      </c>
      <c r="E121" s="640" t="s">
        <v>66</v>
      </c>
      <c r="F121" s="637" t="s">
        <v>48</v>
      </c>
      <c r="G121" s="48" t="s">
        <v>103</v>
      </c>
      <c r="H121" s="377">
        <f>200/3.4528*1000</f>
        <v>57924</v>
      </c>
      <c r="I121" s="1003">
        <f>57924-17189</f>
        <v>40735</v>
      </c>
      <c r="J121" s="1086">
        <f>I121-H121</f>
        <v>-17189</v>
      </c>
      <c r="K121" s="871"/>
      <c r="L121" s="676"/>
      <c r="M121" s="340"/>
      <c r="N121" s="340"/>
      <c r="O121" s="533"/>
      <c r="Q121" s="12"/>
    </row>
    <row r="122" spans="1:17" x14ac:dyDescent="0.2">
      <c r="A122" s="1136"/>
      <c r="B122" s="1128"/>
      <c r="C122" s="1129"/>
      <c r="D122" s="1343"/>
      <c r="E122" s="1345" t="s">
        <v>111</v>
      </c>
      <c r="F122" s="638"/>
      <c r="G122" s="18"/>
      <c r="H122" s="375"/>
      <c r="I122" s="360"/>
      <c r="J122" s="929"/>
      <c r="K122" s="819"/>
      <c r="L122" s="149"/>
      <c r="M122" s="220"/>
      <c r="N122" s="220"/>
      <c r="O122" s="221"/>
      <c r="Q122" s="12"/>
    </row>
    <row r="123" spans="1:17" x14ac:dyDescent="0.2">
      <c r="A123" s="1136"/>
      <c r="B123" s="1128"/>
      <c r="C123" s="1129"/>
      <c r="D123" s="1343"/>
      <c r="E123" s="1346"/>
      <c r="F123" s="638"/>
      <c r="G123" s="18"/>
      <c r="H123" s="375"/>
      <c r="I123" s="360"/>
      <c r="J123" s="929"/>
      <c r="K123" s="819"/>
      <c r="L123" s="149"/>
      <c r="M123" s="583"/>
      <c r="N123" s="220"/>
      <c r="O123" s="221"/>
      <c r="Q123" s="12"/>
    </row>
    <row r="124" spans="1:17" x14ac:dyDescent="0.2">
      <c r="A124" s="1136"/>
      <c r="B124" s="1128"/>
      <c r="C124" s="1129"/>
      <c r="D124" s="1343"/>
      <c r="E124" s="641"/>
      <c r="F124" s="638"/>
      <c r="G124" s="96"/>
      <c r="H124" s="371"/>
      <c r="I124" s="359"/>
      <c r="J124" s="1023"/>
      <c r="K124" s="881"/>
      <c r="L124" s="510"/>
      <c r="M124" s="584"/>
      <c r="N124" s="511"/>
      <c r="O124" s="512"/>
      <c r="Q124" s="12"/>
    </row>
    <row r="125" spans="1:17" ht="13.5" thickBot="1" x14ac:dyDescent="0.25">
      <c r="A125" s="1209"/>
      <c r="B125" s="1219"/>
      <c r="C125" s="1221"/>
      <c r="D125" s="1344"/>
      <c r="E125" s="133"/>
      <c r="F125" s="639"/>
      <c r="G125" s="101" t="s">
        <v>6</v>
      </c>
      <c r="H125" s="456">
        <f>H121+H122</f>
        <v>57924</v>
      </c>
      <c r="I125" s="365">
        <f>I121+I122</f>
        <v>40735</v>
      </c>
      <c r="J125" s="1085">
        <f>J121+J122</f>
        <v>-17189</v>
      </c>
      <c r="K125" s="700"/>
      <c r="L125" s="128"/>
      <c r="M125" s="585"/>
      <c r="N125" s="97"/>
      <c r="O125" s="98"/>
      <c r="Q125" s="12"/>
    </row>
    <row r="126" spans="1:17" ht="25.5" x14ac:dyDescent="0.2">
      <c r="A126" s="654" t="s">
        <v>5</v>
      </c>
      <c r="B126" s="629" t="s">
        <v>37</v>
      </c>
      <c r="C126" s="630" t="s">
        <v>42</v>
      </c>
      <c r="D126" s="179" t="s">
        <v>176</v>
      </c>
      <c r="E126" s="641"/>
      <c r="F126" s="638"/>
      <c r="G126" s="96"/>
      <c r="H126" s="371"/>
      <c r="I126" s="359"/>
      <c r="J126" s="936"/>
      <c r="K126" s="818"/>
      <c r="L126" s="652"/>
      <c r="M126" s="110"/>
      <c r="N126" s="110"/>
      <c r="O126" s="111"/>
      <c r="Q126" s="12"/>
    </row>
    <row r="127" spans="1:17" ht="25.5" x14ac:dyDescent="0.2">
      <c r="A127" s="669"/>
      <c r="B127" s="629"/>
      <c r="C127" s="630"/>
      <c r="D127" s="513" t="s">
        <v>264</v>
      </c>
      <c r="E127" s="514"/>
      <c r="F127" s="515" t="s">
        <v>48</v>
      </c>
      <c r="G127" s="516" t="s">
        <v>103</v>
      </c>
      <c r="H127" s="450">
        <f>20/3.4528*1000</f>
        <v>5792</v>
      </c>
      <c r="I127" s="414">
        <f>20/3.4528*1000</f>
        <v>5792</v>
      </c>
      <c r="J127" s="1087"/>
      <c r="K127" s="872"/>
      <c r="L127" s="517"/>
      <c r="M127" s="518"/>
      <c r="N127" s="519"/>
      <c r="O127" s="520"/>
      <c r="Q127" s="12"/>
    </row>
    <row r="128" spans="1:17" ht="28.5" customHeight="1" x14ac:dyDescent="0.2">
      <c r="A128" s="669"/>
      <c r="B128" s="629"/>
      <c r="C128" s="630"/>
      <c r="D128" s="1147" t="s">
        <v>255</v>
      </c>
      <c r="E128" s="1249" t="s">
        <v>167</v>
      </c>
      <c r="F128" s="1140" t="s">
        <v>48</v>
      </c>
      <c r="G128" s="500" t="s">
        <v>103</v>
      </c>
      <c r="H128" s="507">
        <v>86037</v>
      </c>
      <c r="I128" s="985">
        <v>0</v>
      </c>
      <c r="J128" s="1084">
        <f>I128-H128</f>
        <v>-86037</v>
      </c>
      <c r="K128" s="821"/>
      <c r="L128" s="644"/>
      <c r="M128" s="206"/>
      <c r="N128" s="499"/>
      <c r="O128" s="534"/>
      <c r="Q128" s="12"/>
    </row>
    <row r="129" spans="1:18" ht="30" customHeight="1" x14ac:dyDescent="0.2">
      <c r="A129" s="669"/>
      <c r="B129" s="629"/>
      <c r="C129" s="630"/>
      <c r="D129" s="1147"/>
      <c r="E129" s="1249"/>
      <c r="F129" s="1134"/>
      <c r="G129" s="18"/>
      <c r="H129" s="375"/>
      <c r="I129" s="360"/>
      <c r="J129" s="1062"/>
      <c r="K129" s="821"/>
      <c r="L129" s="644"/>
      <c r="M129" s="206"/>
      <c r="N129" s="499"/>
      <c r="O129" s="534"/>
      <c r="Q129" s="12"/>
    </row>
    <row r="130" spans="1:18" ht="14.25" customHeight="1" x14ac:dyDescent="0.2">
      <c r="A130" s="669"/>
      <c r="B130" s="629"/>
      <c r="C130" s="630"/>
      <c r="D130" s="1147"/>
      <c r="E130" s="1249"/>
      <c r="F130" s="1132"/>
      <c r="G130" s="18"/>
      <c r="H130" s="375"/>
      <c r="I130" s="360"/>
      <c r="J130" s="1023"/>
      <c r="K130" s="879"/>
      <c r="L130" s="1347"/>
      <c r="M130" s="206"/>
      <c r="N130" s="262"/>
      <c r="O130" s="534"/>
      <c r="Q130" s="12"/>
    </row>
    <row r="131" spans="1:18" ht="16.5" customHeight="1" thickBot="1" x14ac:dyDescent="0.25">
      <c r="A131" s="669"/>
      <c r="B131" s="629"/>
      <c r="C131" s="630"/>
      <c r="D131" s="1217"/>
      <c r="E131" s="1380"/>
      <c r="F131" s="638"/>
      <c r="G131" s="101" t="s">
        <v>6</v>
      </c>
      <c r="H131" s="539">
        <f>SUM(H127:H130)</f>
        <v>91829</v>
      </c>
      <c r="I131" s="365">
        <f>SUM(I127:I130)</f>
        <v>5792</v>
      </c>
      <c r="J131" s="1085">
        <f>SUM(J127:J130)</f>
        <v>-86037</v>
      </c>
      <c r="K131" s="829"/>
      <c r="L131" s="1379"/>
      <c r="M131" s="499"/>
      <c r="N131" s="499"/>
      <c r="O131" s="534"/>
      <c r="Q131" s="12"/>
    </row>
    <row r="132" spans="1:18" ht="15.75" customHeight="1" x14ac:dyDescent="0.2">
      <c r="A132" s="1208" t="s">
        <v>5</v>
      </c>
      <c r="B132" s="1218" t="s">
        <v>37</v>
      </c>
      <c r="C132" s="1220" t="s">
        <v>44</v>
      </c>
      <c r="D132" s="1228" t="s">
        <v>68</v>
      </c>
      <c r="E132" s="1229" t="s">
        <v>108</v>
      </c>
      <c r="F132" s="1232" t="s">
        <v>84</v>
      </c>
      <c r="G132" s="48" t="s">
        <v>35</v>
      </c>
      <c r="H132" s="997">
        <f>98471-33546</f>
        <v>64925</v>
      </c>
      <c r="I132" s="430">
        <f>98471-33546</f>
        <v>64925</v>
      </c>
      <c r="J132" s="865">
        <f>I132-H132</f>
        <v>0</v>
      </c>
      <c r="K132" s="873"/>
      <c r="L132" s="14"/>
      <c r="M132" s="340"/>
      <c r="N132" s="340"/>
      <c r="O132" s="533"/>
      <c r="Q132" s="12"/>
    </row>
    <row r="133" spans="1:18" ht="13.5" customHeight="1" x14ac:dyDescent="0.2">
      <c r="A133" s="1136"/>
      <c r="B133" s="1128"/>
      <c r="C133" s="1129"/>
      <c r="D133" s="1213"/>
      <c r="E133" s="1230"/>
      <c r="F133" s="1134"/>
      <c r="G133" s="330"/>
      <c r="H133" s="371"/>
      <c r="I133" s="359"/>
      <c r="J133" s="936"/>
      <c r="K133" s="860"/>
      <c r="L133" s="1348"/>
      <c r="M133" s="499"/>
      <c r="N133" s="499"/>
      <c r="O133" s="534"/>
      <c r="Q133" s="12"/>
    </row>
    <row r="134" spans="1:18" ht="13.5" thickBot="1" x14ac:dyDescent="0.25">
      <c r="A134" s="1209"/>
      <c r="B134" s="1219"/>
      <c r="C134" s="1221"/>
      <c r="D134" s="1214"/>
      <c r="E134" s="1231"/>
      <c r="F134" s="1222"/>
      <c r="G134" s="101" t="s">
        <v>6</v>
      </c>
      <c r="H134" s="539">
        <f>SUM(H132:H133)</f>
        <v>64925</v>
      </c>
      <c r="I134" s="365">
        <f>SUM(I132:I133)</f>
        <v>64925</v>
      </c>
      <c r="J134" s="1088">
        <f>SUM(J132:J133)</f>
        <v>0</v>
      </c>
      <c r="K134" s="829"/>
      <c r="L134" s="1349"/>
      <c r="M134" s="97"/>
      <c r="N134" s="97"/>
      <c r="O134" s="98"/>
      <c r="Q134" s="12"/>
    </row>
    <row r="135" spans="1:18" ht="16.5" customHeight="1" x14ac:dyDescent="0.2">
      <c r="A135" s="1208" t="s">
        <v>5</v>
      </c>
      <c r="B135" s="1218" t="s">
        <v>37</v>
      </c>
      <c r="C135" s="1220" t="s">
        <v>46</v>
      </c>
      <c r="D135" s="1228" t="s">
        <v>78</v>
      </c>
      <c r="E135" s="1229" t="s">
        <v>66</v>
      </c>
      <c r="F135" s="1232" t="s">
        <v>61</v>
      </c>
      <c r="G135" s="239" t="s">
        <v>243</v>
      </c>
      <c r="H135" s="372">
        <v>72405</v>
      </c>
      <c r="I135" s="1002">
        <f>72405-64317</f>
        <v>8088</v>
      </c>
      <c r="J135" s="1018">
        <f>I135-H135</f>
        <v>-64317</v>
      </c>
      <c r="K135" s="918"/>
      <c r="L135" s="920"/>
      <c r="M135" s="919"/>
      <c r="N135" s="525"/>
      <c r="O135" s="526"/>
      <c r="Q135" s="12"/>
    </row>
    <row r="136" spans="1:18" ht="16.5" customHeight="1" x14ac:dyDescent="0.2">
      <c r="A136" s="1136"/>
      <c r="B136" s="1128"/>
      <c r="C136" s="1129"/>
      <c r="D136" s="1213"/>
      <c r="E136" s="1230"/>
      <c r="F136" s="1134"/>
      <c r="G136" s="330" t="s">
        <v>103</v>
      </c>
      <c r="H136" s="375">
        <f>50/3.4528*1000</f>
        <v>14481</v>
      </c>
      <c r="I136" s="360">
        <f>50/3.4528*1000</f>
        <v>14481</v>
      </c>
      <c r="J136" s="1017"/>
      <c r="K136" s="860"/>
      <c r="L136" s="1382" t="s">
        <v>83</v>
      </c>
      <c r="M136" s="1042" t="s">
        <v>146</v>
      </c>
      <c r="N136" s="1043">
        <v>10</v>
      </c>
      <c r="O136" s="86"/>
      <c r="Q136" s="12"/>
    </row>
    <row r="137" spans="1:18" ht="15.75" customHeight="1" thickBot="1" x14ac:dyDescent="0.25">
      <c r="A137" s="1209"/>
      <c r="B137" s="1219"/>
      <c r="C137" s="1221"/>
      <c r="D137" s="1214"/>
      <c r="E137" s="1231"/>
      <c r="F137" s="1222"/>
      <c r="G137" s="101" t="s">
        <v>6</v>
      </c>
      <c r="H137" s="539">
        <f>H135+H136</f>
        <v>86886</v>
      </c>
      <c r="I137" s="365">
        <f>I135+I136</f>
        <v>22569</v>
      </c>
      <c r="J137" s="1089">
        <f>J135+J136</f>
        <v>-64317</v>
      </c>
      <c r="K137" s="861"/>
      <c r="L137" s="1383"/>
      <c r="M137" s="922"/>
      <c r="N137" s="88"/>
      <c r="O137" s="89"/>
      <c r="Q137" s="12"/>
    </row>
    <row r="138" spans="1:18" ht="29.25" x14ac:dyDescent="0.2">
      <c r="A138" s="655" t="s">
        <v>5</v>
      </c>
      <c r="B138" s="657" t="s">
        <v>37</v>
      </c>
      <c r="C138" s="636" t="s">
        <v>47</v>
      </c>
      <c r="D138" s="230" t="s">
        <v>172</v>
      </c>
      <c r="E138" s="296" t="s">
        <v>111</v>
      </c>
      <c r="F138" s="231"/>
      <c r="G138" s="17"/>
      <c r="H138" s="540"/>
      <c r="I138" s="378"/>
      <c r="J138" s="1079"/>
      <c r="K138" s="869"/>
      <c r="L138" s="798"/>
      <c r="M138" s="340"/>
      <c r="N138" s="340"/>
      <c r="O138" s="533"/>
      <c r="Q138" s="12"/>
    </row>
    <row r="139" spans="1:18" ht="12.75" customHeight="1" x14ac:dyDescent="0.2">
      <c r="A139" s="654"/>
      <c r="B139" s="629"/>
      <c r="C139" s="630"/>
      <c r="D139" s="1146" t="s">
        <v>227</v>
      </c>
      <c r="E139" s="642" t="s">
        <v>66</v>
      </c>
      <c r="F139" s="1132" t="s">
        <v>61</v>
      </c>
      <c r="G139" s="122" t="s">
        <v>103</v>
      </c>
      <c r="H139" s="541">
        <f>30/3.4528*1000</f>
        <v>8689</v>
      </c>
      <c r="I139" s="414">
        <f>30/3.4528*1000</f>
        <v>8689</v>
      </c>
      <c r="J139" s="938"/>
      <c r="K139" s="822"/>
      <c r="L139" s="790"/>
      <c r="M139" s="137"/>
      <c r="N139" s="137"/>
      <c r="O139" s="138"/>
      <c r="Q139" s="12"/>
    </row>
    <row r="140" spans="1:18" ht="12.75" customHeight="1" x14ac:dyDescent="0.2">
      <c r="A140" s="654"/>
      <c r="B140" s="629"/>
      <c r="C140" s="630"/>
      <c r="D140" s="1147"/>
      <c r="E140" s="641"/>
      <c r="F140" s="1134"/>
      <c r="G140" s="209" t="s">
        <v>243</v>
      </c>
      <c r="H140" s="998">
        <f>54684-50684</f>
        <v>4000</v>
      </c>
      <c r="I140" s="442">
        <f>54684-50684-3543</f>
        <v>457</v>
      </c>
      <c r="J140" s="1016">
        <f>I140-H140</f>
        <v>-3543</v>
      </c>
      <c r="K140" s="876"/>
      <c r="L140" s="789"/>
      <c r="M140" s="85"/>
      <c r="N140" s="85"/>
      <c r="O140" s="86"/>
      <c r="P140" s="739"/>
      <c r="Q140" s="12"/>
    </row>
    <row r="141" spans="1:18" x14ac:dyDescent="0.2">
      <c r="A141" s="654"/>
      <c r="B141" s="629"/>
      <c r="C141" s="630"/>
      <c r="D141" s="1147"/>
      <c r="E141" s="391"/>
      <c r="F141" s="1134"/>
      <c r="G141" s="209" t="s">
        <v>49</v>
      </c>
      <c r="H141" s="998">
        <f>21721-21721</f>
        <v>0</v>
      </c>
      <c r="I141" s="442">
        <f>21721-21721</f>
        <v>0</v>
      </c>
      <c r="J141" s="726"/>
      <c r="K141" s="876"/>
      <c r="L141" s="789"/>
      <c r="M141" s="85"/>
      <c r="N141" s="85"/>
      <c r="O141" s="86"/>
      <c r="Q141" s="561"/>
    </row>
    <row r="142" spans="1:18" x14ac:dyDescent="0.2">
      <c r="A142" s="654"/>
      <c r="B142" s="629"/>
      <c r="C142" s="630"/>
      <c r="D142" s="1147"/>
      <c r="E142" s="391"/>
      <c r="F142" s="1134"/>
      <c r="G142" s="161" t="s">
        <v>243</v>
      </c>
      <c r="H142" s="999">
        <v>72410</v>
      </c>
      <c r="I142" s="411">
        <v>72410</v>
      </c>
      <c r="J142" s="726"/>
      <c r="K142" s="876"/>
      <c r="L142" s="928"/>
      <c r="M142" s="85"/>
      <c r="N142" s="85"/>
      <c r="O142" s="558"/>
      <c r="Q142" s="561"/>
    </row>
    <row r="143" spans="1:18" x14ac:dyDescent="0.2">
      <c r="A143" s="654"/>
      <c r="B143" s="629"/>
      <c r="C143" s="630"/>
      <c r="D143" s="1147"/>
      <c r="E143" s="391"/>
      <c r="F143" s="1134"/>
      <c r="G143" s="96" t="s">
        <v>63</v>
      </c>
      <c r="H143" s="543">
        <f>163.5/3.4528*1000</f>
        <v>47353</v>
      </c>
      <c r="I143" s="359">
        <f>163.5/3.4528*1000</f>
        <v>47353</v>
      </c>
      <c r="J143" s="924"/>
      <c r="K143" s="874"/>
      <c r="L143" s="109"/>
      <c r="M143" s="66"/>
      <c r="N143" s="66"/>
      <c r="O143" s="390"/>
      <c r="P143" s="562"/>
      <c r="Q143" s="561"/>
    </row>
    <row r="144" spans="1:18" ht="28.5" customHeight="1" x14ac:dyDescent="0.2">
      <c r="A144" s="669"/>
      <c r="B144" s="629"/>
      <c r="C144" s="630"/>
      <c r="D144" s="1146" t="s">
        <v>252</v>
      </c>
      <c r="E144" s="642" t="s">
        <v>66</v>
      </c>
      <c r="F144" s="651" t="s">
        <v>48</v>
      </c>
      <c r="G144" s="134" t="s">
        <v>103</v>
      </c>
      <c r="H144" s="544">
        <v>147078</v>
      </c>
      <c r="I144" s="1028">
        <f>147078-67842</f>
        <v>79236</v>
      </c>
      <c r="J144" s="1027">
        <f>I144-H144</f>
        <v>-67842</v>
      </c>
      <c r="K144" s="877"/>
      <c r="L144" s="942"/>
      <c r="M144" s="943"/>
      <c r="N144" s="944"/>
      <c r="O144" s="528"/>
      <c r="Q144" s="561"/>
      <c r="R144" s="561"/>
    </row>
    <row r="145" spans="1:18" ht="41.25" customHeight="1" thickBot="1" x14ac:dyDescent="0.25">
      <c r="A145" s="656"/>
      <c r="B145" s="634"/>
      <c r="C145" s="635"/>
      <c r="D145" s="1381"/>
      <c r="E145" s="389"/>
      <c r="F145" s="267"/>
      <c r="G145" s="101" t="s">
        <v>6</v>
      </c>
      <c r="H145" s="545">
        <f>SUM(H138:H144)</f>
        <v>279530</v>
      </c>
      <c r="I145" s="361">
        <f>SUM(I138:I144)</f>
        <v>208145</v>
      </c>
      <c r="J145" s="1090">
        <f>SUM(J138:J144)</f>
        <v>-71385</v>
      </c>
      <c r="K145" s="700">
        <f t="shared" ref="K145" si="1">SUM(K138:K144)</f>
        <v>0</v>
      </c>
      <c r="L145" s="923"/>
      <c r="M145" s="921"/>
      <c r="N145" s="269"/>
      <c r="O145" s="270"/>
      <c r="Q145" s="12"/>
    </row>
    <row r="146" spans="1:18" ht="12.75" customHeight="1" x14ac:dyDescent="0.2">
      <c r="A146" s="655" t="s">
        <v>5</v>
      </c>
      <c r="B146" s="59" t="s">
        <v>37</v>
      </c>
      <c r="C146" s="1220" t="s">
        <v>170</v>
      </c>
      <c r="D146" s="1337" t="s">
        <v>88</v>
      </c>
      <c r="E146" s="1339"/>
      <c r="F146" s="1232" t="s">
        <v>48</v>
      </c>
      <c r="G146" s="17" t="s">
        <v>243</v>
      </c>
      <c r="H146" s="540">
        <v>93571</v>
      </c>
      <c r="I146" s="378">
        <v>93571</v>
      </c>
      <c r="J146" s="1091"/>
      <c r="K146" s="875"/>
      <c r="L146" s="577"/>
      <c r="M146" s="616"/>
      <c r="N146" s="616"/>
      <c r="O146" s="533"/>
      <c r="Q146" s="12"/>
    </row>
    <row r="147" spans="1:18" ht="12.75" customHeight="1" x14ac:dyDescent="0.2">
      <c r="A147" s="654"/>
      <c r="B147" s="572"/>
      <c r="C147" s="1129"/>
      <c r="D147" s="1325"/>
      <c r="E147" s="1340"/>
      <c r="F147" s="1134"/>
      <c r="G147" s="576" t="s">
        <v>106</v>
      </c>
      <c r="H147" s="548"/>
      <c r="I147" s="360"/>
      <c r="J147" s="1000"/>
      <c r="K147" s="878"/>
      <c r="L147" s="793"/>
      <c r="M147" s="262"/>
      <c r="N147" s="262"/>
      <c r="O147" s="534"/>
      <c r="Q147" s="12"/>
    </row>
    <row r="148" spans="1:18" ht="13.5" thickBot="1" x14ac:dyDescent="0.25">
      <c r="A148" s="656"/>
      <c r="B148" s="60"/>
      <c r="C148" s="1221"/>
      <c r="D148" s="1338"/>
      <c r="E148" s="1341"/>
      <c r="F148" s="1222"/>
      <c r="G148" s="103" t="s">
        <v>6</v>
      </c>
      <c r="H148" s="539">
        <f>SUM(H146:H147)</f>
        <v>93571</v>
      </c>
      <c r="I148" s="365">
        <f>SUM(I146:I147)</f>
        <v>93571</v>
      </c>
      <c r="J148" s="1088">
        <f t="shared" ref="J148:K148" si="2">SUM(J146:J147)</f>
        <v>0</v>
      </c>
      <c r="K148" s="695">
        <f t="shared" si="2"/>
        <v>0</v>
      </c>
      <c r="L148" s="16"/>
      <c r="M148" s="263"/>
      <c r="N148" s="263"/>
      <c r="O148" s="98"/>
      <c r="Q148" s="12"/>
    </row>
    <row r="149" spans="1:18" ht="13.5" thickBot="1" x14ac:dyDescent="0.25">
      <c r="A149" s="115" t="s">
        <v>5</v>
      </c>
      <c r="B149" s="9" t="s">
        <v>37</v>
      </c>
      <c r="C149" s="1242" t="s">
        <v>8</v>
      </c>
      <c r="D149" s="1242"/>
      <c r="E149" s="1242"/>
      <c r="F149" s="1242"/>
      <c r="G149" s="1336"/>
      <c r="H149" s="546">
        <f>H148+H145+H137+H134+H131+H125+H120+H114</f>
        <v>1694850</v>
      </c>
      <c r="I149" s="369">
        <f>I148+I145+I137+I134+I131+I125+I120+I114</f>
        <v>1462752</v>
      </c>
      <c r="J149" s="1121">
        <f>J148+J145+J137+J134+J131+J125+J120+J114</f>
        <v>-232098</v>
      </c>
      <c r="K149" s="703">
        <f t="shared" ref="K149" si="3">K148+K145+K137+K134+K131+K125+K120+K114</f>
        <v>0</v>
      </c>
      <c r="L149" s="1350"/>
      <c r="M149" s="1334"/>
      <c r="N149" s="1334"/>
      <c r="O149" s="1335"/>
    </row>
    <row r="150" spans="1:18" ht="15" customHeight="1" thickBot="1" x14ac:dyDescent="0.25">
      <c r="A150" s="114" t="s">
        <v>5</v>
      </c>
      <c r="B150" s="9" t="s">
        <v>42</v>
      </c>
      <c r="C150" s="1243" t="s">
        <v>45</v>
      </c>
      <c r="D150" s="1244"/>
      <c r="E150" s="1244"/>
      <c r="F150" s="1244"/>
      <c r="G150" s="1244"/>
      <c r="H150" s="1244"/>
      <c r="I150" s="1244"/>
      <c r="J150" s="1244"/>
      <c r="K150" s="1244"/>
      <c r="L150" s="1244"/>
      <c r="M150" s="1244"/>
      <c r="N150" s="1244"/>
      <c r="O150" s="1245"/>
    </row>
    <row r="151" spans="1:18" ht="25.5" x14ac:dyDescent="0.2">
      <c r="A151" s="655" t="s">
        <v>5</v>
      </c>
      <c r="B151" s="657" t="s">
        <v>42</v>
      </c>
      <c r="C151" s="494" t="s">
        <v>5</v>
      </c>
      <c r="D151" s="152" t="s">
        <v>142</v>
      </c>
      <c r="E151" s="143"/>
      <c r="F151" s="144"/>
      <c r="G151" s="17"/>
      <c r="H151" s="463"/>
      <c r="I151" s="989"/>
      <c r="J151" s="1092"/>
      <c r="K151" s="885"/>
      <c r="L151" s="131"/>
      <c r="M151" s="130"/>
      <c r="N151" s="130"/>
      <c r="O151" s="132"/>
      <c r="Q151" s="12"/>
    </row>
    <row r="152" spans="1:18" ht="39" customHeight="1" thickBot="1" x14ac:dyDescent="0.25">
      <c r="A152" s="656"/>
      <c r="B152" s="634"/>
      <c r="C152" s="233"/>
      <c r="D152" s="617" t="s">
        <v>144</v>
      </c>
      <c r="E152" s="663"/>
      <c r="F152" s="639" t="s">
        <v>61</v>
      </c>
      <c r="G152" s="618" t="s">
        <v>243</v>
      </c>
      <c r="H152" s="619">
        <f>10/3.4528*1000</f>
        <v>2896</v>
      </c>
      <c r="I152" s="990">
        <f>2896-1896</f>
        <v>1000</v>
      </c>
      <c r="J152" s="1019">
        <f>I152-H152</f>
        <v>-1896</v>
      </c>
      <c r="K152" s="886"/>
      <c r="L152" s="621"/>
      <c r="M152" s="622"/>
      <c r="N152" s="622"/>
      <c r="O152" s="623"/>
      <c r="Q152" s="12"/>
    </row>
    <row r="153" spans="1:18" ht="16.5" customHeight="1" x14ac:dyDescent="0.2">
      <c r="A153" s="654"/>
      <c r="B153" s="629"/>
      <c r="C153" s="232"/>
      <c r="D153" s="658" t="s">
        <v>262</v>
      </c>
      <c r="E153" s="664"/>
      <c r="F153" s="638" t="s">
        <v>48</v>
      </c>
      <c r="G153" s="48" t="s">
        <v>243</v>
      </c>
      <c r="H153" s="951">
        <f>795451-32991</f>
        <v>762460</v>
      </c>
      <c r="I153" s="991">
        <f>795451-32991</f>
        <v>762460</v>
      </c>
      <c r="J153" s="1093">
        <f>I153-H153</f>
        <v>0</v>
      </c>
      <c r="K153" s="472"/>
      <c r="L153" s="645"/>
      <c r="M153" s="236"/>
      <c r="N153" s="236"/>
      <c r="O153" s="237"/>
      <c r="P153" s="64"/>
      <c r="Q153" s="12"/>
    </row>
    <row r="154" spans="1:18" ht="27" customHeight="1" x14ac:dyDescent="0.2">
      <c r="A154" s="654"/>
      <c r="B154" s="629"/>
      <c r="C154" s="232"/>
      <c r="D154" s="624" t="s">
        <v>249</v>
      </c>
      <c r="E154" s="328"/>
      <c r="F154" s="324"/>
      <c r="G154" s="981" t="s">
        <v>243</v>
      </c>
      <c r="H154" s="986"/>
      <c r="I154" s="992">
        <v>345544</v>
      </c>
      <c r="J154" s="1094">
        <v>345544</v>
      </c>
      <c r="K154" s="476"/>
      <c r="L154" s="962"/>
      <c r="M154" s="625"/>
      <c r="N154" s="625"/>
      <c r="O154" s="626"/>
      <c r="P154" s="64"/>
      <c r="Q154" s="12"/>
    </row>
    <row r="155" spans="1:18" ht="15" customHeight="1" x14ac:dyDescent="0.2">
      <c r="A155" s="654"/>
      <c r="B155" s="629"/>
      <c r="C155" s="232"/>
      <c r="D155" s="624" t="s">
        <v>250</v>
      </c>
      <c r="E155" s="328"/>
      <c r="F155" s="324"/>
      <c r="G155" s="982" t="s">
        <v>228</v>
      </c>
      <c r="H155" s="465"/>
      <c r="I155" s="993"/>
      <c r="J155" s="1095" t="s">
        <v>265</v>
      </c>
      <c r="K155" s="476"/>
      <c r="L155" s="680"/>
      <c r="M155" s="625"/>
      <c r="N155" s="625"/>
      <c r="O155" s="626"/>
      <c r="P155" s="64"/>
      <c r="Q155" s="12"/>
    </row>
    <row r="156" spans="1:18" ht="26.25" customHeight="1" x14ac:dyDescent="0.2">
      <c r="A156" s="654"/>
      <c r="B156" s="629"/>
      <c r="C156" s="232"/>
      <c r="D156" s="502" t="s">
        <v>253</v>
      </c>
      <c r="E156" s="328"/>
      <c r="F156" s="324"/>
      <c r="G156" s="285" t="s">
        <v>228</v>
      </c>
      <c r="H156" s="465">
        <v>345544</v>
      </c>
      <c r="I156" s="993"/>
      <c r="J156" s="1096"/>
      <c r="K156" s="476"/>
      <c r="L156" s="677"/>
      <c r="M156" s="625"/>
      <c r="N156" s="625"/>
      <c r="O156" s="626"/>
      <c r="P156" s="64"/>
      <c r="Q156" s="12"/>
    </row>
    <row r="157" spans="1:18" ht="27" customHeight="1" x14ac:dyDescent="0.2">
      <c r="A157" s="654"/>
      <c r="B157" s="629"/>
      <c r="C157" s="232"/>
      <c r="D157" s="502" t="s">
        <v>254</v>
      </c>
      <c r="E157" s="664"/>
      <c r="F157" s="638"/>
      <c r="G157" s="96"/>
      <c r="H157" s="473"/>
      <c r="I157" s="994"/>
      <c r="J157" s="1097"/>
      <c r="K157" s="475"/>
      <c r="L157" s="1210"/>
      <c r="M157" s="236"/>
      <c r="N157" s="236"/>
      <c r="O157" s="237"/>
      <c r="P157" s="64"/>
      <c r="Q157" s="12"/>
    </row>
    <row r="158" spans="1:18" ht="15.75" customHeight="1" thickBot="1" x14ac:dyDescent="0.25">
      <c r="A158" s="656"/>
      <c r="B158" s="634"/>
      <c r="C158" s="233"/>
      <c r="D158" s="633"/>
      <c r="E158" s="234"/>
      <c r="F158" s="235"/>
      <c r="G158" s="556" t="s">
        <v>6</v>
      </c>
      <c r="H158" s="468">
        <f>H156+H153+H152</f>
        <v>1110900</v>
      </c>
      <c r="I158" s="469">
        <f>I154+I153+I152</f>
        <v>1109004</v>
      </c>
      <c r="J158" s="1098">
        <f>J154+J152</f>
        <v>343648</v>
      </c>
      <c r="K158" s="477">
        <f t="shared" ref="K158" si="4">SUM(K151:K154)</f>
        <v>0</v>
      </c>
      <c r="L158" s="1211"/>
      <c r="M158" s="88"/>
      <c r="N158" s="88"/>
      <c r="O158" s="89"/>
      <c r="Q158" s="12"/>
      <c r="R158" s="64"/>
    </row>
    <row r="159" spans="1:18" x14ac:dyDescent="0.2">
      <c r="A159" s="1208" t="s">
        <v>5</v>
      </c>
      <c r="B159" s="1218" t="s">
        <v>42</v>
      </c>
      <c r="C159" s="1220" t="s">
        <v>7</v>
      </c>
      <c r="D159" s="1226" t="s">
        <v>77</v>
      </c>
      <c r="E159" s="238"/>
      <c r="F159" s="637"/>
      <c r="G159" s="48"/>
      <c r="H159" s="470"/>
      <c r="I159" s="991"/>
      <c r="J159" s="1099"/>
      <c r="K159" s="888"/>
      <c r="L159" s="798"/>
      <c r="M159" s="27"/>
      <c r="N159" s="27"/>
      <c r="O159" s="28"/>
      <c r="Q159" s="12"/>
    </row>
    <row r="160" spans="1:18" x14ac:dyDescent="0.2">
      <c r="A160" s="1136"/>
      <c r="B160" s="1128"/>
      <c r="C160" s="1129"/>
      <c r="D160" s="1227"/>
      <c r="E160" s="664"/>
      <c r="F160" s="638" t="s">
        <v>48</v>
      </c>
      <c r="G160" s="96"/>
      <c r="H160" s="473"/>
      <c r="I160" s="994"/>
      <c r="J160" s="1100"/>
      <c r="K160" s="883"/>
      <c r="L160" s="768"/>
      <c r="M160" s="236"/>
      <c r="N160" s="236"/>
      <c r="O160" s="237"/>
      <c r="Q160" s="12"/>
    </row>
    <row r="161" spans="1:17" x14ac:dyDescent="0.2">
      <c r="A161" s="1136"/>
      <c r="B161" s="1128"/>
      <c r="C161" s="1129"/>
      <c r="D161" s="1224" t="s">
        <v>76</v>
      </c>
      <c r="E161" s="328"/>
      <c r="F161" s="324"/>
      <c r="G161" s="18" t="s">
        <v>243</v>
      </c>
      <c r="H161" s="952">
        <f>780613+65000</f>
        <v>845613</v>
      </c>
      <c r="I161" s="993">
        <f>780613+65000+56134</f>
        <v>901747</v>
      </c>
      <c r="J161" s="1031">
        <f>I161-H161</f>
        <v>56134</v>
      </c>
      <c r="K161" s="889"/>
      <c r="L161" s="767"/>
      <c r="M161" s="145"/>
      <c r="N161" s="145"/>
      <c r="O161" s="146"/>
    </row>
    <row r="162" spans="1:17" x14ac:dyDescent="0.2">
      <c r="A162" s="1136"/>
      <c r="B162" s="1128"/>
      <c r="C162" s="1129"/>
      <c r="D162" s="1225"/>
      <c r="E162" s="328"/>
      <c r="F162" s="324"/>
      <c r="G162" s="47"/>
      <c r="H162" s="465"/>
      <c r="I162" s="993"/>
      <c r="J162" s="1101"/>
      <c r="K162" s="889"/>
      <c r="L162" s="149"/>
      <c r="M162" s="150"/>
      <c r="N162" s="150"/>
      <c r="O162" s="151"/>
    </row>
    <row r="163" spans="1:17" ht="13.5" customHeight="1" x14ac:dyDescent="0.2">
      <c r="A163" s="1136"/>
      <c r="B163" s="1128"/>
      <c r="C163" s="1129"/>
      <c r="D163" s="1225"/>
      <c r="E163" s="664"/>
      <c r="F163" s="638"/>
      <c r="G163" s="330"/>
      <c r="H163" s="473"/>
      <c r="I163" s="994"/>
      <c r="J163" s="1100"/>
      <c r="K163" s="883"/>
      <c r="L163" s="768"/>
      <c r="M163" s="147"/>
      <c r="N163" s="147"/>
      <c r="O163" s="148"/>
    </row>
    <row r="164" spans="1:17" ht="15.75" customHeight="1" x14ac:dyDescent="0.2">
      <c r="A164" s="1136"/>
      <c r="B164" s="1128"/>
      <c r="C164" s="1129"/>
      <c r="D164" s="1130" t="s">
        <v>75</v>
      </c>
      <c r="E164" s="664"/>
      <c r="F164" s="638"/>
      <c r="G164" s="22" t="s">
        <v>35</v>
      </c>
      <c r="H164" s="379">
        <f>500/3.4528*1000</f>
        <v>144810</v>
      </c>
      <c r="I164" s="995">
        <f>500/3.4528*1000</f>
        <v>144810</v>
      </c>
      <c r="J164" s="1102"/>
      <c r="K164" s="882"/>
      <c r="L164" s="1174"/>
      <c r="M164" s="79"/>
      <c r="N164" s="79"/>
      <c r="O164" s="80"/>
    </row>
    <row r="165" spans="1:17" ht="13.5" thickBot="1" x14ac:dyDescent="0.25">
      <c r="A165" s="1209"/>
      <c r="B165" s="1219"/>
      <c r="C165" s="1223"/>
      <c r="D165" s="1333"/>
      <c r="E165" s="234"/>
      <c r="F165" s="240"/>
      <c r="G165" s="556" t="s">
        <v>6</v>
      </c>
      <c r="H165" s="468">
        <f>SUM(H159:H164)</f>
        <v>990423</v>
      </c>
      <c r="I165" s="469">
        <f>SUM(I159:I164)</f>
        <v>1046557</v>
      </c>
      <c r="J165" s="1103">
        <f>SUM(J159:J164)</f>
        <v>56134</v>
      </c>
      <c r="K165" s="887"/>
      <c r="L165" s="1256"/>
      <c r="M165" s="241"/>
      <c r="N165" s="241"/>
      <c r="O165" s="242"/>
      <c r="Q165" s="12"/>
    </row>
    <row r="166" spans="1:17" ht="12.75" customHeight="1" x14ac:dyDescent="0.2">
      <c r="A166" s="1136" t="s">
        <v>5</v>
      </c>
      <c r="B166" s="1128" t="s">
        <v>42</v>
      </c>
      <c r="C166" s="1129" t="s">
        <v>37</v>
      </c>
      <c r="D166" s="1213" t="s">
        <v>216</v>
      </c>
      <c r="E166" s="1215"/>
      <c r="F166" s="1134" t="s">
        <v>48</v>
      </c>
      <c r="G166" s="239" t="s">
        <v>103</v>
      </c>
      <c r="H166" s="481">
        <f>45/3.4528*1000</f>
        <v>13033</v>
      </c>
      <c r="I166" s="996">
        <f>45/3.4528*1000</f>
        <v>13033</v>
      </c>
      <c r="J166" s="946"/>
      <c r="K166" s="890"/>
      <c r="L166" s="767"/>
      <c r="M166" s="236"/>
      <c r="N166" s="236"/>
      <c r="O166" s="237"/>
      <c r="Q166" s="12"/>
    </row>
    <row r="167" spans="1:17" x14ac:dyDescent="0.2">
      <c r="A167" s="1136"/>
      <c r="B167" s="1128"/>
      <c r="C167" s="1129"/>
      <c r="D167" s="1213"/>
      <c r="E167" s="1215"/>
      <c r="F167" s="1134"/>
      <c r="G167" s="96" t="s">
        <v>243</v>
      </c>
      <c r="H167" s="952">
        <f>451220-32009</f>
        <v>419211</v>
      </c>
      <c r="I167" s="993">
        <f>451220-32009-600-338</f>
        <v>418273</v>
      </c>
      <c r="J167" s="1020">
        <f>I167-H167</f>
        <v>-938</v>
      </c>
      <c r="K167" s="891"/>
      <c r="L167" s="767"/>
      <c r="M167" s="499"/>
      <c r="N167" s="499"/>
      <c r="O167" s="534"/>
      <c r="Q167" s="12"/>
    </row>
    <row r="168" spans="1:17" ht="14.25" customHeight="1" thickBot="1" x14ac:dyDescent="0.25">
      <c r="A168" s="1209"/>
      <c r="B168" s="1219"/>
      <c r="C168" s="1221"/>
      <c r="D168" s="1214"/>
      <c r="E168" s="1216"/>
      <c r="F168" s="1222"/>
      <c r="G168" s="101" t="s">
        <v>6</v>
      </c>
      <c r="H168" s="478">
        <f>SUM(H166:H167)</f>
        <v>432244</v>
      </c>
      <c r="I168" s="479">
        <f>SUM(I166:I167)</f>
        <v>431306</v>
      </c>
      <c r="J168" s="1104">
        <f>SUM(J166:J167)</f>
        <v>-938</v>
      </c>
      <c r="K168" s="887"/>
      <c r="L168" s="16"/>
      <c r="M168" s="97"/>
      <c r="N168" s="97"/>
      <c r="O168" s="98"/>
      <c r="Q168" s="12"/>
    </row>
    <row r="169" spans="1:17" ht="27.75" customHeight="1" x14ac:dyDescent="0.2">
      <c r="A169" s="1208" t="s">
        <v>5</v>
      </c>
      <c r="B169" s="1218" t="s">
        <v>42</v>
      </c>
      <c r="C169" s="1220" t="s">
        <v>42</v>
      </c>
      <c r="D169" s="272" t="s">
        <v>263</v>
      </c>
      <c r="E169" s="277"/>
      <c r="F169" s="278" t="s">
        <v>48</v>
      </c>
      <c r="G169" s="239" t="s">
        <v>35</v>
      </c>
      <c r="H169" s="987">
        <f>52711+28897+32954</f>
        <v>114562</v>
      </c>
      <c r="I169" s="996">
        <f>52711+28897+32954</f>
        <v>114562</v>
      </c>
      <c r="J169" s="1105">
        <f>I169-H169</f>
        <v>0</v>
      </c>
      <c r="K169" s="892"/>
      <c r="L169" s="966"/>
      <c r="M169" s="964"/>
      <c r="N169" s="967"/>
      <c r="O169" s="968"/>
      <c r="Q169" s="12"/>
    </row>
    <row r="170" spans="1:17" ht="18" customHeight="1" x14ac:dyDescent="0.2">
      <c r="A170" s="1136"/>
      <c r="B170" s="1128"/>
      <c r="C170" s="1129"/>
      <c r="D170" s="1147" t="s">
        <v>217</v>
      </c>
      <c r="E170" s="664"/>
      <c r="F170" s="638" t="s">
        <v>61</v>
      </c>
      <c r="G170" s="18" t="s">
        <v>243</v>
      </c>
      <c r="H170" s="465">
        <f>30/3.4528*1000</f>
        <v>8689</v>
      </c>
      <c r="I170" s="993">
        <v>0</v>
      </c>
      <c r="J170" s="1021">
        <f>I170-H170</f>
        <v>-8689</v>
      </c>
      <c r="K170" s="883"/>
      <c r="L170" s="1385" t="s">
        <v>156</v>
      </c>
      <c r="M170" s="1051" t="s">
        <v>84</v>
      </c>
      <c r="N170" s="1052">
        <v>1</v>
      </c>
      <c r="O170" s="965"/>
      <c r="Q170" s="12"/>
    </row>
    <row r="171" spans="1:17" ht="26.25" customHeight="1" thickBot="1" x14ac:dyDescent="0.25">
      <c r="A171" s="1209"/>
      <c r="B171" s="1219"/>
      <c r="C171" s="1221"/>
      <c r="D171" s="1384"/>
      <c r="E171" s="663"/>
      <c r="F171" s="639"/>
      <c r="G171" s="101" t="s">
        <v>6</v>
      </c>
      <c r="H171" s="478">
        <f>SUM(H169:H170)</f>
        <v>123251</v>
      </c>
      <c r="I171" s="479">
        <f>SUM(I169:I170)</f>
        <v>114562</v>
      </c>
      <c r="J171" s="1104">
        <f>SUM(J169:J170)</f>
        <v>-8689</v>
      </c>
      <c r="K171" s="887"/>
      <c r="L171" s="1383"/>
      <c r="M171" s="1053"/>
      <c r="N171" s="1053"/>
      <c r="O171" s="98"/>
      <c r="Q171" s="12"/>
    </row>
    <row r="172" spans="1:17" ht="15" customHeight="1" x14ac:dyDescent="0.2">
      <c r="A172" s="1208" t="s">
        <v>5</v>
      </c>
      <c r="B172" s="1218" t="s">
        <v>42</v>
      </c>
      <c r="C172" s="1220" t="s">
        <v>44</v>
      </c>
      <c r="D172" s="1228" t="s">
        <v>52</v>
      </c>
      <c r="E172" s="1233"/>
      <c r="F172" s="1232" t="s">
        <v>48</v>
      </c>
      <c r="G172" s="48" t="s">
        <v>243</v>
      </c>
      <c r="H172" s="470">
        <f>317.7/3.4528*1000</f>
        <v>92012</v>
      </c>
      <c r="I172" s="991">
        <f>317.7/3.4528*1000</f>
        <v>92012</v>
      </c>
      <c r="J172" s="1106"/>
      <c r="K172" s="884"/>
      <c r="L172" s="798"/>
      <c r="M172" s="340"/>
      <c r="N172" s="340"/>
      <c r="O172" s="533"/>
      <c r="Q172" s="12"/>
    </row>
    <row r="173" spans="1:17" ht="15.75" customHeight="1" thickBot="1" x14ac:dyDescent="0.25">
      <c r="A173" s="1209"/>
      <c r="B173" s="1219"/>
      <c r="C173" s="1221"/>
      <c r="D173" s="1214"/>
      <c r="E173" s="1216"/>
      <c r="F173" s="1222"/>
      <c r="G173" s="101" t="s">
        <v>6</v>
      </c>
      <c r="H173" s="478">
        <f>SUM(H172:H172)</f>
        <v>92012</v>
      </c>
      <c r="I173" s="479">
        <f>SUM(I172:I172)</f>
        <v>92012</v>
      </c>
      <c r="J173" s="1107"/>
      <c r="K173" s="887"/>
      <c r="L173" s="16"/>
      <c r="M173" s="97"/>
      <c r="N173" s="97"/>
      <c r="O173" s="98"/>
      <c r="Q173" s="12"/>
    </row>
    <row r="174" spans="1:17" ht="14.25" customHeight="1" thickBot="1" x14ac:dyDescent="0.25">
      <c r="A174" s="115" t="s">
        <v>5</v>
      </c>
      <c r="B174" s="9" t="s">
        <v>42</v>
      </c>
      <c r="C174" s="1242" t="s">
        <v>8</v>
      </c>
      <c r="D174" s="1242"/>
      <c r="E174" s="1242"/>
      <c r="F174" s="1242"/>
      <c r="G174" s="1336"/>
      <c r="H174" s="485">
        <f>SUM(H173,H168,H165,H158,,H171)</f>
        <v>2748830</v>
      </c>
      <c r="I174" s="486">
        <f>SUM(I173,I168,I165,I158,,I171)</f>
        <v>2793441</v>
      </c>
      <c r="J174" s="1111">
        <f>SUM(J173,J168,J165,J158,,J171)</f>
        <v>390155</v>
      </c>
      <c r="K174" s="893"/>
      <c r="L174" s="1350"/>
      <c r="M174" s="1334"/>
      <c r="N174" s="1334"/>
      <c r="O174" s="1335"/>
    </row>
    <row r="175" spans="1:17" ht="14.25" customHeight="1" thickBot="1" x14ac:dyDescent="0.25">
      <c r="A175" s="115" t="s">
        <v>5</v>
      </c>
      <c r="B175" s="1287" t="s">
        <v>9</v>
      </c>
      <c r="C175" s="1288"/>
      <c r="D175" s="1288"/>
      <c r="E175" s="1288"/>
      <c r="F175" s="1288"/>
      <c r="G175" s="1289"/>
      <c r="H175" s="488">
        <f>H174+H149+H101+H87</f>
        <v>13727689</v>
      </c>
      <c r="I175" s="489">
        <f>I174+I149+I101+I87</f>
        <v>13382145</v>
      </c>
      <c r="J175" s="988">
        <f t="shared" ref="J175" si="5">J174+J149+J101+J87</f>
        <v>0</v>
      </c>
      <c r="K175" s="894">
        <f>K174+K149+K101+K87</f>
        <v>0</v>
      </c>
      <c r="L175" s="1290"/>
      <c r="M175" s="1291"/>
      <c r="N175" s="1291"/>
      <c r="O175" s="1292"/>
    </row>
    <row r="176" spans="1:17" ht="14.25" customHeight="1" thickBot="1" x14ac:dyDescent="0.25">
      <c r="A176" s="74" t="s">
        <v>46</v>
      </c>
      <c r="B176" s="1293" t="s">
        <v>87</v>
      </c>
      <c r="C176" s="1294"/>
      <c r="D176" s="1294"/>
      <c r="E176" s="1294"/>
      <c r="F176" s="1294"/>
      <c r="G176" s="1295"/>
      <c r="H176" s="491">
        <f>H175</f>
        <v>13727689</v>
      </c>
      <c r="I176" s="1112">
        <f>I175</f>
        <v>13382145</v>
      </c>
      <c r="J176" s="1113">
        <f>J175</f>
        <v>0</v>
      </c>
      <c r="K176" s="1114">
        <f t="shared" ref="K176" si="6">SUM(K175)</f>
        <v>0</v>
      </c>
      <c r="L176" s="1388"/>
      <c r="M176" s="1389"/>
      <c r="N176" s="1389"/>
      <c r="O176" s="1390"/>
    </row>
    <row r="177" spans="1:36" s="20" customFormat="1" ht="12.75" customHeight="1" x14ac:dyDescent="0.2">
      <c r="A177" s="1283"/>
      <c r="B177" s="1283"/>
      <c r="C177" s="1283"/>
      <c r="D177" s="1283"/>
      <c r="E177" s="1283"/>
      <c r="F177" s="1283"/>
      <c r="G177" s="1283"/>
      <c r="H177" s="1283"/>
      <c r="I177" s="1283"/>
      <c r="J177" s="1283"/>
      <c r="K177" s="1283"/>
      <c r="L177" s="1283"/>
      <c r="M177" s="1283"/>
      <c r="N177" s="1283"/>
      <c r="O177" s="1283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</row>
    <row r="178" spans="1:36" s="20" customFormat="1" ht="15" customHeight="1" thickBot="1" x14ac:dyDescent="0.25">
      <c r="A178" s="1351" t="s">
        <v>13</v>
      </c>
      <c r="B178" s="1351"/>
      <c r="C178" s="1351"/>
      <c r="D178" s="1351"/>
      <c r="E178" s="1351"/>
      <c r="F178" s="1351"/>
      <c r="G178" s="1351"/>
      <c r="H178" s="1351"/>
      <c r="I178" s="1351"/>
      <c r="J178" s="1351"/>
      <c r="K178" s="816"/>
      <c r="L178" s="5"/>
      <c r="M178" s="5"/>
      <c r="N178" s="5"/>
      <c r="O178" s="5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</row>
    <row r="179" spans="1:36" ht="57" customHeight="1" thickBot="1" x14ac:dyDescent="0.25">
      <c r="A179" s="1284" t="s">
        <v>10</v>
      </c>
      <c r="B179" s="1285"/>
      <c r="C179" s="1285"/>
      <c r="D179" s="1285"/>
      <c r="E179" s="1285"/>
      <c r="F179" s="1285"/>
      <c r="G179" s="1286"/>
      <c r="H179" s="945" t="s">
        <v>124</v>
      </c>
      <c r="I179" s="24" t="s">
        <v>222</v>
      </c>
      <c r="J179" s="1108" t="s">
        <v>223</v>
      </c>
      <c r="K179" s="24" t="s">
        <v>259</v>
      </c>
      <c r="L179" s="19"/>
      <c r="P179" s="562"/>
    </row>
    <row r="180" spans="1:36" ht="14.25" customHeight="1" x14ac:dyDescent="0.2">
      <c r="A180" s="1277" t="s">
        <v>14</v>
      </c>
      <c r="B180" s="1278"/>
      <c r="C180" s="1278"/>
      <c r="D180" s="1278"/>
      <c r="E180" s="1278"/>
      <c r="F180" s="1278"/>
      <c r="G180" s="1279"/>
      <c r="H180" s="714">
        <f ca="1">H181+H187+H189+H188</f>
        <v>10982091</v>
      </c>
      <c r="I180" s="1117">
        <f>I181+I187+I189+I188</f>
        <v>10636547</v>
      </c>
      <c r="J180" s="1118">
        <f t="shared" ref="J180" si="7">J181+J187+J189+J188</f>
        <v>0</v>
      </c>
      <c r="K180" s="380">
        <f t="shared" ref="K180" si="8">K181+K187+K189+K188</f>
        <v>0</v>
      </c>
      <c r="L180" s="19"/>
    </row>
    <row r="181" spans="1:36" ht="14.25" customHeight="1" x14ac:dyDescent="0.2">
      <c r="A181" s="1280" t="s">
        <v>169</v>
      </c>
      <c r="B181" s="1281"/>
      <c r="C181" s="1281"/>
      <c r="D181" s="1281"/>
      <c r="E181" s="1281"/>
      <c r="F181" s="1281"/>
      <c r="G181" s="1282"/>
      <c r="H181" s="609">
        <f ca="1">SUM(H182:H186)</f>
        <v>10254465</v>
      </c>
      <c r="I181" s="381">
        <f>SUM(I182:I186)</f>
        <v>10254465</v>
      </c>
      <c r="J181" s="947">
        <f t="shared" ref="J181" si="9">SUM(J182:J186)</f>
        <v>0</v>
      </c>
      <c r="K181" s="381">
        <f t="shared" ref="K181" si="10">SUM(K182:K186)</f>
        <v>0</v>
      </c>
      <c r="L181" s="19"/>
    </row>
    <row r="182" spans="1:36" x14ac:dyDescent="0.2">
      <c r="A182" s="1274" t="s">
        <v>28</v>
      </c>
      <c r="B182" s="1275"/>
      <c r="C182" s="1275"/>
      <c r="D182" s="1275"/>
      <c r="E182" s="1275"/>
      <c r="F182" s="1275"/>
      <c r="G182" s="1276"/>
      <c r="H182" s="715">
        <f>SUMIF(G13:G176,"SB",H13:H176)</f>
        <v>5353519</v>
      </c>
      <c r="I182" s="382">
        <f>SUMIF(G13:G176,"SB",I13:I176)</f>
        <v>5353519</v>
      </c>
      <c r="J182" s="948">
        <f>SUMIF(G13:G176,"SB",J13:J176)</f>
        <v>0</v>
      </c>
      <c r="K182" s="382">
        <f>SUMIF(H13:H176,"SB",K13:K176)</f>
        <v>0</v>
      </c>
      <c r="L182" s="895"/>
    </row>
    <row r="183" spans="1:36" x14ac:dyDescent="0.2">
      <c r="A183" s="1271" t="s">
        <v>29</v>
      </c>
      <c r="B183" s="1272"/>
      <c r="C183" s="1272"/>
      <c r="D183" s="1272"/>
      <c r="E183" s="1272"/>
      <c r="F183" s="1272"/>
      <c r="G183" s="1273"/>
      <c r="H183" s="715">
        <f>SUMIF(G13:G176,"SB(P)",H13:H176)</f>
        <v>120829</v>
      </c>
      <c r="I183" s="382">
        <f>SUMIF(G13:G176,"SB(P)",I13:I176)</f>
        <v>120829</v>
      </c>
      <c r="J183" s="948">
        <f>SUMIF(G13:G176,"SB(P)",J13:J176)</f>
        <v>0</v>
      </c>
      <c r="K183" s="382">
        <f>SUMIF(H13:H176,"SB(P)",K13:K176)</f>
        <v>0</v>
      </c>
      <c r="L183" s="895"/>
    </row>
    <row r="184" spans="1:36" x14ac:dyDescent="0.2">
      <c r="A184" s="1271" t="s">
        <v>104</v>
      </c>
      <c r="B184" s="1272"/>
      <c r="C184" s="1272"/>
      <c r="D184" s="1272"/>
      <c r="E184" s="1272"/>
      <c r="F184" s="1272"/>
      <c r="G184" s="1273"/>
      <c r="H184" s="715">
        <f>SUMIF(G13:G176,"SB(VR)",H13:H176)</f>
        <v>1084598</v>
      </c>
      <c r="I184" s="382">
        <f>SUMIF(G13:G176,"SB(VR)",I13:I176)</f>
        <v>1084598</v>
      </c>
      <c r="J184" s="948">
        <f>SUMIF(G13:G176,"SB(VR)",J13:J176)</f>
        <v>0</v>
      </c>
      <c r="K184" s="382">
        <f>SUMIF(H13:H176,"SB(VR)",K13:K176)</f>
        <v>0</v>
      </c>
      <c r="L184" s="895"/>
    </row>
    <row r="185" spans="1:36" x14ac:dyDescent="0.2">
      <c r="A185" s="1271" t="s">
        <v>230</v>
      </c>
      <c r="B185" s="1272"/>
      <c r="C185" s="1272"/>
      <c r="D185" s="1272"/>
      <c r="E185" s="1272"/>
      <c r="F185" s="1272"/>
      <c r="G185" s="1273"/>
      <c r="H185" s="715">
        <f ca="1">SUMIF(G14:G176,"SB(L)",H14:H174)</f>
        <v>8974</v>
      </c>
      <c r="I185" s="382">
        <f>SUMIF(G14:G176,"SB(L)",I14:I176)</f>
        <v>8974</v>
      </c>
      <c r="J185" s="948">
        <f>SUMIF(G12:G174,"SB(L)",J12:J174)</f>
        <v>0</v>
      </c>
      <c r="K185" s="382">
        <f>SUMIF(H12:H174,"SB(L)",K12:K174)</f>
        <v>0</v>
      </c>
      <c r="L185" s="19"/>
    </row>
    <row r="186" spans="1:36" x14ac:dyDescent="0.2">
      <c r="A186" s="1124" t="s">
        <v>247</v>
      </c>
      <c r="B186" s="1125"/>
      <c r="C186" s="1125"/>
      <c r="D186" s="1125"/>
      <c r="E186" s="1125"/>
      <c r="F186" s="1125"/>
      <c r="G186" s="1126"/>
      <c r="H186" s="716">
        <f>SUMIF(G14:G176,"SB(KPP)",H14:H176)</f>
        <v>3686545</v>
      </c>
      <c r="I186" s="383">
        <f>SUMIF(G14:G176,"SB(KPP)",I14:I176)</f>
        <v>3686545</v>
      </c>
      <c r="J186" s="948">
        <f>SUMIF(G14:G176,"SB(KPP)",J14:J176)</f>
        <v>0</v>
      </c>
      <c r="K186" s="383">
        <f>SUMIF(G14:G176,"SB(KPP)",K14:K176)</f>
        <v>0</v>
      </c>
      <c r="L186" s="895"/>
      <c r="Q186" s="64"/>
    </row>
    <row r="187" spans="1:36" x14ac:dyDescent="0.2">
      <c r="A187" s="1266" t="s">
        <v>107</v>
      </c>
      <c r="B187" s="1267"/>
      <c r="C187" s="1267"/>
      <c r="D187" s="1267"/>
      <c r="E187" s="1267"/>
      <c r="F187" s="1267"/>
      <c r="G187" s="1268"/>
      <c r="H187" s="543">
        <f>SUMIF(G13:G176,"SB(VRL)",H13:H176)</f>
        <v>72307</v>
      </c>
      <c r="I187" s="359">
        <f>SUMIF(G13:G176,"SB(VRL)",I13:I176)</f>
        <v>72307</v>
      </c>
      <c r="J187" s="950">
        <f>SUMIF(G13:G177,"SB(VRL)",J13:J177)</f>
        <v>0</v>
      </c>
      <c r="K187" s="359">
        <f>SUMIF(H13:H177,"SB(VRL)",K13:K177)</f>
        <v>0</v>
      </c>
      <c r="L187" s="895"/>
    </row>
    <row r="188" spans="1:36" x14ac:dyDescent="0.2">
      <c r="A188" s="1266" t="s">
        <v>229</v>
      </c>
      <c r="B188" s="1267"/>
      <c r="C188" s="1267"/>
      <c r="D188" s="1267"/>
      <c r="E188" s="1267"/>
      <c r="F188" s="1267"/>
      <c r="G188" s="1268"/>
      <c r="H188" s="543">
        <f>SUMIF(G13:G177,"SB(ŽPL)",H13:H177)</f>
        <v>655319</v>
      </c>
      <c r="I188" s="359">
        <f>SUMIF(G13:G176,"SB(ŽPL)",I13:I176)</f>
        <v>309775</v>
      </c>
      <c r="J188" s="950">
        <f>SUMIF(G14:G178,"SB(ŽPL)",J14:J178)</f>
        <v>0</v>
      </c>
      <c r="K188" s="359">
        <f>SUMIF(H14:H178,"SB(ŽPL)",K14:K178)</f>
        <v>0</v>
      </c>
      <c r="L188" s="895"/>
    </row>
    <row r="189" spans="1:36" x14ac:dyDescent="0.2">
      <c r="A189" s="1266" t="s">
        <v>112</v>
      </c>
      <c r="B189" s="1269"/>
      <c r="C189" s="1269"/>
      <c r="D189" s="1269"/>
      <c r="E189" s="1269"/>
      <c r="F189" s="1269"/>
      <c r="G189" s="1270"/>
      <c r="H189" s="543">
        <f>SUMIF(G13:G176,"PF",H13:H176)</f>
        <v>0</v>
      </c>
      <c r="I189" s="359">
        <f>SUMIF(G13:G176,"PF",I13:I176)</f>
        <v>0</v>
      </c>
      <c r="J189" s="950">
        <f>SUMIF(G13:G174,"PF",J13:J176)</f>
        <v>0</v>
      </c>
      <c r="K189" s="359">
        <f>SUMIF(H13:H174,"PF",K13:K176)</f>
        <v>0</v>
      </c>
      <c r="L189" s="19"/>
    </row>
    <row r="190" spans="1:36" x14ac:dyDescent="0.2">
      <c r="A190" s="1260" t="s">
        <v>15</v>
      </c>
      <c r="B190" s="1261"/>
      <c r="C190" s="1261"/>
      <c r="D190" s="1261"/>
      <c r="E190" s="1261"/>
      <c r="F190" s="1261"/>
      <c r="G190" s="1262"/>
      <c r="H190" s="717">
        <f>H191+H192+H193+H194</f>
        <v>2745598</v>
      </c>
      <c r="I190" s="1119">
        <f t="shared" ref="I190:K190" si="11">I191+I192+I193+I194</f>
        <v>2745598</v>
      </c>
      <c r="J190" s="1120">
        <f t="shared" si="11"/>
        <v>0</v>
      </c>
      <c r="K190" s="384">
        <f t="shared" si="11"/>
        <v>0</v>
      </c>
      <c r="L190" s="19"/>
    </row>
    <row r="191" spans="1:36" x14ac:dyDescent="0.2">
      <c r="A191" s="1263" t="s">
        <v>30</v>
      </c>
      <c r="B191" s="1264"/>
      <c r="C191" s="1264"/>
      <c r="D191" s="1264"/>
      <c r="E191" s="1264"/>
      <c r="F191" s="1264"/>
      <c r="G191" s="1265"/>
      <c r="H191" s="716">
        <f>SUMIF(G13:G176,"ES",H13:H176)</f>
        <v>1981696</v>
      </c>
      <c r="I191" s="383">
        <f>SUMIF(G13:G176,"ES",I13:I176)</f>
        <v>1981696</v>
      </c>
      <c r="J191" s="948">
        <f>SUMIF(G13:G176,"ES",J13:J176)</f>
        <v>0</v>
      </c>
      <c r="K191" s="383">
        <f>SUMIF(H13:H176,"ES",K13:K176)</f>
        <v>0</v>
      </c>
      <c r="L191" s="895"/>
    </row>
    <row r="192" spans="1:36" x14ac:dyDescent="0.2">
      <c r="A192" s="1124" t="s">
        <v>31</v>
      </c>
      <c r="B192" s="1125"/>
      <c r="C192" s="1125"/>
      <c r="D192" s="1125"/>
      <c r="E192" s="1125"/>
      <c r="F192" s="1125"/>
      <c r="G192" s="1126"/>
      <c r="H192" s="716">
        <f>SUMIF(G13:G176,"KVJUD",H13:H176)</f>
        <v>516074</v>
      </c>
      <c r="I192" s="383">
        <f>SUMIF(G13:G176,"KVJUD",I13:I176)</f>
        <v>516074</v>
      </c>
      <c r="J192" s="948">
        <f>SUMIF(G13:G176,"KVJUD",J13:J176)</f>
        <v>0</v>
      </c>
      <c r="K192" s="383">
        <f>SUMIF(H13:H176,"KVJUD",K13:K176)</f>
        <v>0</v>
      </c>
      <c r="L192" s="896"/>
      <c r="M192" s="6"/>
      <c r="N192" s="6"/>
      <c r="O192" s="6"/>
    </row>
    <row r="193" spans="1:15" x14ac:dyDescent="0.2">
      <c r="A193" s="1257" t="s">
        <v>32</v>
      </c>
      <c r="B193" s="1258"/>
      <c r="C193" s="1258"/>
      <c r="D193" s="1258"/>
      <c r="E193" s="1258"/>
      <c r="F193" s="1258"/>
      <c r="G193" s="1259"/>
      <c r="H193" s="716">
        <f>SUMIF(G13:G176,"LRVB",H13:H176)</f>
        <v>0</v>
      </c>
      <c r="I193" s="383">
        <f>SUMIF(G13:G176,"LRVB",I13:I176)</f>
        <v>0</v>
      </c>
      <c r="J193" s="948">
        <f>SUMIF(G13:G176,"LRVB",J13:J176)</f>
        <v>0</v>
      </c>
      <c r="K193" s="383">
        <f>SUMIF(H13:H176,"LRVB",K13:K176)</f>
        <v>0</v>
      </c>
      <c r="L193" s="896"/>
      <c r="M193" s="6"/>
      <c r="N193" s="6"/>
      <c r="O193" s="6"/>
    </row>
    <row r="194" spans="1:15" x14ac:dyDescent="0.2">
      <c r="A194" s="1257" t="s">
        <v>33</v>
      </c>
      <c r="B194" s="1258"/>
      <c r="C194" s="1258"/>
      <c r="D194" s="1258"/>
      <c r="E194" s="1258"/>
      <c r="F194" s="1258"/>
      <c r="G194" s="1259"/>
      <c r="H194" s="716">
        <f>SUMIF(G13:G176,"Kt",H13:H176)</f>
        <v>247828</v>
      </c>
      <c r="I194" s="383">
        <f>SUMIF(G13:G176,"Kt",I13:I176)</f>
        <v>247828</v>
      </c>
      <c r="J194" s="948">
        <f>SUMIF(G13:G176,"Kt",J13:J176)</f>
        <v>0</v>
      </c>
      <c r="K194" s="383">
        <f>SUMIF(H13:H176,"Kt",K13:K176)</f>
        <v>0</v>
      </c>
      <c r="L194" s="896"/>
      <c r="M194" s="6"/>
      <c r="N194" s="6"/>
      <c r="O194" s="6"/>
    </row>
    <row r="195" spans="1:15" ht="13.5" thickBot="1" x14ac:dyDescent="0.25">
      <c r="A195" s="1252" t="s">
        <v>16</v>
      </c>
      <c r="B195" s="1253"/>
      <c r="C195" s="1253"/>
      <c r="D195" s="1253"/>
      <c r="E195" s="1253"/>
      <c r="F195" s="1253"/>
      <c r="G195" s="1254"/>
      <c r="H195" s="718">
        <f ca="1">H190+H180</f>
        <v>13727689</v>
      </c>
      <c r="I195" s="1115">
        <f>I190+I180</f>
        <v>13382145</v>
      </c>
      <c r="J195" s="1116">
        <f t="shared" ref="J195:K195" si="12">J190+J180</f>
        <v>0</v>
      </c>
      <c r="K195" s="385">
        <f t="shared" si="12"/>
        <v>0</v>
      </c>
      <c r="L195" s="13"/>
      <c r="M195" s="6"/>
      <c r="N195" s="6"/>
      <c r="O195" s="6"/>
    </row>
    <row r="197" spans="1:15" x14ac:dyDescent="0.2">
      <c r="G197" s="266"/>
      <c r="J197" s="1109"/>
      <c r="K197" s="58"/>
      <c r="L197" s="58"/>
    </row>
    <row r="199" spans="1:15" x14ac:dyDescent="0.2">
      <c r="H199" s="605"/>
      <c r="I199" s="605"/>
    </row>
    <row r="200" spans="1:15" x14ac:dyDescent="0.2">
      <c r="J200" s="1109"/>
      <c r="K200" s="58"/>
    </row>
    <row r="201" spans="1:15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983"/>
      <c r="K201" s="6"/>
      <c r="L201" s="6"/>
      <c r="M201" s="6"/>
      <c r="N201" s="6"/>
      <c r="O201" s="6"/>
    </row>
    <row r="202" spans="1:15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983"/>
      <c r="K202" s="6"/>
      <c r="L202" s="6"/>
      <c r="M202" s="6"/>
      <c r="N202" s="6"/>
      <c r="O202" s="6"/>
    </row>
  </sheetData>
  <mergeCells count="248">
    <mergeCell ref="H1:O1"/>
    <mergeCell ref="F42:F43"/>
    <mergeCell ref="A192:G192"/>
    <mergeCell ref="A193:G193"/>
    <mergeCell ref="A194:G194"/>
    <mergeCell ref="A195:G195"/>
    <mergeCell ref="D47:D48"/>
    <mergeCell ref="A42:A43"/>
    <mergeCell ref="B42:B43"/>
    <mergeCell ref="C42:C43"/>
    <mergeCell ref="D42:D43"/>
    <mergeCell ref="A187:G187"/>
    <mergeCell ref="A188:G188"/>
    <mergeCell ref="A189:G189"/>
    <mergeCell ref="A190:G190"/>
    <mergeCell ref="A191:G191"/>
    <mergeCell ref="A181:G181"/>
    <mergeCell ref="A182:G182"/>
    <mergeCell ref="A183:G183"/>
    <mergeCell ref="A184:G184"/>
    <mergeCell ref="A185:G185"/>
    <mergeCell ref="A186:G186"/>
    <mergeCell ref="B176:G176"/>
    <mergeCell ref="L176:O176"/>
    <mergeCell ref="A177:O177"/>
    <mergeCell ref="A178:J178"/>
    <mergeCell ref="A179:G179"/>
    <mergeCell ref="A180:G180"/>
    <mergeCell ref="E172:E173"/>
    <mergeCell ref="F172:F173"/>
    <mergeCell ref="C174:G174"/>
    <mergeCell ref="L174:O174"/>
    <mergeCell ref="B175:G175"/>
    <mergeCell ref="L175:O175"/>
    <mergeCell ref="A169:A171"/>
    <mergeCell ref="B169:B171"/>
    <mergeCell ref="C169:C171"/>
    <mergeCell ref="D170:D171"/>
    <mergeCell ref="A172:A173"/>
    <mergeCell ref="B172:B173"/>
    <mergeCell ref="C172:C173"/>
    <mergeCell ref="D172:D173"/>
    <mergeCell ref="L164:L165"/>
    <mergeCell ref="A166:A168"/>
    <mergeCell ref="B166:B168"/>
    <mergeCell ref="C166:C168"/>
    <mergeCell ref="D166:D168"/>
    <mergeCell ref="E166:E168"/>
    <mergeCell ref="F166:F168"/>
    <mergeCell ref="L170:L171"/>
    <mergeCell ref="C149:G149"/>
    <mergeCell ref="L149:O149"/>
    <mergeCell ref="C150:O150"/>
    <mergeCell ref="L157:L158"/>
    <mergeCell ref="A159:A165"/>
    <mergeCell ref="B159:B165"/>
    <mergeCell ref="C159:C165"/>
    <mergeCell ref="D159:D160"/>
    <mergeCell ref="D161:D163"/>
    <mergeCell ref="D164:D165"/>
    <mergeCell ref="D139:D143"/>
    <mergeCell ref="F139:F143"/>
    <mergeCell ref="D144:D145"/>
    <mergeCell ref="C146:C148"/>
    <mergeCell ref="D146:D148"/>
    <mergeCell ref="E146:E148"/>
    <mergeCell ref="F146:F148"/>
    <mergeCell ref="F132:F134"/>
    <mergeCell ref="L133:L134"/>
    <mergeCell ref="L136:L137"/>
    <mergeCell ref="A135:A137"/>
    <mergeCell ref="B135:B137"/>
    <mergeCell ref="C135:C137"/>
    <mergeCell ref="D135:D137"/>
    <mergeCell ref="E135:E137"/>
    <mergeCell ref="F135:F137"/>
    <mergeCell ref="E122:E123"/>
    <mergeCell ref="D128:D131"/>
    <mergeCell ref="E128:E131"/>
    <mergeCell ref="F128:F130"/>
    <mergeCell ref="L130:L131"/>
    <mergeCell ref="A132:A134"/>
    <mergeCell ref="B132:B134"/>
    <mergeCell ref="C132:C134"/>
    <mergeCell ref="D132:D134"/>
    <mergeCell ref="E132:E134"/>
    <mergeCell ref="D113:D114"/>
    <mergeCell ref="A115:A120"/>
    <mergeCell ref="B115:B120"/>
    <mergeCell ref="C115:C120"/>
    <mergeCell ref="D115:D116"/>
    <mergeCell ref="A121:A125"/>
    <mergeCell ref="B121:B125"/>
    <mergeCell ref="C121:C125"/>
    <mergeCell ref="D121:D125"/>
    <mergeCell ref="C101:G101"/>
    <mergeCell ref="L101:O101"/>
    <mergeCell ref="C102:O102"/>
    <mergeCell ref="D104:D105"/>
    <mergeCell ref="D106:D108"/>
    <mergeCell ref="F106:F107"/>
    <mergeCell ref="C87:G87"/>
    <mergeCell ref="C88:O88"/>
    <mergeCell ref="D89:D91"/>
    <mergeCell ref="E89:E91"/>
    <mergeCell ref="M77:M79"/>
    <mergeCell ref="A80:A81"/>
    <mergeCell ref="B80:B81"/>
    <mergeCell ref="C80:C81"/>
    <mergeCell ref="D80:D81"/>
    <mergeCell ref="E80:E81"/>
    <mergeCell ref="F80:F81"/>
    <mergeCell ref="L80:L81"/>
    <mergeCell ref="A99:A100"/>
    <mergeCell ref="B99:B100"/>
    <mergeCell ref="C99:C100"/>
    <mergeCell ref="D99:D100"/>
    <mergeCell ref="E99:E100"/>
    <mergeCell ref="F99:F100"/>
    <mergeCell ref="D82:D83"/>
    <mergeCell ref="L82:L83"/>
    <mergeCell ref="A84:A86"/>
    <mergeCell ref="B84:B86"/>
    <mergeCell ref="C84:C86"/>
    <mergeCell ref="D84:D86"/>
    <mergeCell ref="E84:E86"/>
    <mergeCell ref="F84:F86"/>
    <mergeCell ref="L84:L85"/>
    <mergeCell ref="L99:L100"/>
    <mergeCell ref="E72:E73"/>
    <mergeCell ref="A77:A79"/>
    <mergeCell ref="B77:B79"/>
    <mergeCell ref="C77:C79"/>
    <mergeCell ref="D77:D79"/>
    <mergeCell ref="F77:F79"/>
    <mergeCell ref="L64:L66"/>
    <mergeCell ref="D68:D70"/>
    <mergeCell ref="L68:L70"/>
    <mergeCell ref="E69:E70"/>
    <mergeCell ref="A71:A73"/>
    <mergeCell ref="B71:B73"/>
    <mergeCell ref="C71:C73"/>
    <mergeCell ref="D71:D72"/>
    <mergeCell ref="F71:F73"/>
    <mergeCell ref="L71:L72"/>
    <mergeCell ref="A64:A66"/>
    <mergeCell ref="B64:B66"/>
    <mergeCell ref="C64:C66"/>
    <mergeCell ref="D64:D66"/>
    <mergeCell ref="E64:E66"/>
    <mergeCell ref="F64:F66"/>
    <mergeCell ref="L77:L79"/>
    <mergeCell ref="A62:A63"/>
    <mergeCell ref="B62:B63"/>
    <mergeCell ref="C62:C63"/>
    <mergeCell ref="D62:D63"/>
    <mergeCell ref="E62:E63"/>
    <mergeCell ref="F62:F63"/>
    <mergeCell ref="A56:A57"/>
    <mergeCell ref="B56:B57"/>
    <mergeCell ref="C56:C57"/>
    <mergeCell ref="D56:D58"/>
    <mergeCell ref="L56:L57"/>
    <mergeCell ref="D60:D61"/>
    <mergeCell ref="E60:E61"/>
    <mergeCell ref="F60:F61"/>
    <mergeCell ref="L60:L61"/>
    <mergeCell ref="F49:F53"/>
    <mergeCell ref="L49:L53"/>
    <mergeCell ref="A54:A55"/>
    <mergeCell ref="B54:B55"/>
    <mergeCell ref="C54:C55"/>
    <mergeCell ref="D54:D55"/>
    <mergeCell ref="E54:E55"/>
    <mergeCell ref="F54:F55"/>
    <mergeCell ref="L54:L55"/>
    <mergeCell ref="D44:D45"/>
    <mergeCell ref="A49:A53"/>
    <mergeCell ref="B49:B53"/>
    <mergeCell ref="C49:C53"/>
    <mergeCell ref="D49:D53"/>
    <mergeCell ref="E49:E53"/>
    <mergeCell ref="A39:A40"/>
    <mergeCell ref="B39:B40"/>
    <mergeCell ref="C39:C40"/>
    <mergeCell ref="D39:D40"/>
    <mergeCell ref="F39:F40"/>
    <mergeCell ref="L39:L40"/>
    <mergeCell ref="F32:F35"/>
    <mergeCell ref="A36:A37"/>
    <mergeCell ref="B36:B37"/>
    <mergeCell ref="C36:C37"/>
    <mergeCell ref="D36:D37"/>
    <mergeCell ref="F36:F37"/>
    <mergeCell ref="A32:A35"/>
    <mergeCell ref="B32:B35"/>
    <mergeCell ref="C32:C35"/>
    <mergeCell ref="D32:D35"/>
    <mergeCell ref="E32:E35"/>
    <mergeCell ref="D25:D27"/>
    <mergeCell ref="E25:E27"/>
    <mergeCell ref="L25:L27"/>
    <mergeCell ref="A28:A30"/>
    <mergeCell ref="B28:B30"/>
    <mergeCell ref="C28:C30"/>
    <mergeCell ref="D28:D30"/>
    <mergeCell ref="E28:E30"/>
    <mergeCell ref="F28:F30"/>
    <mergeCell ref="L28:L30"/>
    <mergeCell ref="F19:F20"/>
    <mergeCell ref="A21:A23"/>
    <mergeCell ref="B21:B23"/>
    <mergeCell ref="C21:C23"/>
    <mergeCell ref="D21:D22"/>
    <mergeCell ref="E21:E23"/>
    <mergeCell ref="D17:D18"/>
    <mergeCell ref="A19:A20"/>
    <mergeCell ref="B19:B20"/>
    <mergeCell ref="C19:C20"/>
    <mergeCell ref="D19:D20"/>
    <mergeCell ref="E19:E20"/>
    <mergeCell ref="A2:O2"/>
    <mergeCell ref="A3:O3"/>
    <mergeCell ref="A4:O4"/>
    <mergeCell ref="M5:O5"/>
    <mergeCell ref="A6:A8"/>
    <mergeCell ref="B6:B8"/>
    <mergeCell ref="C6:C8"/>
    <mergeCell ref="D6:D8"/>
    <mergeCell ref="E6:E8"/>
    <mergeCell ref="F6:F8"/>
    <mergeCell ref="K6:K8"/>
    <mergeCell ref="A9:O9"/>
    <mergeCell ref="A10:O10"/>
    <mergeCell ref="B11:O11"/>
    <mergeCell ref="C12:O12"/>
    <mergeCell ref="A14:A16"/>
    <mergeCell ref="G6:G8"/>
    <mergeCell ref="H6:H8"/>
    <mergeCell ref="I6:I8"/>
    <mergeCell ref="J6:J8"/>
    <mergeCell ref="L6:O6"/>
    <mergeCell ref="L7:L8"/>
    <mergeCell ref="M7:O7"/>
    <mergeCell ref="B14:B16"/>
    <mergeCell ref="C14:C16"/>
    <mergeCell ref="E14:E16"/>
    <mergeCell ref="F14:F16"/>
  </mergeCells>
  <pageMargins left="0.78740157480314965" right="0" top="0.19685039370078741" bottom="0.19685039370078741" header="0" footer="0"/>
  <pageSetup paperSize="9" scale="85" orientation="portrait" r:id="rId1"/>
  <headerFooter differentOddEven="1"/>
  <rowBreaks count="4" manualBreakCount="4">
    <brk id="45" max="14" man="1"/>
    <brk id="87" max="14" man="1"/>
    <brk id="125" max="14" man="1"/>
    <brk id="168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32" sqref="A32"/>
    </sheetView>
  </sheetViews>
  <sheetFormatPr defaultRowHeight="15.75" x14ac:dyDescent="0.2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 x14ac:dyDescent="0.25">
      <c r="A1" s="1391" t="s">
        <v>18</v>
      </c>
      <c r="B1" s="1391"/>
    </row>
    <row r="2" spans="1:2" ht="31.5" x14ac:dyDescent="0.25">
      <c r="A2" s="2" t="s">
        <v>3</v>
      </c>
      <c r="B2" s="1" t="s">
        <v>17</v>
      </c>
    </row>
    <row r="3" spans="1:2" ht="15.75" customHeight="1" x14ac:dyDescent="0.25">
      <c r="A3" s="61">
        <v>1</v>
      </c>
      <c r="B3" s="1" t="s">
        <v>19</v>
      </c>
    </row>
    <row r="4" spans="1:2" ht="15.75" customHeight="1" x14ac:dyDescent="0.25">
      <c r="A4" s="61">
        <v>2</v>
      </c>
      <c r="B4" s="1" t="s">
        <v>20</v>
      </c>
    </row>
    <row r="5" spans="1:2" ht="15.75" customHeight="1" x14ac:dyDescent="0.25">
      <c r="A5" s="61">
        <v>3</v>
      </c>
      <c r="B5" s="1" t="s">
        <v>21</v>
      </c>
    </row>
    <row r="6" spans="1:2" ht="15.75" customHeight="1" x14ac:dyDescent="0.25">
      <c r="A6" s="61">
        <v>4</v>
      </c>
      <c r="B6" s="1" t="s">
        <v>22</v>
      </c>
    </row>
    <row r="7" spans="1:2" ht="15.75" customHeight="1" x14ac:dyDescent="0.25">
      <c r="A7" s="61">
        <v>5</v>
      </c>
      <c r="B7" s="1" t="s">
        <v>23</v>
      </c>
    </row>
    <row r="8" spans="1:2" ht="15.75" customHeight="1" x14ac:dyDescent="0.25">
      <c r="A8" s="61">
        <v>6</v>
      </c>
      <c r="B8" s="1" t="s">
        <v>24</v>
      </c>
    </row>
    <row r="9" spans="1:2" ht="15.75" customHeight="1" x14ac:dyDescent="0.25"/>
    <row r="10" spans="1:2" ht="15.75" customHeight="1" x14ac:dyDescent="0.25">
      <c r="A10" s="1392" t="s">
        <v>27</v>
      </c>
      <c r="B10" s="1392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6 programa</vt:lpstr>
      <vt:lpstr>Lyginamasis variantas </vt:lpstr>
      <vt:lpstr>Asignavimų valdytojų kodai</vt:lpstr>
      <vt:lpstr>'6 programa'!Print_Area</vt:lpstr>
      <vt:lpstr>'Lyginamasis variantas '!Print_Area</vt:lpstr>
      <vt:lpstr>'6 programa'!Print_Titles</vt:lpstr>
      <vt:lpstr>'Lyginamasis variantas 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2015-10-29T08:49:12Z</cp:lastPrinted>
  <dcterms:created xsi:type="dcterms:W3CDTF">2007-07-27T10:32:34Z</dcterms:created>
  <dcterms:modified xsi:type="dcterms:W3CDTF">2015-11-02T09:26:45Z</dcterms:modified>
</cp:coreProperties>
</file>