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0" windowWidth="19320" windowHeight="10980" firstSheet="1" activeTab="1"/>
  </bookViews>
  <sheets>
    <sheet name="Asignavimu valdytoju kodai" sheetId="2" state="hidden" r:id="rId1"/>
    <sheet name="11 programa" sheetId="7" r:id="rId2"/>
    <sheet name="Lyginamasis variantas" sheetId="9" state="hidden" r:id="rId3"/>
  </sheets>
  <definedNames>
    <definedName name="_xlnm.Print_Area" localSheetId="1">'11 programa'!$A$1:$R$100</definedName>
    <definedName name="_xlnm.Print_Area" localSheetId="2">'Lyginamasis variantas'!$A$1:$M$96</definedName>
    <definedName name="_xlnm.Print_Titles" localSheetId="1">'11 programa'!$5:$7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21" i="7" l="1"/>
  <c r="I22" i="9"/>
  <c r="L46" i="9" l="1"/>
  <c r="I46" i="9"/>
  <c r="I31" i="9" l="1"/>
  <c r="M21" i="7"/>
  <c r="M50" i="9" l="1"/>
  <c r="M48" i="9"/>
  <c r="L81" i="9" l="1"/>
  <c r="L80" i="9"/>
  <c r="L78" i="9"/>
  <c r="L66" i="9"/>
  <c r="L64" i="9"/>
  <c r="L60" i="9"/>
  <c r="L56" i="9"/>
  <c r="L50" i="9"/>
  <c r="L47" i="9"/>
  <c r="L51" i="9" s="1"/>
  <c r="L45" i="9"/>
  <c r="L40" i="9"/>
  <c r="L39" i="9"/>
  <c r="L37" i="9"/>
  <c r="L31" i="9"/>
  <c r="L19" i="9"/>
  <c r="K89" i="9"/>
  <c r="L89" i="9"/>
  <c r="K56" i="9"/>
  <c r="L95" i="9"/>
  <c r="K95" i="9"/>
  <c r="K92" i="9"/>
  <c r="K91" i="9"/>
  <c r="K90" i="9"/>
  <c r="L18" i="9"/>
  <c r="L94" i="9"/>
  <c r="L92" i="9"/>
  <c r="L91" i="9"/>
  <c r="L90" i="9"/>
  <c r="K60" i="9"/>
  <c r="K50" i="9"/>
  <c r="K47" i="9"/>
  <c r="K51" i="9" s="1"/>
  <c r="K94" i="9"/>
  <c r="K93" i="9" s="1"/>
  <c r="K79" i="9"/>
  <c r="K80" i="9" s="1"/>
  <c r="K77" i="9"/>
  <c r="K78" i="9" s="1"/>
  <c r="K81" i="9" s="1"/>
  <c r="L79" i="9"/>
  <c r="L77" i="9"/>
  <c r="L74" i="9"/>
  <c r="L72" i="9"/>
  <c r="L65" i="9"/>
  <c r="K74" i="9"/>
  <c r="K72" i="9"/>
  <c r="K65" i="9"/>
  <c r="K66" i="9" s="1"/>
  <c r="K61" i="9"/>
  <c r="K64" i="9" s="1"/>
  <c r="L61" i="9"/>
  <c r="K57" i="9"/>
  <c r="L57" i="9"/>
  <c r="M46" i="9"/>
  <c r="M47" i="9" s="1"/>
  <c r="M51" i="9" s="1"/>
  <c r="M75" i="9" s="1"/>
  <c r="K43" i="9"/>
  <c r="K45" i="9" s="1"/>
  <c r="L43" i="9"/>
  <c r="L38" i="9"/>
  <c r="L32" i="9"/>
  <c r="K38" i="9"/>
  <c r="K39" i="9" s="1"/>
  <c r="K32" i="9"/>
  <c r="K37" i="9" s="1"/>
  <c r="K22" i="9"/>
  <c r="K21" i="9"/>
  <c r="K31" i="9" s="1"/>
  <c r="L22" i="9"/>
  <c r="L21" i="9"/>
  <c r="K17" i="9"/>
  <c r="K18" i="9" s="1"/>
  <c r="K19" i="9" s="1"/>
  <c r="K15" i="9"/>
  <c r="K16" i="9" s="1"/>
  <c r="K14" i="9"/>
  <c r="K13" i="9"/>
  <c r="K88" i="9" s="1"/>
  <c r="L17" i="9"/>
  <c r="L15" i="9"/>
  <c r="L16" i="9" s="1"/>
  <c r="L13" i="9"/>
  <c r="L14" i="9" s="1"/>
  <c r="M81" i="9"/>
  <c r="L93" i="9" l="1"/>
  <c r="L75" i="9"/>
  <c r="L82" i="9" s="1"/>
  <c r="L83" i="9" s="1"/>
  <c r="K87" i="9"/>
  <c r="K40" i="9"/>
  <c r="K75" i="9"/>
  <c r="L88" i="9"/>
  <c r="M88" i="9" s="1"/>
  <c r="M92" i="9"/>
  <c r="K96" i="9"/>
  <c r="M40" i="9"/>
  <c r="M82" i="9" s="1"/>
  <c r="M83" i="9" s="1"/>
  <c r="H43" i="7"/>
  <c r="L87" i="9" l="1"/>
  <c r="L96" i="9" s="1"/>
  <c r="K82" i="9"/>
  <c r="K83" i="9" s="1"/>
  <c r="H70" i="7"/>
  <c r="I67" i="9"/>
  <c r="J67" i="9"/>
  <c r="I43" i="9"/>
  <c r="H38" i="9"/>
  <c r="H39" i="9" s="1"/>
  <c r="H32" i="9"/>
  <c r="H37" i="9" s="1"/>
  <c r="H21" i="9"/>
  <c r="H31" i="9" s="1"/>
  <c r="H56" i="9" l="1"/>
  <c r="H50" i="9"/>
  <c r="N31" i="7" l="1"/>
  <c r="M31" i="7"/>
  <c r="H31" i="7"/>
  <c r="H20" i="7"/>
  <c r="I21" i="9"/>
  <c r="J24" i="9" l="1"/>
  <c r="I72" i="9" l="1"/>
  <c r="H38" i="7" l="1"/>
  <c r="I38" i="9"/>
  <c r="I39" i="9" s="1"/>
  <c r="H32" i="7"/>
  <c r="I32" i="9"/>
  <c r="I56" i="9" l="1"/>
  <c r="M57" i="7" l="1"/>
  <c r="H57" i="7"/>
  <c r="J52" i="9" l="1"/>
  <c r="J54" i="9"/>
  <c r="J56" i="9" l="1"/>
  <c r="H46" i="9"/>
  <c r="H47" i="9" s="1"/>
  <c r="H93" i="7" l="1"/>
  <c r="I91" i="9"/>
  <c r="H91" i="9"/>
  <c r="J23" i="9"/>
  <c r="J91" i="9" s="1"/>
  <c r="I51" i="7" l="1"/>
  <c r="J51" i="7"/>
  <c r="K51" i="7"/>
  <c r="L51" i="7"/>
  <c r="M51" i="7"/>
  <c r="H51" i="7"/>
  <c r="I50" i="9"/>
  <c r="J49" i="9"/>
  <c r="J48" i="9"/>
  <c r="J50" i="9" l="1"/>
  <c r="J72" i="9" l="1"/>
  <c r="I90" i="9" l="1"/>
  <c r="I89" i="9"/>
  <c r="J21" i="9"/>
  <c r="I79" i="9" l="1"/>
  <c r="I80" i="9" s="1"/>
  <c r="I77" i="9"/>
  <c r="I78" i="9" s="1"/>
  <c r="I73" i="9"/>
  <c r="I74" i="9" s="1"/>
  <c r="I65" i="9"/>
  <c r="I66" i="9" s="1"/>
  <c r="I61" i="9"/>
  <c r="I64" i="9" s="1"/>
  <c r="I57" i="9"/>
  <c r="I60" i="9" s="1"/>
  <c r="I47" i="9"/>
  <c r="I51" i="9" s="1"/>
  <c r="I44" i="9"/>
  <c r="I37" i="9"/>
  <c r="I17" i="9"/>
  <c r="I18" i="9" s="1"/>
  <c r="I15" i="9"/>
  <c r="I16" i="9" s="1"/>
  <c r="I13" i="9"/>
  <c r="J90" i="9"/>
  <c r="H90" i="9"/>
  <c r="J80" i="9"/>
  <c r="H79" i="9"/>
  <c r="H80" i="9" s="1"/>
  <c r="J78" i="9"/>
  <c r="H77" i="9"/>
  <c r="H78" i="9" s="1"/>
  <c r="J74" i="9"/>
  <c r="H73" i="9"/>
  <c r="H74" i="9" s="1"/>
  <c r="H72" i="9"/>
  <c r="J66" i="9"/>
  <c r="H65" i="9"/>
  <c r="H66" i="9" s="1"/>
  <c r="J64" i="9"/>
  <c r="H61" i="9"/>
  <c r="H64" i="9" s="1"/>
  <c r="J60" i="9"/>
  <c r="H57" i="9"/>
  <c r="H60" i="9" s="1"/>
  <c r="J94" i="9"/>
  <c r="H44" i="9"/>
  <c r="H43" i="9"/>
  <c r="J43" i="9" s="1"/>
  <c r="J18" i="9"/>
  <c r="H17" i="9"/>
  <c r="H18" i="9" s="1"/>
  <c r="J16" i="9"/>
  <c r="H15" i="9"/>
  <c r="H16" i="9" s="1"/>
  <c r="H13" i="9"/>
  <c r="H14" i="9" s="1"/>
  <c r="H19" i="9" l="1"/>
  <c r="J45" i="9"/>
  <c r="H45" i="9"/>
  <c r="H51" i="9" s="1"/>
  <c r="H75" i="9" s="1"/>
  <c r="I94" i="9"/>
  <c r="I45" i="9"/>
  <c r="I75" i="9" s="1"/>
  <c r="J32" i="9"/>
  <c r="J37" i="9" s="1"/>
  <c r="H40" i="9"/>
  <c r="J38" i="9"/>
  <c r="J39" i="9" s="1"/>
  <c r="H94" i="9"/>
  <c r="H93" i="9" s="1"/>
  <c r="J46" i="9"/>
  <c r="J47" i="9" s="1"/>
  <c r="J51" i="9" s="1"/>
  <c r="I92" i="9"/>
  <c r="H89" i="9"/>
  <c r="J22" i="9"/>
  <c r="J31" i="9" s="1"/>
  <c r="I14" i="9"/>
  <c r="I19" i="9" s="1"/>
  <c r="I88" i="9"/>
  <c r="J93" i="9"/>
  <c r="J81" i="9"/>
  <c r="I40" i="9"/>
  <c r="I81" i="9"/>
  <c r="H81" i="9"/>
  <c r="J14" i="9"/>
  <c r="J19" i="9" s="1"/>
  <c r="H92" i="9"/>
  <c r="J88" i="9" l="1"/>
  <c r="J92" i="9"/>
  <c r="J75" i="9"/>
  <c r="J40" i="9"/>
  <c r="M91" i="9" s="1"/>
  <c r="I93" i="9"/>
  <c r="I87" i="9"/>
  <c r="J89" i="9"/>
  <c r="H88" i="9"/>
  <c r="H87" i="9" s="1"/>
  <c r="H96" i="9" s="1"/>
  <c r="I82" i="9"/>
  <c r="I83" i="9" s="1"/>
  <c r="M94" i="9" l="1"/>
  <c r="M93" i="9" s="1"/>
  <c r="J82" i="9"/>
  <c r="J83" i="9" s="1"/>
  <c r="M90" i="9"/>
  <c r="J87" i="9"/>
  <c r="J96" i="9" s="1"/>
  <c r="I96" i="9"/>
  <c r="H82" i="9"/>
  <c r="H83" i="9" s="1"/>
  <c r="M87" i="9" l="1"/>
  <c r="M96" i="9" s="1"/>
  <c r="N32" i="7"/>
  <c r="M32" i="7"/>
  <c r="I32" i="7"/>
  <c r="H80" i="7" l="1"/>
  <c r="N38" i="7" l="1"/>
  <c r="M38" i="7"/>
  <c r="N66" i="7" l="1"/>
  <c r="M20" i="7"/>
  <c r="M68" i="7"/>
  <c r="N82" i="7"/>
  <c r="M82" i="7"/>
  <c r="H82" i="7"/>
  <c r="N76" i="7"/>
  <c r="H76" i="7"/>
  <c r="N80" i="7"/>
  <c r="M80" i="7"/>
  <c r="H68" i="7"/>
  <c r="N65" i="7"/>
  <c r="N64" i="7"/>
  <c r="M63" i="7"/>
  <c r="H63" i="7"/>
  <c r="N61" i="7"/>
  <c r="N60" i="7"/>
  <c r="N59" i="7"/>
  <c r="M58" i="7"/>
  <c r="H58" i="7"/>
  <c r="H44" i="7"/>
  <c r="N43" i="7"/>
  <c r="M43" i="7"/>
  <c r="N20" i="7"/>
  <c r="N21" i="7"/>
  <c r="N16" i="7" l="1"/>
  <c r="N17" i="7" s="1"/>
  <c r="M16" i="7"/>
  <c r="H16" i="7"/>
  <c r="N14" i="7"/>
  <c r="M14" i="7"/>
  <c r="H14" i="7"/>
  <c r="N12" i="7"/>
  <c r="M12" i="7"/>
  <c r="H12" i="7"/>
  <c r="H99" i="7"/>
  <c r="H98" i="7"/>
  <c r="H97" i="7"/>
  <c r="H95" i="7"/>
  <c r="H94" i="7"/>
  <c r="H92" i="7"/>
  <c r="H83" i="7"/>
  <c r="H77" i="7"/>
  <c r="H81" i="7"/>
  <c r="H75" i="7"/>
  <c r="H69" i="7"/>
  <c r="H67" i="7"/>
  <c r="H62" i="7"/>
  <c r="H48" i="7"/>
  <c r="H46" i="7"/>
  <c r="H39" i="7"/>
  <c r="H37" i="7"/>
  <c r="H17" i="7"/>
  <c r="H15" i="7"/>
  <c r="H13" i="7"/>
  <c r="H52" i="7" l="1"/>
  <c r="H78" i="7" s="1"/>
  <c r="H40" i="7"/>
  <c r="H84" i="7"/>
  <c r="H18" i="7"/>
  <c r="H96" i="7"/>
  <c r="N99" i="7"/>
  <c r="M99" i="7"/>
  <c r="N98" i="7"/>
  <c r="N97" i="7"/>
  <c r="M97" i="7"/>
  <c r="N95" i="7"/>
  <c r="M95" i="7"/>
  <c r="N94" i="7"/>
  <c r="M94" i="7"/>
  <c r="I94" i="7"/>
  <c r="N92" i="7"/>
  <c r="M92" i="7"/>
  <c r="K84" i="7"/>
  <c r="N83" i="7"/>
  <c r="M83" i="7"/>
  <c r="J83" i="7"/>
  <c r="I82" i="7"/>
  <c r="I83" i="7" s="1"/>
  <c r="N77" i="7"/>
  <c r="M77" i="7"/>
  <c r="L77" i="7"/>
  <c r="L84" i="7" s="1"/>
  <c r="I76" i="7"/>
  <c r="I77" i="7" s="1"/>
  <c r="N81" i="7"/>
  <c r="M81" i="7"/>
  <c r="J80" i="7"/>
  <c r="I80" i="7" s="1"/>
  <c r="I81" i="7" s="1"/>
  <c r="N75" i="7"/>
  <c r="M75" i="7"/>
  <c r="J75" i="7"/>
  <c r="I75" i="7" s="1"/>
  <c r="I70" i="7"/>
  <c r="M69" i="7"/>
  <c r="J69" i="7"/>
  <c r="I68" i="7"/>
  <c r="I69" i="7" s="1"/>
  <c r="N67" i="7"/>
  <c r="M67" i="7"/>
  <c r="L67" i="7"/>
  <c r="K67" i="7"/>
  <c r="J67" i="7"/>
  <c r="I63" i="7"/>
  <c r="I67" i="7" s="1"/>
  <c r="N62" i="7"/>
  <c r="M62" i="7"/>
  <c r="L62" i="7"/>
  <c r="K62" i="7"/>
  <c r="J62" i="7"/>
  <c r="I58" i="7"/>
  <c r="I62" i="7" s="1"/>
  <c r="L57" i="7"/>
  <c r="K57" i="7"/>
  <c r="J57" i="7"/>
  <c r="I55" i="7"/>
  <c r="I97" i="7" s="1"/>
  <c r="I54" i="7"/>
  <c r="I95" i="7" s="1"/>
  <c r="M48" i="7"/>
  <c r="L48" i="7"/>
  <c r="K48" i="7"/>
  <c r="J48" i="7"/>
  <c r="J52" i="7" s="1"/>
  <c r="I47" i="7"/>
  <c r="I48" i="7" s="1"/>
  <c r="N46" i="7"/>
  <c r="N52" i="7" s="1"/>
  <c r="M46" i="7"/>
  <c r="L46" i="7"/>
  <c r="K46" i="7"/>
  <c r="J46" i="7"/>
  <c r="I44" i="7"/>
  <c r="I43" i="7"/>
  <c r="N39" i="7"/>
  <c r="M39" i="7"/>
  <c r="J39" i="7"/>
  <c r="I38" i="7"/>
  <c r="N37" i="7"/>
  <c r="M37" i="7"/>
  <c r="J37" i="7"/>
  <c r="I37" i="7" s="1"/>
  <c r="N91" i="7"/>
  <c r="L31" i="7"/>
  <c r="L40" i="7" s="1"/>
  <c r="K31" i="7"/>
  <c r="K40" i="7" s="1"/>
  <c r="J31" i="7"/>
  <c r="M91" i="7"/>
  <c r="I20" i="7"/>
  <c r="I21" i="7"/>
  <c r="L18" i="7"/>
  <c r="K18" i="7"/>
  <c r="M17" i="7"/>
  <c r="J17" i="7"/>
  <c r="I17" i="7" s="1"/>
  <c r="I16" i="7"/>
  <c r="N15" i="7"/>
  <c r="M15" i="7"/>
  <c r="J15" i="7"/>
  <c r="I14" i="7"/>
  <c r="I15" i="7" s="1"/>
  <c r="N13" i="7"/>
  <c r="M13" i="7"/>
  <c r="J13" i="7"/>
  <c r="I12" i="7"/>
  <c r="M52" i="7" l="1"/>
  <c r="M78" i="7" s="1"/>
  <c r="I91" i="7"/>
  <c r="I99" i="7"/>
  <c r="I96" i="7" s="1"/>
  <c r="K52" i="7"/>
  <c r="L52" i="7"/>
  <c r="L78" i="7" s="1"/>
  <c r="L85" i="7" s="1"/>
  <c r="L86" i="7" s="1"/>
  <c r="I84" i="7"/>
  <c r="N40" i="7"/>
  <c r="J40" i="7"/>
  <c r="M84" i="7"/>
  <c r="N84" i="7"/>
  <c r="N78" i="7"/>
  <c r="H91" i="7"/>
  <c r="H90" i="7" s="1"/>
  <c r="J78" i="7"/>
  <c r="M18" i="7"/>
  <c r="J18" i="7"/>
  <c r="I31" i="7"/>
  <c r="I46" i="7"/>
  <c r="I52" i="7" s="1"/>
  <c r="I13" i="7"/>
  <c r="K85" i="7"/>
  <c r="K86" i="7" s="1"/>
  <c r="H85" i="7"/>
  <c r="H86" i="7" s="1"/>
  <c r="M96" i="7"/>
  <c r="M90" i="7"/>
  <c r="N18" i="7"/>
  <c r="N90" i="7"/>
  <c r="N96" i="7"/>
  <c r="I18" i="7"/>
  <c r="K78" i="7"/>
  <c r="J81" i="7"/>
  <c r="J84" i="7" s="1"/>
  <c r="I39" i="7"/>
  <c r="I92" i="7"/>
  <c r="I90" i="7" s="1"/>
  <c r="M40" i="7"/>
  <c r="I57" i="7"/>
  <c r="H100" i="7" l="1"/>
  <c r="I40" i="7"/>
  <c r="I100" i="7"/>
  <c r="J85" i="7"/>
  <c r="I85" i="7" s="1"/>
  <c r="I86" i="7" s="1"/>
  <c r="I78" i="7"/>
  <c r="M85" i="7"/>
  <c r="M86" i="7" s="1"/>
  <c r="N100" i="7"/>
  <c r="M100" i="7"/>
  <c r="N85" i="7"/>
  <c r="N86" i="7" s="1"/>
  <c r="J86" i="7" l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D68" authorId="1">
      <text>
        <r>
          <rPr>
            <sz val="9"/>
            <color indexed="81"/>
            <rFont val="Tahoma"/>
            <family val="2"/>
            <charset val="186"/>
          </rPr>
          <t>priemonė įtraukta pagal  2014 m. spalio 31 d. SPG protokolą Nr. STR3-25</t>
        </r>
      </text>
    </comment>
  </commentList>
</comments>
</file>

<file path=xl/comments2.xml><?xml version="1.0" encoding="utf-8"?>
<comments xmlns="http://schemas.openxmlformats.org/spreadsheetml/2006/main">
  <authors>
    <author>Sniega</author>
    <author>Snieguole Kacerauskaite</author>
  </authors>
  <commentList>
    <comment ref="E13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H53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LEZ parama
</t>
        </r>
      </text>
    </comment>
    <comment ref="D65" authorId="1">
      <text>
        <r>
          <rPr>
            <sz val="9"/>
            <color indexed="81"/>
            <rFont val="Tahoma"/>
            <family val="2"/>
            <charset val="186"/>
          </rPr>
          <t>priemonė įtraukta pagal  2014 m. spalio 31 d. SPG protokolą Nr. STR3-25</t>
        </r>
      </text>
    </comment>
  </commentList>
</comments>
</file>

<file path=xl/sharedStrings.xml><?xml version="1.0" encoding="utf-8"?>
<sst xmlns="http://schemas.openxmlformats.org/spreadsheetml/2006/main" count="475" uniqueCount="153">
  <si>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</si>
  <si>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</si>
  <si>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</si>
  <si>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</si>
  <si>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</si>
  <si>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</si>
  <si>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</si>
  <si>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vertinimo kriterijus</t>
  </si>
  <si>
    <t>2015-ieji metai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</si>
  <si>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</si>
  <si>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</si>
  <si>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</si>
  <si>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2</t>
  </si>
  <si>
    <t>SB</t>
  </si>
  <si>
    <t>Iš viso:</t>
  </si>
  <si>
    <t>02</t>
  </si>
  <si>
    <t>6</t>
  </si>
  <si>
    <t>Kt</t>
  </si>
  <si>
    <t>03</t>
  </si>
  <si>
    <t>Iš viso uždaviniui:</t>
  </si>
  <si>
    <t>Asmenų, lankančių sporto mokyklas, skaičius</t>
  </si>
  <si>
    <t>SB(SP)</t>
  </si>
  <si>
    <t>BĮ Klaipėdos kūno kultūros ir rekreacijos centro išlaikymas ir  veiklos organizavimas</t>
  </si>
  <si>
    <t>Sportinės veiklos programų dalinis finansavimas:</t>
  </si>
  <si>
    <t>04</t>
  </si>
  <si>
    <t>ES</t>
  </si>
  <si>
    <t>Įrengti naujas ir modernizuoti esamas sporto bazes</t>
  </si>
  <si>
    <t>5</t>
  </si>
  <si>
    <t>SB(VB)</t>
  </si>
  <si>
    <t xml:space="preserve">Sporto infrastruktūros objektų einamasis remontas ir techninis aptarnavimas:                                    </t>
  </si>
  <si>
    <t>SB(P)</t>
  </si>
  <si>
    <t>Individualių sporto šakų sportininkų pasirengimas dalyvauti atrankos varžybose dėl patekimo į nacionalines rinktines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</si>
  <si>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</si>
  <si>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</si>
  <si>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</si>
  <si>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</si>
  <si>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</si>
  <si>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</si>
  <si>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</si>
  <si>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</si>
  <si>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</si>
  <si>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</si>
  <si>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</si>
  <si>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</si>
  <si>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</si>
  <si>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 TIKSLŲ, UŽDAVINIŲ, PRIEMONIŲ, PRIEMONIŲ IŠLAIDŲ IR PRODUKTO KRITERIJŲ SUVESTINĖ</t>
  </si>
  <si>
    <t>05</t>
  </si>
  <si>
    <t>Sąlygų ugdytis biudžetinėse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</si>
  <si>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</si>
  <si>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</si>
  <si>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>Sudaryti sąlygas sportuoti visų amžiaus grupių miestiečiams, įgyvendinant sveikos gyvensenos ir fizinio aktyvumo programas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</si>
  <si>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</si>
  <si>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</si>
  <si>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 xml:space="preserve">Prestižinių tarptautinių sporto renginių pritraukimas ir organizavimas </t>
  </si>
  <si>
    <t>KŪNO KULTŪROS IR SPORTO PLĖTROS PROGRAMOS NR. 11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</si>
  <si>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</si>
  <si>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</si>
  <si>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</si>
  <si>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</si>
  <si>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2016-ųjų metų lėšų projektas</t>
  </si>
  <si>
    <t>Pritraukti didesnį dalyvių skaičių, užtikrinant sporto renginių organizavimo kokybę</t>
  </si>
  <si>
    <t>Vidutinis sportininkų, dalyvavusių programose, skaičius</t>
  </si>
  <si>
    <t>2016-ieji metai</t>
  </si>
  <si>
    <t>Miestą reprezentuojančių komandų, garsinančių miestą individualių sporto šakų sportininkų ir trenerių pagerbimas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</si>
  <si>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</si>
  <si>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</si>
  <si>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</si>
  <si>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</si>
  <si>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</si>
  <si>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</si>
  <si>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</si>
  <si>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</si>
  <si>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</si>
  <si>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Finansuota programų, vnt.</t>
  </si>
  <si>
    <t>P1.6.3.2</t>
  </si>
  <si>
    <t>P1.6.1.5</t>
  </si>
  <si>
    <t>miesto jachtų su jaunųjų buriuotojų įgulomis dalyvavimo tarptautinėse regatose</t>
  </si>
  <si>
    <t>2017-ųjų metų lėšų projektas</t>
  </si>
  <si>
    <t>2017-ieji metai</t>
  </si>
  <si>
    <t>Melnragės sporto salės (Burių g. 19) nuotekų vamzdyno remontas</t>
  </si>
  <si>
    <t xml:space="preserve">Kamuolių gaudyklių įrengimas, tribūnos aptvėrimas bei kiaurymių užtaisymas stadiono (Sportininkų g. 46) dirbtinėje aikštėje       </t>
  </si>
  <si>
    <t xml:space="preserve">Irklavimo bazės (Gluosnių g. 8) modernizavimas </t>
  </si>
  <si>
    <t>I</t>
  </si>
  <si>
    <t>LRVB</t>
  </si>
  <si>
    <t>P1.6.3.6</t>
  </si>
  <si>
    <t>1.6.3.3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</si>
  <si>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</si>
  <si>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Parengtas techninis projektas, vnt.
</t>
  </si>
  <si>
    <t>Atlikta statybos darbų, proc.</t>
  </si>
  <si>
    <t>Atlikta modernizavimo darbų, proc.</t>
  </si>
  <si>
    <t>Atlikta darbų, proc.</t>
  </si>
  <si>
    <r>
      <rPr>
        <b/>
        <sz val="10"/>
        <rFont val="Times New Roman"/>
        <family val="1"/>
        <charset val="186"/>
      </rPr>
      <t>Klaipėdos miesto baseinas (50 metrų) su sveikatingumo centru:</t>
    </r>
    <r>
      <rPr>
        <sz val="10"/>
        <rFont val="Times New Roman"/>
        <family val="1"/>
        <charset val="186"/>
      </rPr>
      <t xml:space="preserve"> techninio projekto parengimas ir įgyvendinimas</t>
    </r>
  </si>
  <si>
    <t>BĮ Klaipėdos miesto lengvosios atletikos mokykloje</t>
  </si>
  <si>
    <t>Atlikti centrinio stadiono vakarinės pusės dengtų tribūnų įrengimo darbai, proc.</t>
  </si>
  <si>
    <t xml:space="preserve">Atlikti stadiono naujų bėgimo takų įrengimo darbai, proc. </t>
  </si>
  <si>
    <t>Atlikti įėjimo vartų į centrinį stadioną įrengimo darbai, proc.</t>
  </si>
  <si>
    <t xml:space="preserve">Klaipėdos centrinio stadiono Sportininkų g. 46 rekonstrukcija (II–IV etapai) </t>
  </si>
  <si>
    <t>06</t>
  </si>
  <si>
    <t>1.6.3.4</t>
  </si>
  <si>
    <t>Klaipėdos sporto sveikatingumo bazės komplekso (Smiltynės g. 13) panaudojimo galimybių studijos parengimas</t>
  </si>
  <si>
    <t>Parengta galimybių studija, vnt.</t>
  </si>
  <si>
    <t>Atlikti centrinio stadiono rytinės pusės dengtų tribūnų įrengimo darbai, proc.</t>
  </si>
  <si>
    <t>Įsigytas autobusas, vnt.</t>
  </si>
  <si>
    <t>Futbolo aikštė paruošta dirbtinės dangos paklojimui, proc.</t>
  </si>
  <si>
    <t>07</t>
  </si>
  <si>
    <t>Miesto stadionų atnaujinimas:</t>
  </si>
  <si>
    <t>Klaipėdos miesto savivaldybės jachtos „Lietuva“ remontas</t>
  </si>
  <si>
    <t>Atlikti kasmetiniai laivo priežiūros darbai, įsigyta gelbėjimosi įranga, parengtumas dalyvauti regatoje, %</t>
  </si>
  <si>
    <t>Atlikta dirbtinės aikštės tvarkymo darbų, proc.</t>
  </si>
  <si>
    <t>Atlikta sporto salės nuotekų vamzdyno remonto darbų, proc.</t>
  </si>
  <si>
    <t>Atlikta  sporto salės stogo remonto darbų, proc.</t>
  </si>
  <si>
    <t>Atlikti Centrinio stadiono sportavimo sąlygų gerinimo darbai, proc.</t>
  </si>
  <si>
    <t>Iš viso priemonei:</t>
  </si>
  <si>
    <t>2015-ųjų m. asignavimų planas</t>
  </si>
  <si>
    <t>2015 m. asignavimų planas</t>
  </si>
  <si>
    <t>2016 m. lėšų projektas</t>
  </si>
  <si>
    <t>2017 m. lėšų projektas</t>
  </si>
  <si>
    <t>Suorganizuota pagerbimo ir viešinimo renginių, skaičius</t>
  </si>
  <si>
    <t>Suorganizuota renginių, skaičius</t>
  </si>
  <si>
    <t>Iš dalies finansuota programų, skaičius</t>
  </si>
  <si>
    <t>Skirta stipendijų sportininkams, skaičius</t>
  </si>
  <si>
    <t>Planas</t>
  </si>
  <si>
    <t>Suorganizuota renginių, skaičius (2015 m. –  Europos jaunimo sunkiosios atletikos čempionatas)</t>
  </si>
  <si>
    <t>Eur</t>
  </si>
  <si>
    <t xml:space="preserve">Dalyvavusiųjų sporto ir sveikatingumo renginiuose skaičius, tūkst. žmonių </t>
  </si>
  <si>
    <t>Renginių „Sportas visiems“ (festivalių, akcijų, miesto sporto švenčių) programų sukūrimas ir įgyvendinimas</t>
  </si>
  <si>
    <t>sporto klubų, dalyvaujančių judėjime „Sportas visiems“</t>
  </si>
  <si>
    <t>tradicinių, tarptautinių sporto renginių</t>
  </si>
  <si>
    <r>
      <t xml:space="preserve">Futbolo mokyklos ir baseino pastatų konversija </t>
    </r>
    <r>
      <rPr>
        <sz val="10"/>
        <rFont val="Times New Roman"/>
        <family val="1"/>
      </rPr>
      <t>(taikant modernias technologijas ir atsinaujinančius energijos šaltinius), įkuriant sporto paslaugų kompleksą, skirtą įvairių amžiaus grupių kvartalo gyventojams ir sporto bendruomenei (Paryžiaus Komunos g. 16A)</t>
    </r>
  </si>
  <si>
    <t>Sporto salės stogo dangos remontas (Taikos pr. 61A)</t>
  </si>
  <si>
    <t xml:space="preserve">2015–2017 M. KLAIPĖDOS MIESTO SAVIVALDYBĖS 
</t>
  </si>
  <si>
    <t xml:space="preserve">buriavimo, irklavimo, baidarių ir kanojų irklavimo sporto šakų </t>
  </si>
  <si>
    <t>Skirtumas</t>
  </si>
  <si>
    <t>Lengvosios atletikos mokyklos pastato vamzdyno remontas</t>
  </si>
  <si>
    <t>Atliktas pastato vamzdyno remontas, proc.</t>
  </si>
  <si>
    <t>Atnaujintas aikštynas, proc.</t>
  </si>
  <si>
    <t>Siūlomas keisti 2015 m. asignavimų planas</t>
  </si>
  <si>
    <t>Siūlomas keisti 2015-ųjų metų asignavimų planas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</si>
  <si>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</si>
  <si>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</si>
  <si>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Klaipėdos „Vėtrungės“ gimnazijos (Gedminų g. 5) sporto aikštyno atnaujinimas</t>
  </si>
  <si>
    <t xml:space="preserve">Futbolo aikštės dangos įrengimas prie Klaipėdos „Pajūrio“ pagrindinės mokyklos </t>
  </si>
  <si>
    <t>Parengtas investicijų projektas, vnt.</t>
  </si>
  <si>
    <t>Atliktas energetinis auditas, vnt.</t>
  </si>
  <si>
    <t>Įrengtas metalinis konteineris inventoriaus saugojimui</t>
  </si>
  <si>
    <t>Atliktas sporto bazės  (Pilies g. 2A) patalpų ir lietaus nutekėjimo sistemos remontаs, proc.</t>
  </si>
  <si>
    <t>Lyginamasis variantas</t>
  </si>
  <si>
    <t>Lengvosios atletikos mokyklos (Taikos pr. 54) pastato vamzdyno remontas</t>
  </si>
  <si>
    <t>2016-ųjų m. asignavimų planas</t>
  </si>
  <si>
    <t>Siūlomas keisti 2016-ųjų metų asignavimų planas</t>
  </si>
  <si>
    <t>2016 m. asignavimų planas</t>
  </si>
  <si>
    <t>Siūlomas keisti 2016 m. asignavimų planas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</si>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</sst>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71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0" fontId="1" fillId="0" borderId="9" xfId="0" applyNumberFormat="1" applyFont="1" applyBorder="1" applyAlignment="1">
      <alignment horizontal="center" vertical="top" wrapText="1"/>
    </xf>
    <xf numFmtId="164" fontId="1" fillId="0" borderId="18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164" fontId="1" fillId="0" borderId="2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1" fillId="0" borderId="26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165" fontId="4" fillId="4" borderId="0" xfId="0" applyNumberFormat="1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top"/>
    </xf>
    <xf numFmtId="0" fontId="1" fillId="0" borderId="72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0" fontId="4" fillId="0" borderId="14" xfId="0" applyFont="1" applyFill="1" applyBorder="1" applyAlignment="1">
      <alignment vertical="top" textRotation="180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0" fontId="4" fillId="0" borderId="17" xfId="0" applyNumberFormat="1" applyFont="1" applyBorder="1" applyAlignment="1">
      <alignment vertical="top"/>
    </xf>
    <xf numFmtId="49" fontId="3" fillId="0" borderId="4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0" fontId="4" fillId="8" borderId="67" xfId="0" applyFont="1" applyFill="1" applyBorder="1" applyAlignment="1">
      <alignment horizontal="center" vertical="top" wrapText="1"/>
    </xf>
    <xf numFmtId="49" fontId="3" fillId="8" borderId="67" xfId="0" applyNumberFormat="1" applyFont="1" applyFill="1" applyBorder="1" applyAlignment="1">
      <alignment horizontal="right" vertical="top"/>
    </xf>
    <xf numFmtId="1" fontId="5" fillId="0" borderId="15" xfId="0" applyNumberFormat="1" applyFont="1" applyFill="1" applyBorder="1" applyAlignment="1">
      <alignment horizontal="center" vertical="top"/>
    </xf>
    <xf numFmtId="0" fontId="12" fillId="0" borderId="0" xfId="0" applyFont="1"/>
    <xf numFmtId="0" fontId="12" fillId="0" borderId="45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4" fillId="8" borderId="58" xfId="0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4" borderId="5" xfId="0" applyNumberFormat="1" applyFont="1" applyFill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0" fontId="3" fillId="8" borderId="4" xfId="0" applyFont="1" applyFill="1" applyBorder="1" applyAlignment="1">
      <alignment horizontal="right" vertical="top"/>
    </xf>
    <xf numFmtId="49" fontId="1" fillId="0" borderId="72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7" xfId="0" applyFont="1" applyFill="1" applyBorder="1" applyAlignment="1">
      <alignment horizontal="center" vertical="top"/>
    </xf>
    <xf numFmtId="0" fontId="5" fillId="4" borderId="4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23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5" fillId="0" borderId="45" xfId="0" applyNumberFormat="1" applyFont="1" applyBorder="1" applyAlignment="1">
      <alignment horizontal="center" vertical="top"/>
    </xf>
    <xf numFmtId="49" fontId="4" fillId="0" borderId="23" xfId="0" applyNumberFormat="1" applyFont="1" applyFill="1" applyBorder="1" applyAlignment="1">
      <alignment vertical="center" textRotation="90" wrapText="1"/>
    </xf>
    <xf numFmtId="49" fontId="1" fillId="7" borderId="4" xfId="0" applyNumberFormat="1" applyFont="1" applyFill="1" applyBorder="1" applyAlignment="1">
      <alignment horizontal="center" vertical="top"/>
    </xf>
    <xf numFmtId="0" fontId="1" fillId="0" borderId="46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left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top" wrapText="1"/>
    </xf>
    <xf numFmtId="0" fontId="5" fillId="0" borderId="34" xfId="0" applyNumberFormat="1" applyFont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left" vertical="top" wrapText="1"/>
    </xf>
    <xf numFmtId="1" fontId="1" fillId="0" borderId="15" xfId="0" applyNumberFormat="1" applyFont="1" applyFill="1" applyBorder="1" applyAlignment="1">
      <alignment horizontal="center" vertical="top"/>
    </xf>
    <xf numFmtId="1" fontId="1" fillId="0" borderId="16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/>
    </xf>
    <xf numFmtId="0" fontId="1" fillId="0" borderId="56" xfId="0" applyNumberFormat="1" applyFont="1" applyFill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64" fontId="5" fillId="0" borderId="44" xfId="0" applyNumberFormat="1" applyFont="1" applyBorder="1" applyAlignment="1">
      <alignment horizontal="left" vertical="top" wrapText="1"/>
    </xf>
    <xf numFmtId="164" fontId="5" fillId="0" borderId="44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4" fontId="4" fillId="4" borderId="0" xfId="0" applyNumberFormat="1" applyFont="1" applyFill="1" applyBorder="1" applyAlignment="1">
      <alignment horizontal="left" vertical="top" wrapText="1"/>
    </xf>
    <xf numFmtId="164" fontId="4" fillId="4" borderId="0" xfId="0" applyNumberFormat="1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left" vertical="top" wrapText="1"/>
    </xf>
    <xf numFmtId="49" fontId="1" fillId="0" borderId="18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 wrapText="1"/>
    </xf>
    <xf numFmtId="0" fontId="5" fillId="0" borderId="27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left" vertical="top"/>
    </xf>
    <xf numFmtId="0" fontId="4" fillId="0" borderId="38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left" vertical="top" wrapText="1"/>
    </xf>
    <xf numFmtId="0" fontId="1" fillId="0" borderId="55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Border="1" applyAlignment="1">
      <alignment horizontal="center" vertical="top" wrapText="1"/>
    </xf>
    <xf numFmtId="0" fontId="1" fillId="0" borderId="53" xfId="0" applyNumberFormat="1" applyFont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left" vertical="top"/>
    </xf>
    <xf numFmtId="0" fontId="4" fillId="3" borderId="39" xfId="0" applyNumberFormat="1" applyFont="1" applyFill="1" applyBorder="1" applyAlignment="1">
      <alignment horizontal="center" vertical="top"/>
    </xf>
    <xf numFmtId="0" fontId="4" fillId="3" borderId="40" xfId="0" applyNumberFormat="1" applyFont="1" applyFill="1" applyBorder="1" applyAlignment="1">
      <alignment horizontal="center" vertical="top"/>
    </xf>
    <xf numFmtId="164" fontId="4" fillId="2" borderId="39" xfId="0" applyNumberFormat="1" applyFont="1" applyFill="1" applyBorder="1" applyAlignment="1">
      <alignment horizontal="left" vertical="top"/>
    </xf>
    <xf numFmtId="0" fontId="4" fillId="2" borderId="39" xfId="0" applyNumberFormat="1" applyFont="1" applyFill="1" applyBorder="1" applyAlignment="1">
      <alignment horizontal="center" vertical="top"/>
    </xf>
    <xf numFmtId="0" fontId="4" fillId="2" borderId="4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left" vertical="top"/>
    </xf>
    <xf numFmtId="0" fontId="4" fillId="5" borderId="32" xfId="0" applyNumberFormat="1" applyFont="1" applyFill="1" applyBorder="1" applyAlignment="1">
      <alignment horizontal="center" vertical="top"/>
    </xf>
    <xf numFmtId="0" fontId="4" fillId="5" borderId="24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/>
    </xf>
    <xf numFmtId="49" fontId="3" fillId="0" borderId="17" xfId="0" applyNumberFormat="1" applyFont="1" applyBorder="1" applyAlignment="1">
      <alignment vertical="top"/>
    </xf>
    <xf numFmtId="164" fontId="5" fillId="0" borderId="76" xfId="0" applyNumberFormat="1" applyFont="1" applyFill="1" applyBorder="1" applyAlignment="1">
      <alignment horizontal="left" vertical="top" wrapText="1"/>
    </xf>
    <xf numFmtId="0" fontId="5" fillId="0" borderId="37" xfId="0" applyNumberFormat="1" applyFont="1" applyBorder="1" applyAlignment="1">
      <alignment horizontal="center" vertical="top"/>
    </xf>
    <xf numFmtId="0" fontId="1" fillId="0" borderId="59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19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4" xfId="0" applyNumberFormat="1" applyFont="1" applyFill="1" applyBorder="1" applyAlignment="1">
      <alignment horizontal="center" vertical="top"/>
    </xf>
    <xf numFmtId="49" fontId="4" fillId="3" borderId="15" xfId="0" applyNumberFormat="1" applyFont="1" applyFill="1" applyBorder="1" applyAlignment="1">
      <alignment horizontal="center" vertical="top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2" borderId="14" xfId="0" applyNumberFormat="1" applyFont="1" applyFill="1" applyBorder="1" applyAlignment="1">
      <alignment vertical="top"/>
    </xf>
    <xf numFmtId="49" fontId="4" fillId="4" borderId="34" xfId="0" applyNumberFormat="1" applyFont="1" applyFill="1" applyBorder="1" applyAlignment="1">
      <alignment vertical="top"/>
    </xf>
    <xf numFmtId="49" fontId="4" fillId="2" borderId="23" xfId="0" applyNumberFormat="1" applyFont="1" applyFill="1" applyBorder="1" applyAlignment="1">
      <alignment vertical="top"/>
    </xf>
    <xf numFmtId="49" fontId="4" fillId="4" borderId="38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vertical="top"/>
    </xf>
    <xf numFmtId="49" fontId="4" fillId="4" borderId="0" xfId="0" applyNumberFormat="1" applyFont="1" applyFill="1" applyBorder="1" applyAlignment="1">
      <alignment vertical="top"/>
    </xf>
    <xf numFmtId="49" fontId="10" fillId="2" borderId="18" xfId="0" applyNumberFormat="1" applyFont="1" applyFill="1" applyBorder="1" applyAlignment="1">
      <alignment vertical="top"/>
    </xf>
    <xf numFmtId="49" fontId="10" fillId="2" borderId="4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vertical="top"/>
    </xf>
    <xf numFmtId="49" fontId="4" fillId="3" borderId="31" xfId="0" applyNumberFormat="1" applyFont="1" applyFill="1" applyBorder="1" applyAlignment="1">
      <alignment horizontal="center" vertical="top"/>
    </xf>
    <xf numFmtId="49" fontId="10" fillId="2" borderId="19" xfId="0" applyNumberFormat="1" applyFont="1" applyFill="1" applyBorder="1" applyAlignment="1">
      <alignment horizontal="center" vertical="top" wrapText="1"/>
    </xf>
    <xf numFmtId="49" fontId="10" fillId="3" borderId="31" xfId="0" applyNumberFormat="1" applyFont="1" applyFill="1" applyBorder="1" applyAlignment="1">
      <alignment horizontal="center" vertical="top" wrapText="1"/>
    </xf>
    <xf numFmtId="49" fontId="10" fillId="2" borderId="18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4" borderId="34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4" borderId="38" xfId="0" applyFont="1" applyFill="1" applyBorder="1" applyAlignment="1">
      <alignment vertical="top" wrapText="1"/>
    </xf>
    <xf numFmtId="49" fontId="10" fillId="2" borderId="4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horizontal="center" vertical="top"/>
    </xf>
    <xf numFmtId="49" fontId="4" fillId="5" borderId="19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vertical="top" wrapText="1"/>
    </xf>
    <xf numFmtId="0" fontId="5" fillId="0" borderId="9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1" fillId="0" borderId="29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 wrapText="1"/>
    </xf>
    <xf numFmtId="0" fontId="5" fillId="0" borderId="37" xfId="0" applyNumberFormat="1" applyFont="1" applyBorder="1" applyAlignment="1">
      <alignment horizontal="center" vertical="top" wrapText="1"/>
    </xf>
    <xf numFmtId="164" fontId="5" fillId="0" borderId="52" xfId="0" applyNumberFormat="1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58" xfId="0" applyNumberFormat="1" applyFont="1" applyFill="1" applyBorder="1" applyAlignment="1">
      <alignment horizontal="center" vertical="top"/>
    </xf>
    <xf numFmtId="0" fontId="1" fillId="0" borderId="56" xfId="0" applyNumberFormat="1" applyFont="1" applyFill="1" applyBorder="1" applyAlignment="1">
      <alignment horizontal="center" vertical="top" wrapText="1"/>
    </xf>
    <xf numFmtId="0" fontId="2" fillId="0" borderId="26" xfId="0" applyFont="1" applyBorder="1"/>
    <xf numFmtId="0" fontId="6" fillId="7" borderId="38" xfId="0" applyFont="1" applyFill="1" applyBorder="1" applyAlignment="1">
      <alignment vertical="top" wrapText="1"/>
    </xf>
    <xf numFmtId="49" fontId="4" fillId="4" borderId="34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" fontId="6" fillId="7" borderId="5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3" fontId="5" fillId="7" borderId="9" xfId="0" applyNumberFormat="1" applyFont="1" applyFill="1" applyBorder="1" applyAlignment="1">
      <alignment horizontal="center" vertical="top"/>
    </xf>
    <xf numFmtId="3" fontId="5" fillId="7" borderId="33" xfId="0" applyNumberFormat="1" applyFont="1" applyFill="1" applyBorder="1" applyAlignment="1">
      <alignment horizontal="center" vertical="top"/>
    </xf>
    <xf numFmtId="1" fontId="6" fillId="7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vertical="top" wrapText="1"/>
    </xf>
    <xf numFmtId="49" fontId="4" fillId="7" borderId="6" xfId="0" applyNumberFormat="1" applyFont="1" applyFill="1" applyBorder="1" applyAlignment="1">
      <alignment vertical="top" wrapText="1"/>
    </xf>
    <xf numFmtId="49" fontId="1" fillId="7" borderId="10" xfId="0" applyNumberFormat="1" applyFont="1" applyFill="1" applyBorder="1" applyAlignment="1">
      <alignment vertical="top" wrapText="1"/>
    </xf>
    <xf numFmtId="49" fontId="4" fillId="7" borderId="25" xfId="0" applyNumberFormat="1" applyFont="1" applyFill="1" applyBorder="1" applyAlignment="1">
      <alignment horizontal="left" vertical="top" wrapText="1"/>
    </xf>
    <xf numFmtId="49" fontId="5" fillId="7" borderId="13" xfId="0" applyNumberFormat="1" applyFont="1" applyFill="1" applyBorder="1" applyAlignment="1">
      <alignment horizontal="left" vertical="top" wrapText="1"/>
    </xf>
    <xf numFmtId="1" fontId="5" fillId="0" borderId="37" xfId="0" applyNumberFormat="1" applyFont="1" applyFill="1" applyBorder="1" applyAlignment="1">
      <alignment horizontal="center" vertical="top"/>
    </xf>
    <xf numFmtId="1" fontId="1" fillId="0" borderId="56" xfId="0" applyNumberFormat="1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left" vertical="top" wrapText="1"/>
    </xf>
    <xf numFmtId="0" fontId="2" fillId="0" borderId="4" xfId="0" applyFont="1" applyBorder="1"/>
    <xf numFmtId="0" fontId="2" fillId="0" borderId="16" xfId="0" applyFont="1" applyBorder="1"/>
    <xf numFmtId="0" fontId="4" fillId="0" borderId="4" xfId="0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vertical="center" textRotation="90" wrapText="1"/>
    </xf>
    <xf numFmtId="0" fontId="3" fillId="7" borderId="18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right" vertical="top"/>
    </xf>
    <xf numFmtId="0" fontId="4" fillId="8" borderId="12" xfId="0" applyFont="1" applyFill="1" applyBorder="1" applyAlignment="1">
      <alignment horizontal="center" vertical="top"/>
    </xf>
    <xf numFmtId="164" fontId="1" fillId="7" borderId="9" xfId="0" applyNumberFormat="1" applyFont="1" applyFill="1" applyBorder="1" applyAlignment="1">
      <alignment vertical="top" wrapText="1"/>
    </xf>
    <xf numFmtId="164" fontId="1" fillId="7" borderId="54" xfId="0" applyNumberFormat="1" applyFont="1" applyFill="1" applyBorder="1" applyAlignment="1">
      <alignment vertical="top" wrapText="1"/>
    </xf>
    <xf numFmtId="164" fontId="1" fillId="7" borderId="24" xfId="0" applyNumberFormat="1" applyFont="1" applyFill="1" applyBorder="1" applyAlignment="1">
      <alignment vertical="top" wrapText="1"/>
    </xf>
    <xf numFmtId="164" fontId="1" fillId="7" borderId="8" xfId="0" applyNumberFormat="1" applyFont="1" applyFill="1" applyBorder="1" applyAlignment="1">
      <alignment vertical="top" wrapText="1"/>
    </xf>
    <xf numFmtId="0" fontId="5" fillId="7" borderId="41" xfId="0" applyFont="1" applyFill="1" applyBorder="1" applyAlignment="1">
      <alignment horizontal="left" vertical="top" wrapText="1"/>
    </xf>
    <xf numFmtId="49" fontId="4" fillId="7" borderId="0" xfId="0" applyNumberFormat="1" applyFont="1" applyFill="1" applyBorder="1" applyAlignment="1">
      <alignment vertical="top"/>
    </xf>
    <xf numFmtId="49" fontId="3" fillId="7" borderId="0" xfId="0" applyNumberFormat="1" applyFont="1" applyFill="1" applyBorder="1" applyAlignment="1">
      <alignment horizontal="right" vertical="top"/>
    </xf>
    <xf numFmtId="164" fontId="4" fillId="7" borderId="0" xfId="0" applyNumberFormat="1" applyFont="1" applyFill="1" applyBorder="1" applyAlignment="1">
      <alignment horizontal="left" vertical="top"/>
    </xf>
    <xf numFmtId="0" fontId="4" fillId="7" borderId="0" xfId="0" applyNumberFormat="1" applyFont="1" applyFill="1" applyBorder="1" applyAlignment="1">
      <alignment horizontal="center" vertical="top"/>
    </xf>
    <xf numFmtId="0" fontId="2" fillId="7" borderId="0" xfId="0" applyFont="1" applyFill="1"/>
    <xf numFmtId="1" fontId="1" fillId="0" borderId="45" xfId="0" applyNumberFormat="1" applyFont="1" applyFill="1" applyBorder="1" applyAlignment="1">
      <alignment horizontal="center" vertical="top"/>
    </xf>
    <xf numFmtId="49" fontId="5" fillId="0" borderId="18" xfId="0" applyNumberFormat="1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1" fontId="3" fillId="8" borderId="4" xfId="0" applyNumberFormat="1" applyFont="1" applyFill="1" applyBorder="1" applyAlignment="1">
      <alignment horizontal="center" vertical="top"/>
    </xf>
    <xf numFmtId="1" fontId="3" fillId="8" borderId="67" xfId="0" applyNumberFormat="1" applyFont="1" applyFill="1" applyBorder="1" applyAlignment="1">
      <alignment horizontal="center" vertical="top"/>
    </xf>
    <xf numFmtId="1" fontId="3" fillId="3" borderId="39" xfId="0" applyNumberFormat="1" applyFont="1" applyFill="1" applyBorder="1" applyAlignment="1">
      <alignment horizontal="center" vertical="top"/>
    </xf>
    <xf numFmtId="1" fontId="4" fillId="8" borderId="32" xfId="0" applyNumberFormat="1" applyFont="1" applyFill="1" applyBorder="1" applyAlignment="1">
      <alignment horizontal="center" vertical="top"/>
    </xf>
    <xf numFmtId="1" fontId="3" fillId="8" borderId="69" xfId="0" applyNumberFormat="1" applyFont="1" applyFill="1" applyBorder="1" applyAlignment="1">
      <alignment horizontal="center" vertical="top"/>
    </xf>
    <xf numFmtId="1" fontId="5" fillId="8" borderId="48" xfId="0" applyNumberFormat="1" applyFont="1" applyFill="1" applyBorder="1" applyAlignment="1">
      <alignment horizontal="center" vertical="top"/>
    </xf>
    <xf numFmtId="1" fontId="5" fillId="0" borderId="49" xfId="0" applyNumberFormat="1" applyFont="1" applyFill="1" applyBorder="1" applyAlignment="1">
      <alignment horizontal="center" vertical="top"/>
    </xf>
    <xf numFmtId="1" fontId="4" fillId="0" borderId="49" xfId="0" applyNumberFormat="1" applyFont="1" applyFill="1" applyBorder="1" applyAlignment="1">
      <alignment horizontal="center" vertical="top"/>
    </xf>
    <xf numFmtId="1" fontId="3" fillId="0" borderId="50" xfId="0" applyNumberFormat="1" applyFont="1" applyFill="1" applyBorder="1" applyAlignment="1">
      <alignment horizontal="center" vertical="top"/>
    </xf>
    <xf numFmtId="1" fontId="4" fillId="8" borderId="70" xfId="0" applyNumberFormat="1" applyFont="1" applyFill="1" applyBorder="1" applyAlignment="1">
      <alignment horizontal="center" vertical="top"/>
    </xf>
    <xf numFmtId="1" fontId="4" fillId="8" borderId="1" xfId="0" applyNumberFormat="1" applyFont="1" applyFill="1" applyBorder="1" applyAlignment="1">
      <alignment horizontal="center" vertical="top"/>
    </xf>
    <xf numFmtId="1" fontId="3" fillId="8" borderId="2" xfId="0" applyNumberFormat="1" applyFont="1" applyFill="1" applyBorder="1" applyAlignment="1">
      <alignment horizontal="center" vertical="top"/>
    </xf>
    <xf numFmtId="1" fontId="4" fillId="8" borderId="28" xfId="0" applyNumberFormat="1" applyFont="1" applyFill="1" applyBorder="1" applyAlignment="1">
      <alignment horizontal="center" vertical="top"/>
    </xf>
    <xf numFmtId="1" fontId="4" fillId="8" borderId="29" xfId="0" applyNumberFormat="1" applyFont="1" applyFill="1" applyBorder="1" applyAlignment="1">
      <alignment horizontal="center" vertical="top"/>
    </xf>
    <xf numFmtId="1" fontId="3" fillId="8" borderId="56" xfId="0" applyNumberFormat="1" applyFont="1" applyFill="1" applyBorder="1" applyAlignment="1">
      <alignment horizontal="center" vertical="top"/>
    </xf>
    <xf numFmtId="1" fontId="4" fillId="8" borderId="71" xfId="0" applyNumberFormat="1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top"/>
    </xf>
    <xf numFmtId="1" fontId="3" fillId="3" borderId="31" xfId="0" applyNumberFormat="1" applyFont="1" applyFill="1" applyBorder="1" applyAlignment="1">
      <alignment horizontal="center" vertical="top"/>
    </xf>
    <xf numFmtId="1" fontId="3" fillId="3" borderId="74" xfId="0" applyNumberFormat="1" applyFont="1" applyFill="1" applyBorder="1" applyAlignment="1">
      <alignment horizontal="center" vertical="top"/>
    </xf>
    <xf numFmtId="1" fontId="5" fillId="7" borderId="45" xfId="0" applyNumberFormat="1" applyFont="1" applyFill="1" applyBorder="1" applyAlignment="1">
      <alignment horizontal="center" vertical="top"/>
    </xf>
    <xf numFmtId="1" fontId="5" fillId="7" borderId="47" xfId="0" applyNumberFormat="1" applyFont="1" applyFill="1" applyBorder="1" applyAlignment="1">
      <alignment horizontal="center" vertical="top"/>
    </xf>
    <xf numFmtId="1" fontId="5" fillId="7" borderId="15" xfId="0" applyNumberFormat="1" applyFont="1" applyFill="1" applyBorder="1" applyAlignment="1">
      <alignment horizontal="center" vertical="top"/>
    </xf>
    <xf numFmtId="1" fontId="5" fillId="7" borderId="34" xfId="0" applyNumberFormat="1" applyFont="1" applyFill="1" applyBorder="1" applyAlignment="1">
      <alignment horizontal="center" vertical="top"/>
    </xf>
    <xf numFmtId="1" fontId="5" fillId="7" borderId="34" xfId="0" applyNumberFormat="1" applyFont="1" applyFill="1" applyBorder="1" applyAlignment="1">
      <alignment horizontal="center" vertical="top" wrapText="1"/>
    </xf>
    <xf numFmtId="1" fontId="5" fillId="8" borderId="4" xfId="0" applyNumberFormat="1" applyFont="1" applyFill="1" applyBorder="1" applyAlignment="1">
      <alignment horizontal="center" vertical="top"/>
    </xf>
    <xf numFmtId="1" fontId="3" fillId="8" borderId="1" xfId="0" applyNumberFormat="1" applyFont="1" applyFill="1" applyBorder="1" applyAlignment="1">
      <alignment horizontal="center" vertical="top"/>
    </xf>
    <xf numFmtId="1" fontId="3" fillId="8" borderId="66" xfId="0" applyNumberFormat="1" applyFont="1" applyFill="1" applyBorder="1" applyAlignment="1">
      <alignment horizontal="center" vertical="top"/>
    </xf>
    <xf numFmtId="1" fontId="3" fillId="0" borderId="49" xfId="0" applyNumberFormat="1" applyFont="1" applyFill="1" applyBorder="1" applyAlignment="1">
      <alignment horizontal="center" vertical="top"/>
    </xf>
    <xf numFmtId="1" fontId="3" fillId="0" borderId="75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  <xf numFmtId="1" fontId="3" fillId="0" borderId="16" xfId="0" applyNumberFormat="1" applyFont="1" applyFill="1" applyBorder="1" applyAlignment="1">
      <alignment horizontal="center" vertical="top"/>
    </xf>
    <xf numFmtId="1" fontId="4" fillId="0" borderId="0" xfId="0" applyNumberFormat="1" applyFont="1" applyFill="1" applyBorder="1" applyAlignment="1">
      <alignment horizontal="center" vertical="top"/>
    </xf>
    <xf numFmtId="1" fontId="3" fillId="8" borderId="15" xfId="0" applyNumberFormat="1" applyFont="1" applyFill="1" applyBorder="1" applyAlignment="1">
      <alignment horizontal="center" vertical="top"/>
    </xf>
    <xf numFmtId="1" fontId="3" fillId="8" borderId="0" xfId="0" applyNumberFormat="1" applyFont="1" applyFill="1" applyBorder="1" applyAlignment="1">
      <alignment horizontal="center" vertical="top"/>
    </xf>
    <xf numFmtId="1" fontId="3" fillId="8" borderId="16" xfId="0" applyNumberFormat="1" applyFont="1" applyFill="1" applyBorder="1" applyAlignment="1">
      <alignment horizontal="center" vertical="top"/>
    </xf>
    <xf numFmtId="1" fontId="1" fillId="0" borderId="36" xfId="0" applyNumberFormat="1" applyFont="1" applyFill="1" applyBorder="1" applyAlignment="1">
      <alignment horizontal="center" vertical="top" wrapText="1"/>
    </xf>
    <xf numFmtId="1" fontId="1" fillId="0" borderId="45" xfId="0" applyNumberFormat="1" applyFont="1" applyFill="1" applyBorder="1" applyAlignment="1">
      <alignment horizontal="center" vertical="top" wrapText="1"/>
    </xf>
    <xf numFmtId="1" fontId="1" fillId="0" borderId="47" xfId="0" applyNumberFormat="1" applyFont="1" applyFill="1" applyBorder="1" applyAlignment="1">
      <alignment horizontal="center" vertical="top" wrapText="1"/>
    </xf>
    <xf numFmtId="1" fontId="1" fillId="7" borderId="45" xfId="0" applyNumberFormat="1" applyFont="1" applyFill="1" applyBorder="1" applyAlignment="1">
      <alignment horizontal="center" vertical="top" wrapText="1"/>
    </xf>
    <xf numFmtId="1" fontId="1" fillId="7" borderId="47" xfId="0" applyNumberFormat="1" applyFont="1" applyFill="1" applyBorder="1" applyAlignment="1">
      <alignment horizontal="center" vertical="top" wrapText="1"/>
    </xf>
    <xf numFmtId="1" fontId="4" fillId="8" borderId="58" xfId="0" applyNumberFormat="1" applyFont="1" applyFill="1" applyBorder="1" applyAlignment="1">
      <alignment horizontal="center" vertical="top" wrapText="1"/>
    </xf>
    <xf numFmtId="1" fontId="4" fillId="8" borderId="29" xfId="0" applyNumberFormat="1" applyFont="1" applyFill="1" applyBorder="1" applyAlignment="1">
      <alignment horizontal="center" vertical="top" wrapText="1"/>
    </xf>
    <xf numFmtId="1" fontId="4" fillId="8" borderId="12" xfId="0" applyNumberFormat="1" applyFont="1" applyFill="1" applyBorder="1" applyAlignment="1">
      <alignment horizontal="center" vertical="top" wrapText="1"/>
    </xf>
    <xf numFmtId="1" fontId="4" fillId="8" borderId="63" xfId="0" applyNumberFormat="1" applyFont="1" applyFill="1" applyBorder="1" applyAlignment="1">
      <alignment horizontal="center" vertical="top" wrapText="1"/>
    </xf>
    <xf numFmtId="1" fontId="4" fillId="8" borderId="69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top" wrapText="1"/>
    </xf>
    <xf numFmtId="1" fontId="1" fillId="0" borderId="53" xfId="0" applyNumberFormat="1" applyFont="1" applyFill="1" applyBorder="1" applyAlignment="1">
      <alignment horizontal="center" vertical="top" wrapText="1"/>
    </xf>
    <xf numFmtId="1" fontId="1" fillId="0" borderId="46" xfId="0" applyNumberFormat="1" applyFont="1" applyFill="1" applyBorder="1" applyAlignment="1">
      <alignment horizontal="center" vertical="top"/>
    </xf>
    <xf numFmtId="1" fontId="1" fillId="0" borderId="45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4" fillId="8" borderId="2" xfId="0" applyNumberFormat="1" applyFont="1" applyFill="1" applyBorder="1" applyAlignment="1">
      <alignment horizontal="center" vertical="top" wrapText="1"/>
    </xf>
    <xf numFmtId="1" fontId="4" fillId="8" borderId="66" xfId="0" applyNumberFormat="1" applyFont="1" applyFill="1" applyBorder="1" applyAlignment="1">
      <alignment horizontal="center" vertical="top" wrapText="1"/>
    </xf>
    <xf numFmtId="1" fontId="1" fillId="0" borderId="49" xfId="0" applyNumberFormat="1" applyFont="1" applyFill="1" applyBorder="1" applyAlignment="1">
      <alignment horizontal="center" vertical="top" wrapText="1"/>
    </xf>
    <xf numFmtId="1" fontId="1" fillId="0" borderId="51" xfId="0" applyNumberFormat="1" applyFont="1" applyFill="1" applyBorder="1" applyAlignment="1">
      <alignment horizontal="center" vertical="top" wrapText="1"/>
    </xf>
    <xf numFmtId="1" fontId="1" fillId="7" borderId="29" xfId="0" applyNumberFormat="1" applyFont="1" applyFill="1" applyBorder="1" applyAlignment="1">
      <alignment horizontal="center" vertical="top" wrapText="1"/>
    </xf>
    <xf numFmtId="1" fontId="1" fillId="7" borderId="65" xfId="0" applyNumberFormat="1" applyFont="1" applyFill="1" applyBorder="1" applyAlignment="1">
      <alignment horizontal="center" vertical="top" wrapText="1"/>
    </xf>
    <xf numFmtId="1" fontId="3" fillId="8" borderId="71" xfId="0" applyNumberFormat="1" applyFont="1" applyFill="1" applyBorder="1" applyAlignment="1">
      <alignment horizontal="center" vertical="top"/>
    </xf>
    <xf numFmtId="1" fontId="5" fillId="7" borderId="29" xfId="0" applyNumberFormat="1" applyFont="1" applyFill="1" applyBorder="1" applyAlignment="1">
      <alignment horizontal="center" vertical="top" wrapText="1"/>
    </xf>
    <xf numFmtId="1" fontId="5" fillId="7" borderId="56" xfId="0" applyNumberFormat="1" applyFont="1" applyFill="1" applyBorder="1" applyAlignment="1">
      <alignment horizontal="center" vertical="top" wrapText="1"/>
    </xf>
    <xf numFmtId="1" fontId="4" fillId="8" borderId="56" xfId="0" applyNumberFormat="1" applyFont="1" applyFill="1" applyBorder="1" applyAlignment="1">
      <alignment horizontal="center" vertical="top" wrapText="1"/>
    </xf>
    <xf numFmtId="1" fontId="8" fillId="3" borderId="19" xfId="0" applyNumberFormat="1" applyFont="1" applyFill="1" applyBorder="1" applyAlignment="1">
      <alignment horizontal="center" vertical="center"/>
    </xf>
    <xf numFmtId="1" fontId="5" fillId="7" borderId="49" xfId="0" applyNumberFormat="1" applyFont="1" applyFill="1" applyBorder="1" applyAlignment="1">
      <alignment horizontal="center" vertical="top"/>
    </xf>
    <xf numFmtId="1" fontId="4" fillId="8" borderId="2" xfId="0" applyNumberFormat="1" applyFont="1" applyFill="1" applyBorder="1" applyAlignment="1">
      <alignment horizontal="center" vertical="top"/>
    </xf>
    <xf numFmtId="1" fontId="1" fillId="0" borderId="49" xfId="0" applyNumberFormat="1" applyFont="1" applyFill="1" applyBorder="1" applyAlignment="1">
      <alignment horizontal="center" vertical="top"/>
    </xf>
    <xf numFmtId="1" fontId="1" fillId="0" borderId="50" xfId="0" applyNumberFormat="1" applyFont="1" applyFill="1" applyBorder="1" applyAlignment="1">
      <alignment horizontal="center" vertical="top"/>
    </xf>
    <xf numFmtId="1" fontId="3" fillId="3" borderId="19" xfId="0" applyNumberFormat="1" applyFont="1" applyFill="1" applyBorder="1" applyAlignment="1">
      <alignment horizontal="center" vertical="top"/>
    </xf>
    <xf numFmtId="1" fontId="8" fillId="2" borderId="31" xfId="0" applyNumberFormat="1" applyFont="1" applyFill="1" applyBorder="1" applyAlignment="1">
      <alignment horizontal="center" vertical="top"/>
    </xf>
    <xf numFmtId="1" fontId="8" fillId="2" borderId="39" xfId="0" applyNumberFormat="1" applyFont="1" applyFill="1" applyBorder="1" applyAlignment="1">
      <alignment horizontal="center" vertical="top"/>
    </xf>
    <xf numFmtId="1" fontId="8" fillId="2" borderId="20" xfId="0" applyNumberFormat="1" applyFont="1" applyFill="1" applyBorder="1" applyAlignment="1">
      <alignment horizontal="center" vertical="top"/>
    </xf>
    <xf numFmtId="1" fontId="8" fillId="5" borderId="9" xfId="0" applyNumberFormat="1" applyFont="1" applyFill="1" applyBorder="1" applyAlignment="1">
      <alignment horizontal="center" vertical="top"/>
    </xf>
    <xf numFmtId="1" fontId="8" fillId="5" borderId="32" xfId="0" applyNumberFormat="1" applyFont="1" applyFill="1" applyBorder="1" applyAlignment="1">
      <alignment horizontal="center" vertical="top"/>
    </xf>
    <xf numFmtId="1" fontId="8" fillId="5" borderId="33" xfId="0" applyNumberFormat="1" applyFont="1" applyFill="1" applyBorder="1" applyAlignment="1">
      <alignment horizontal="center" vertical="top"/>
    </xf>
    <xf numFmtId="1" fontId="8" fillId="7" borderId="0" xfId="0" applyNumberFormat="1" applyFont="1" applyFill="1" applyBorder="1" applyAlignment="1">
      <alignment horizontal="center" vertical="top"/>
    </xf>
    <xf numFmtId="1" fontId="1" fillId="0" borderId="78" xfId="0" applyNumberFormat="1" applyFont="1" applyFill="1" applyBorder="1" applyAlignment="1">
      <alignment horizontal="center" vertical="top" wrapText="1"/>
    </xf>
    <xf numFmtId="1" fontId="1" fillId="0" borderId="55" xfId="0" applyNumberFormat="1" applyFont="1" applyFill="1" applyBorder="1" applyAlignment="1">
      <alignment horizontal="center" vertical="top" wrapText="1"/>
    </xf>
    <xf numFmtId="1" fontId="1" fillId="7" borderId="55" xfId="0" applyNumberFormat="1" applyFont="1" applyFill="1" applyBorder="1" applyAlignment="1">
      <alignment horizontal="center" vertical="top" wrapText="1"/>
    </xf>
    <xf numFmtId="1" fontId="3" fillId="7" borderId="59" xfId="0" applyNumberFormat="1" applyFont="1" applyFill="1" applyBorder="1" applyAlignment="1">
      <alignment horizontal="center" vertical="top" wrapText="1"/>
    </xf>
    <xf numFmtId="1" fontId="1" fillId="0" borderId="55" xfId="0" applyNumberFormat="1" applyFont="1" applyFill="1" applyBorder="1" applyAlignment="1">
      <alignment horizontal="center" vertical="top"/>
    </xf>
    <xf numFmtId="1" fontId="1" fillId="0" borderId="55" xfId="0" applyNumberFormat="1" applyFont="1" applyBorder="1" applyAlignment="1">
      <alignment horizontal="center"/>
    </xf>
    <xf numFmtId="1" fontId="1" fillId="0" borderId="79" xfId="0" applyNumberFormat="1" applyFont="1" applyFill="1" applyBorder="1" applyAlignment="1">
      <alignment horizontal="center" vertical="top" wrapText="1"/>
    </xf>
    <xf numFmtId="1" fontId="1" fillId="7" borderId="64" xfId="0" applyNumberFormat="1" applyFont="1" applyFill="1" applyBorder="1" applyAlignment="1">
      <alignment horizontal="center" vertical="top" wrapText="1"/>
    </xf>
    <xf numFmtId="1" fontId="3" fillId="8" borderId="63" xfId="0" applyNumberFormat="1" applyFont="1" applyFill="1" applyBorder="1" applyAlignment="1">
      <alignment horizontal="center" vertical="top"/>
    </xf>
    <xf numFmtId="1" fontId="5" fillId="7" borderId="64" xfId="0" applyNumberFormat="1" applyFont="1" applyFill="1" applyBorder="1" applyAlignment="1">
      <alignment horizontal="center" vertical="top" wrapText="1"/>
    </xf>
    <xf numFmtId="1" fontId="4" fillId="8" borderId="64" xfId="0" applyNumberFormat="1" applyFont="1" applyFill="1" applyBorder="1" applyAlignment="1">
      <alignment horizontal="center" vertical="top" wrapText="1"/>
    </xf>
    <xf numFmtId="1" fontId="8" fillId="3" borderId="39" xfId="0" applyNumberFormat="1" applyFont="1" applyFill="1" applyBorder="1" applyAlignment="1">
      <alignment horizontal="center" vertical="center"/>
    </xf>
    <xf numFmtId="1" fontId="1" fillId="8" borderId="6" xfId="0" applyNumberFormat="1" applyFont="1" applyFill="1" applyBorder="1" applyAlignment="1">
      <alignment horizontal="center" vertical="top" wrapText="1"/>
    </xf>
    <xf numFmtId="1" fontId="1" fillId="8" borderId="13" xfId="0" applyNumberFormat="1" applyFont="1" applyFill="1" applyBorder="1" applyAlignment="1">
      <alignment horizontal="center" vertical="top" wrapText="1"/>
    </xf>
    <xf numFmtId="1" fontId="1" fillId="8" borderId="12" xfId="0" applyNumberFormat="1" applyFont="1" applyFill="1" applyBorder="1" applyAlignment="1">
      <alignment horizontal="center" vertical="top" wrapText="1"/>
    </xf>
    <xf numFmtId="1" fontId="1" fillId="8" borderId="73" xfId="0" applyNumberFormat="1" applyFont="1" applyFill="1" applyBorder="1" applyAlignment="1">
      <alignment horizontal="center" vertical="top" wrapText="1"/>
    </xf>
    <xf numFmtId="1" fontId="1" fillId="8" borderId="13" xfId="0" applyNumberFormat="1" applyFont="1" applyFill="1" applyBorder="1" applyAlignment="1">
      <alignment horizontal="center" vertical="top"/>
    </xf>
    <xf numFmtId="1" fontId="1" fillId="8" borderId="13" xfId="0" applyNumberFormat="1" applyFont="1" applyFill="1" applyBorder="1" applyAlignment="1">
      <alignment horizontal="center"/>
    </xf>
    <xf numFmtId="1" fontId="1" fillId="8" borderId="25" xfId="0" applyNumberFormat="1" applyFont="1" applyFill="1" applyBorder="1" applyAlignment="1">
      <alignment horizontal="center" vertical="top" wrapText="1"/>
    </xf>
    <xf numFmtId="1" fontId="5" fillId="8" borderId="12" xfId="0" applyNumberFormat="1" applyFont="1" applyFill="1" applyBorder="1" applyAlignment="1">
      <alignment horizontal="center" vertical="top" wrapText="1"/>
    </xf>
    <xf numFmtId="1" fontId="8" fillId="3" borderId="62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top"/>
    </xf>
    <xf numFmtId="1" fontId="5" fillId="8" borderId="79" xfId="0" applyNumberFormat="1" applyFont="1" applyFill="1" applyBorder="1" applyAlignment="1">
      <alignment horizontal="center" vertical="top"/>
    </xf>
    <xf numFmtId="1" fontId="4" fillId="8" borderId="63" xfId="0" applyNumberFormat="1" applyFont="1" applyFill="1" applyBorder="1" applyAlignment="1">
      <alignment horizontal="center" vertical="top"/>
    </xf>
    <xf numFmtId="1" fontId="1" fillId="8" borderId="79" xfId="0" applyNumberFormat="1" applyFont="1" applyFill="1" applyBorder="1" applyAlignment="1">
      <alignment horizontal="center" vertical="top"/>
    </xf>
    <xf numFmtId="0" fontId="4" fillId="0" borderId="0" xfId="0" applyFont="1"/>
    <xf numFmtId="1" fontId="1" fillId="8" borderId="72" xfId="0" applyNumberFormat="1" applyFont="1" applyFill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1" fillId="8" borderId="6" xfId="0" applyNumberFormat="1" applyFont="1" applyFill="1" applyBorder="1" applyAlignment="1">
      <alignment horizontal="center" vertical="top"/>
    </xf>
    <xf numFmtId="3" fontId="3" fillId="8" borderId="12" xfId="0" applyNumberFormat="1" applyFont="1" applyFill="1" applyBorder="1" applyAlignment="1">
      <alignment horizontal="center" vertical="top"/>
    </xf>
    <xf numFmtId="3" fontId="1" fillId="8" borderId="25" xfId="0" applyNumberFormat="1" applyFont="1" applyFill="1" applyBorder="1" applyAlignment="1">
      <alignment horizontal="center" vertical="top"/>
    </xf>
    <xf numFmtId="3" fontId="3" fillId="8" borderId="10" xfId="0" applyNumberFormat="1" applyFont="1" applyFill="1" applyBorder="1" applyAlignment="1">
      <alignment horizontal="center" vertical="top"/>
    </xf>
    <xf numFmtId="3" fontId="3" fillId="8" borderId="66" xfId="0" applyNumberFormat="1" applyFont="1" applyFill="1" applyBorder="1" applyAlignment="1">
      <alignment horizontal="center" vertical="top"/>
    </xf>
    <xf numFmtId="3" fontId="3" fillId="3" borderId="62" xfId="0" applyNumberFormat="1" applyFont="1" applyFill="1" applyBorder="1" applyAlignment="1">
      <alignment horizontal="center" vertical="top"/>
    </xf>
    <xf numFmtId="3" fontId="1" fillId="8" borderId="4" xfId="0" applyNumberFormat="1" applyFont="1" applyFill="1" applyBorder="1" applyAlignment="1">
      <alignment horizontal="center" vertical="top"/>
    </xf>
    <xf numFmtId="3" fontId="1" fillId="8" borderId="18" xfId="0" applyNumberFormat="1" applyFont="1" applyFill="1" applyBorder="1" applyAlignment="1">
      <alignment horizontal="center" vertical="top"/>
    </xf>
    <xf numFmtId="3" fontId="1" fillId="8" borderId="43" xfId="0" applyNumberFormat="1" applyFont="1" applyFill="1" applyBorder="1" applyAlignment="1">
      <alignment horizontal="center" vertical="top"/>
    </xf>
    <xf numFmtId="3" fontId="1" fillId="8" borderId="26" xfId="0" applyNumberFormat="1" applyFont="1" applyFill="1" applyBorder="1" applyAlignment="1">
      <alignment horizontal="center" vertical="top"/>
    </xf>
    <xf numFmtId="3" fontId="1" fillId="8" borderId="42" xfId="0" applyNumberFormat="1" applyFont="1" applyFill="1" applyBorder="1" applyAlignment="1">
      <alignment horizontal="center" vertical="top"/>
    </xf>
    <xf numFmtId="3" fontId="1" fillId="8" borderId="58" xfId="0" applyNumberFormat="1" applyFont="1" applyFill="1" applyBorder="1" applyAlignment="1">
      <alignment horizontal="center" vertical="top"/>
    </xf>
    <xf numFmtId="3" fontId="3" fillId="8" borderId="58" xfId="0" applyNumberFormat="1" applyFont="1" applyFill="1" applyBorder="1" applyAlignment="1">
      <alignment horizontal="center" vertical="top"/>
    </xf>
    <xf numFmtId="3" fontId="4" fillId="8" borderId="58" xfId="0" applyNumberFormat="1" applyFont="1" applyFill="1" applyBorder="1" applyAlignment="1">
      <alignment horizontal="center" vertical="top"/>
    </xf>
    <xf numFmtId="3" fontId="10" fillId="8" borderId="69" xfId="0" applyNumberFormat="1" applyFont="1" applyFill="1" applyBorder="1" applyAlignment="1">
      <alignment horizontal="center" vertical="top" wrapText="1"/>
    </xf>
    <xf numFmtId="3" fontId="1" fillId="8" borderId="35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/>
    </xf>
    <xf numFmtId="3" fontId="1" fillId="8" borderId="72" xfId="0" applyNumberFormat="1" applyFont="1" applyFill="1" applyBorder="1" applyAlignment="1">
      <alignment horizontal="center" vertical="top"/>
    </xf>
    <xf numFmtId="3" fontId="3" fillId="8" borderId="67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8" borderId="25" xfId="0" applyNumberFormat="1" applyFont="1" applyFill="1" applyBorder="1" applyAlignment="1">
      <alignment horizontal="center" vertical="top"/>
    </xf>
    <xf numFmtId="3" fontId="4" fillId="8" borderId="12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3" fillId="2" borderId="62" xfId="0" applyNumberFormat="1" applyFont="1" applyFill="1" applyBorder="1" applyAlignment="1">
      <alignment horizontal="center" vertical="top"/>
    </xf>
    <xf numFmtId="3" fontId="3" fillId="5" borderId="17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3" fontId="6" fillId="0" borderId="39" xfId="0" applyNumberFormat="1" applyFont="1" applyBorder="1" applyAlignment="1">
      <alignment horizontal="center" vertical="center" wrapText="1"/>
    </xf>
    <xf numFmtId="3" fontId="3" fillId="5" borderId="76" xfId="0" applyNumberFormat="1" applyFont="1" applyFill="1" applyBorder="1" applyAlignment="1">
      <alignment horizontal="center" vertical="top"/>
    </xf>
    <xf numFmtId="3" fontId="1" fillId="0" borderId="42" xfId="0" applyNumberFormat="1" applyFont="1" applyBorder="1" applyAlignment="1">
      <alignment horizontal="center" vertical="top"/>
    </xf>
    <xf numFmtId="3" fontId="1" fillId="0" borderId="42" xfId="0" applyNumberFormat="1" applyFont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center" vertical="top"/>
    </xf>
    <xf numFmtId="3" fontId="3" fillId="8" borderId="69" xfId="0" applyNumberFormat="1" applyFont="1" applyFill="1" applyBorder="1" applyAlignment="1">
      <alignment horizontal="center" vertical="top"/>
    </xf>
    <xf numFmtId="3" fontId="5" fillId="0" borderId="25" xfId="0" applyNumberFormat="1" applyFont="1" applyFill="1" applyBorder="1" applyAlignment="1">
      <alignment horizontal="center" vertical="top"/>
    </xf>
    <xf numFmtId="3" fontId="4" fillId="8" borderId="24" xfId="0" applyNumberFormat="1" applyFont="1" applyFill="1" applyBorder="1" applyAlignment="1">
      <alignment horizontal="center" vertical="top"/>
    </xf>
    <xf numFmtId="3" fontId="5" fillId="0" borderId="60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/>
    </xf>
    <xf numFmtId="3" fontId="5" fillId="7" borderId="25" xfId="0" applyNumberFormat="1" applyFont="1" applyFill="1" applyBorder="1" applyAlignment="1">
      <alignment horizontal="center" vertical="top"/>
    </xf>
    <xf numFmtId="3" fontId="4" fillId="3" borderId="3" xfId="0" applyNumberFormat="1" applyFont="1" applyFill="1" applyBorder="1" applyAlignment="1">
      <alignment horizontal="center" vertical="top"/>
    </xf>
    <xf numFmtId="3" fontId="5" fillId="0" borderId="13" xfId="0" applyNumberFormat="1" applyFont="1" applyFill="1" applyBorder="1" applyAlignment="1">
      <alignment horizontal="center" vertical="top"/>
    </xf>
    <xf numFmtId="3" fontId="5" fillId="0" borderId="10" xfId="0" applyNumberFormat="1" applyFont="1" applyFill="1" applyBorder="1" applyAlignment="1">
      <alignment horizontal="center" vertical="top"/>
    </xf>
    <xf numFmtId="3" fontId="5" fillId="4" borderId="6" xfId="0" applyNumberFormat="1" applyFont="1" applyFill="1" applyBorder="1" applyAlignment="1">
      <alignment horizontal="center" vertical="top"/>
    </xf>
    <xf numFmtId="3" fontId="5" fillId="4" borderId="27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3" fontId="1" fillId="4" borderId="22" xfId="0" applyNumberFormat="1" applyFont="1" applyFill="1" applyBorder="1" applyAlignment="1">
      <alignment horizontal="center" vertical="top"/>
    </xf>
    <xf numFmtId="3" fontId="3" fillId="8" borderId="68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3" fontId="4" fillId="8" borderId="12" xfId="0" applyNumberFormat="1" applyFont="1" applyFill="1" applyBorder="1" applyAlignment="1">
      <alignment horizontal="center" vertical="top" wrapText="1"/>
    </xf>
    <xf numFmtId="3" fontId="4" fillId="8" borderId="70" xfId="0" applyNumberFormat="1" applyFont="1" applyFill="1" applyBorder="1" applyAlignment="1">
      <alignment horizontal="center" vertical="top" wrapText="1"/>
    </xf>
    <xf numFmtId="3" fontId="1" fillId="4" borderId="73" xfId="0" applyNumberFormat="1" applyFont="1" applyFill="1" applyBorder="1" applyAlignment="1">
      <alignment horizontal="center" vertical="top" wrapText="1"/>
    </xf>
    <xf numFmtId="3" fontId="2" fillId="4" borderId="22" xfId="0" applyNumberFormat="1" applyFont="1" applyFill="1" applyBorder="1" applyAlignment="1">
      <alignment horizontal="center" vertical="top" wrapText="1"/>
    </xf>
    <xf numFmtId="3" fontId="1" fillId="7" borderId="13" xfId="0" applyNumberFormat="1" applyFont="1" applyFill="1" applyBorder="1" applyAlignment="1">
      <alignment horizontal="center" vertical="top"/>
    </xf>
    <xf numFmtId="3" fontId="4" fillId="8" borderId="66" xfId="0" applyNumberFormat="1" applyFont="1" applyFill="1" applyBorder="1" applyAlignment="1">
      <alignment horizontal="center" vertical="top" wrapText="1"/>
    </xf>
    <xf numFmtId="3" fontId="1" fillId="4" borderId="25" xfId="0" applyNumberFormat="1" applyFont="1" applyFill="1" applyBorder="1" applyAlignment="1">
      <alignment horizontal="center" vertical="top" wrapText="1"/>
    </xf>
    <xf numFmtId="3" fontId="1" fillId="4" borderId="6" xfId="0" applyNumberFormat="1" applyFont="1" applyFill="1" applyBorder="1" applyAlignment="1">
      <alignment horizontal="center" vertical="top" wrapText="1"/>
    </xf>
    <xf numFmtId="3" fontId="1" fillId="4" borderId="10" xfId="0" applyNumberFormat="1" applyFont="1" applyFill="1" applyBorder="1" applyAlignment="1">
      <alignment horizontal="center" vertical="top" wrapText="1"/>
    </xf>
    <xf numFmtId="3" fontId="1" fillId="4" borderId="41" xfId="0" applyNumberFormat="1" applyFont="1" applyFill="1" applyBorder="1" applyAlignment="1">
      <alignment horizontal="center" vertical="top" wrapText="1"/>
    </xf>
    <xf numFmtId="3" fontId="3" fillId="8" borderId="70" xfId="0" applyNumberFormat="1" applyFont="1" applyFill="1" applyBorder="1" applyAlignment="1">
      <alignment horizontal="center" vertical="top"/>
    </xf>
    <xf numFmtId="3" fontId="5" fillId="4" borderId="12" xfId="0" applyNumberFormat="1" applyFont="1" applyFill="1" applyBorder="1" applyAlignment="1">
      <alignment horizontal="center" vertical="top" wrapText="1"/>
    </xf>
    <xf numFmtId="3" fontId="8" fillId="3" borderId="19" xfId="0" applyNumberFormat="1" applyFont="1" applyFill="1" applyBorder="1" applyAlignment="1">
      <alignment horizontal="center" vertical="center"/>
    </xf>
    <xf numFmtId="3" fontId="4" fillId="8" borderId="66" xfId="0" applyNumberFormat="1" applyFont="1" applyFill="1" applyBorder="1" applyAlignment="1">
      <alignment horizontal="center" vertical="top"/>
    </xf>
    <xf numFmtId="3" fontId="4" fillId="8" borderId="68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top"/>
    </xf>
    <xf numFmtId="3" fontId="4" fillId="2" borderId="62" xfId="0" applyNumberFormat="1" applyFont="1" applyFill="1" applyBorder="1" applyAlignment="1">
      <alignment horizontal="center" vertical="top"/>
    </xf>
    <xf numFmtId="3" fontId="4" fillId="5" borderId="17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4" fillId="5" borderId="18" xfId="0" applyNumberFormat="1" applyFont="1" applyFill="1" applyBorder="1" applyAlignment="1">
      <alignment horizontal="center" vertical="top" wrapText="1"/>
    </xf>
    <xf numFmtId="3" fontId="4" fillId="5" borderId="6" xfId="0" applyNumberFormat="1" applyFont="1" applyFill="1" applyBorder="1" applyAlignment="1">
      <alignment horizontal="center" vertical="top" wrapText="1"/>
    </xf>
    <xf numFmtId="3" fontId="5" fillId="0" borderId="35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 vertical="top"/>
    </xf>
    <xf numFmtId="3" fontId="5" fillId="0" borderId="35" xfId="0" applyNumberFormat="1" applyFont="1" applyFill="1" applyBorder="1" applyAlignment="1">
      <alignment horizontal="center" vertical="top" wrapText="1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49" fontId="3" fillId="0" borderId="23" xfId="0" applyNumberFormat="1" applyFont="1" applyFill="1" applyBorder="1" applyAlignment="1">
      <alignment horizontal="center" vertical="top"/>
    </xf>
    <xf numFmtId="49" fontId="4" fillId="8" borderId="67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3" fontId="5" fillId="4" borderId="10" xfId="0" applyNumberFormat="1" applyFont="1" applyFill="1" applyBorder="1" applyAlignment="1">
      <alignment horizontal="center" vertical="top"/>
    </xf>
    <xf numFmtId="3" fontId="5" fillId="4" borderId="22" xfId="0" applyNumberFormat="1" applyFont="1" applyFill="1" applyBorder="1" applyAlignment="1">
      <alignment horizontal="center" vertical="top"/>
    </xf>
    <xf numFmtId="1" fontId="5" fillId="8" borderId="75" xfId="0" applyNumberFormat="1" applyFont="1" applyFill="1" applyBorder="1" applyAlignment="1">
      <alignment horizontal="center" vertical="top"/>
    </xf>
    <xf numFmtId="1" fontId="5" fillId="7" borderId="50" xfId="0" applyNumberFormat="1" applyFont="1" applyFill="1" applyBorder="1" applyAlignment="1">
      <alignment horizontal="center" vertical="top"/>
    </xf>
    <xf numFmtId="3" fontId="5" fillId="7" borderId="25" xfId="0" applyNumberFormat="1" applyFont="1" applyFill="1" applyBorder="1" applyAlignment="1">
      <alignment horizontal="center" vertical="top" wrapText="1"/>
    </xf>
    <xf numFmtId="3" fontId="5" fillId="4" borderId="25" xfId="0" applyNumberFormat="1" applyFont="1" applyFill="1" applyBorder="1" applyAlignment="1">
      <alignment horizontal="center" vertical="top" wrapText="1"/>
    </xf>
    <xf numFmtId="1" fontId="4" fillId="8" borderId="54" xfId="0" applyNumberFormat="1" applyFont="1" applyFill="1" applyBorder="1" applyAlignment="1">
      <alignment horizontal="center" vertical="top"/>
    </xf>
    <xf numFmtId="1" fontId="4" fillId="8" borderId="9" xfId="0" applyNumberFormat="1" applyFont="1" applyFill="1" applyBorder="1" applyAlignment="1">
      <alignment horizontal="center" vertical="top"/>
    </xf>
    <xf numFmtId="1" fontId="4" fillId="8" borderId="33" xfId="0" applyNumberFormat="1" applyFont="1" applyFill="1" applyBorder="1" applyAlignment="1">
      <alignment horizontal="center" vertical="top"/>
    </xf>
    <xf numFmtId="49" fontId="5" fillId="7" borderId="10" xfId="0" applyNumberFormat="1" applyFont="1" applyFill="1" applyBorder="1" applyAlignment="1">
      <alignment vertical="top" wrapText="1"/>
    </xf>
    <xf numFmtId="1" fontId="1" fillId="8" borderId="18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/>
    </xf>
    <xf numFmtId="1" fontId="1" fillId="0" borderId="26" xfId="0" applyNumberFormat="1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/>
    </xf>
    <xf numFmtId="3" fontId="1" fillId="4" borderId="6" xfId="0" applyNumberFormat="1" applyFont="1" applyFill="1" applyBorder="1" applyAlignment="1">
      <alignment horizontal="center" vertical="top"/>
    </xf>
    <xf numFmtId="3" fontId="1" fillId="4" borderId="27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/>
    <xf numFmtId="3" fontId="2" fillId="0" borderId="0" xfId="0" applyNumberFormat="1" applyFont="1"/>
    <xf numFmtId="164" fontId="4" fillId="0" borderId="18" xfId="0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top" wrapText="1"/>
    </xf>
    <xf numFmtId="3" fontId="1" fillId="8" borderId="12" xfId="0" applyNumberFormat="1" applyFont="1" applyFill="1" applyBorder="1" applyAlignment="1">
      <alignment horizontal="center" vertical="top"/>
    </xf>
    <xf numFmtId="3" fontId="10" fillId="8" borderId="66" xfId="0" applyNumberFormat="1" applyFont="1" applyFill="1" applyBorder="1" applyAlignment="1">
      <alignment horizontal="center" vertical="top" wrapText="1"/>
    </xf>
    <xf numFmtId="3" fontId="1" fillId="8" borderId="10" xfId="0" applyNumberFormat="1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1" fontId="5" fillId="8" borderId="6" xfId="0" applyNumberFormat="1" applyFont="1" applyFill="1" applyBorder="1" applyAlignment="1">
      <alignment horizontal="center" vertical="top" wrapText="1"/>
    </xf>
    <xf numFmtId="1" fontId="5" fillId="0" borderId="78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3" fontId="5" fillId="8" borderId="10" xfId="0" applyNumberFormat="1" applyFont="1" applyFill="1" applyBorder="1" applyAlignment="1">
      <alignment horizontal="center" vertical="top"/>
    </xf>
    <xf numFmtId="1" fontId="5" fillId="8" borderId="10" xfId="0" applyNumberFormat="1" applyFont="1" applyFill="1" applyBorder="1" applyAlignment="1">
      <alignment horizontal="center" vertical="top" wrapText="1"/>
    </xf>
    <xf numFmtId="1" fontId="5" fillId="0" borderId="61" xfId="0" applyNumberFormat="1" applyFont="1" applyFill="1" applyBorder="1" applyAlignment="1">
      <alignment horizontal="center" vertical="top" wrapText="1"/>
    </xf>
    <xf numFmtId="1" fontId="5" fillId="0" borderId="15" xfId="0" applyNumberFormat="1" applyFont="1" applyFill="1" applyBorder="1" applyAlignment="1">
      <alignment horizontal="center" vertical="top" wrapText="1"/>
    </xf>
    <xf numFmtId="1" fontId="5" fillId="0" borderId="16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1" fontId="5" fillId="8" borderId="10" xfId="0" applyNumberFormat="1" applyFont="1" applyFill="1" applyBorder="1" applyAlignment="1">
      <alignment horizontal="center" vertical="top"/>
    </xf>
    <xf numFmtId="1" fontId="5" fillId="0" borderId="61" xfId="0" applyNumberFormat="1" applyFont="1" applyFill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/>
    </xf>
    <xf numFmtId="49" fontId="1" fillId="7" borderId="73" xfId="0" applyNumberFormat="1" applyFont="1" applyFill="1" applyBorder="1" applyAlignment="1">
      <alignment horizontal="center" vertical="top"/>
    </xf>
    <xf numFmtId="49" fontId="10" fillId="2" borderId="43" xfId="0" applyNumberFormat="1" applyFont="1" applyFill="1" applyBorder="1" applyAlignment="1">
      <alignment vertical="top"/>
    </xf>
    <xf numFmtId="0" fontId="3" fillId="7" borderId="43" xfId="0" applyFont="1" applyFill="1" applyBorder="1" applyAlignment="1">
      <alignment vertical="top" wrapText="1"/>
    </xf>
    <xf numFmtId="3" fontId="3" fillId="5" borderId="45" xfId="0" applyNumberFormat="1" applyFont="1" applyFill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 wrapText="1"/>
    </xf>
    <xf numFmtId="3" fontId="6" fillId="0" borderId="49" xfId="0" applyNumberFormat="1" applyFont="1" applyBorder="1" applyAlignment="1">
      <alignment horizontal="center" vertical="center" wrapText="1"/>
    </xf>
    <xf numFmtId="3" fontId="6" fillId="0" borderId="50" xfId="0" applyNumberFormat="1" applyFont="1" applyFill="1" applyBorder="1" applyAlignment="1">
      <alignment horizontal="center" vertical="center" wrapText="1"/>
    </xf>
    <xf numFmtId="3" fontId="4" fillId="5" borderId="46" xfId="0" applyNumberFormat="1" applyFont="1" applyFill="1" applyBorder="1" applyAlignment="1">
      <alignment horizontal="center" vertical="top" wrapText="1"/>
    </xf>
    <xf numFmtId="3" fontId="5" fillId="0" borderId="46" xfId="0" applyNumberFormat="1" applyFont="1" applyFill="1" applyBorder="1" applyAlignment="1">
      <alignment horizontal="center"/>
    </xf>
    <xf numFmtId="3" fontId="5" fillId="0" borderId="46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 wrapText="1"/>
    </xf>
    <xf numFmtId="3" fontId="4" fillId="5" borderId="46" xfId="0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center" vertical="top"/>
    </xf>
    <xf numFmtId="3" fontId="4" fillId="8" borderId="2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3" fillId="8" borderId="29" xfId="0" applyNumberFormat="1" applyFont="1" applyFill="1" applyBorder="1" applyAlignment="1">
      <alignment horizontal="center" vertical="top"/>
    </xf>
    <xf numFmtId="3" fontId="1" fillId="7" borderId="49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/>
    </xf>
    <xf numFmtId="3" fontId="5" fillId="0" borderId="22" xfId="0" applyNumberFormat="1" applyFont="1" applyFill="1" applyBorder="1" applyAlignment="1">
      <alignment horizontal="center" vertical="top"/>
    </xf>
    <xf numFmtId="3" fontId="3" fillId="3" borderId="40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/>
    </xf>
    <xf numFmtId="3" fontId="1" fillId="7" borderId="15" xfId="0" applyNumberFormat="1" applyFont="1" applyFill="1" applyBorder="1" applyAlignment="1">
      <alignment horizontal="center" vertical="top"/>
    </xf>
    <xf numFmtId="3" fontId="5" fillId="7" borderId="15" xfId="0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center" vertical="top" wrapText="1"/>
    </xf>
    <xf numFmtId="3" fontId="1" fillId="7" borderId="37" xfId="0" applyNumberFormat="1" applyFont="1" applyFill="1" applyBorder="1" applyAlignment="1">
      <alignment horizontal="center" vertical="top"/>
    </xf>
    <xf numFmtId="3" fontId="5" fillId="0" borderId="27" xfId="0" applyNumberFormat="1" applyFont="1" applyFill="1" applyBorder="1" applyAlignment="1">
      <alignment horizontal="center" vertical="top" wrapText="1"/>
    </xf>
    <xf numFmtId="3" fontId="5" fillId="0" borderId="57" xfId="0" applyNumberFormat="1" applyFont="1" applyFill="1" applyBorder="1" applyAlignment="1">
      <alignment horizontal="center" vertical="top" wrapText="1"/>
    </xf>
    <xf numFmtId="3" fontId="5" fillId="0" borderId="30" xfId="0" applyNumberFormat="1" applyFont="1" applyFill="1" applyBorder="1" applyAlignment="1">
      <alignment horizontal="center" vertical="top" wrapText="1"/>
    </xf>
    <xf numFmtId="3" fontId="3" fillId="8" borderId="30" xfId="0" applyNumberFormat="1" applyFont="1" applyFill="1" applyBorder="1" applyAlignment="1">
      <alignment horizontal="center" vertical="top"/>
    </xf>
    <xf numFmtId="3" fontId="4" fillId="8" borderId="30" xfId="0" applyNumberFormat="1" applyFont="1" applyFill="1" applyBorder="1" applyAlignment="1">
      <alignment horizontal="center" vertical="top" wrapText="1"/>
    </xf>
    <xf numFmtId="3" fontId="1" fillId="4" borderId="77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 wrapText="1"/>
    </xf>
    <xf numFmtId="3" fontId="1" fillId="4" borderId="22" xfId="0" applyNumberFormat="1" applyFont="1" applyFill="1" applyBorder="1" applyAlignment="1">
      <alignment horizontal="center" vertical="top" wrapText="1"/>
    </xf>
    <xf numFmtId="3" fontId="5" fillId="4" borderId="30" xfId="0" applyNumberFormat="1" applyFont="1" applyFill="1" applyBorder="1" applyAlignment="1">
      <alignment horizontal="center" vertical="top" wrapText="1"/>
    </xf>
    <xf numFmtId="3" fontId="5" fillId="7" borderId="60" xfId="0" applyNumberFormat="1" applyFont="1" applyFill="1" applyBorder="1" applyAlignment="1">
      <alignment horizontal="center" vertical="top" wrapText="1"/>
    </xf>
    <xf numFmtId="3" fontId="1" fillId="7" borderId="45" xfId="0" applyNumberFormat="1" applyFont="1" applyFill="1" applyBorder="1" applyAlignment="1">
      <alignment horizontal="center" vertical="top"/>
    </xf>
    <xf numFmtId="3" fontId="1" fillId="7" borderId="29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10" fillId="8" borderId="1" xfId="0" applyNumberFormat="1" applyFont="1" applyFill="1" applyBorder="1" applyAlignment="1">
      <alignment horizontal="center" vertical="top" wrapText="1"/>
    </xf>
    <xf numFmtId="3" fontId="4" fillId="8" borderId="1" xfId="0" applyNumberFormat="1" applyFont="1" applyFill="1" applyBorder="1" applyAlignment="1">
      <alignment horizontal="center" vertical="top"/>
    </xf>
    <xf numFmtId="3" fontId="5" fillId="7" borderId="29" xfId="0" applyNumberFormat="1" applyFont="1" applyFill="1" applyBorder="1" applyAlignment="1">
      <alignment horizontal="center" vertical="top"/>
    </xf>
    <xf numFmtId="3" fontId="5" fillId="7" borderId="5" xfId="0" applyNumberFormat="1" applyFont="1" applyFill="1" applyBorder="1" applyAlignment="1">
      <alignment horizontal="center" vertical="top"/>
    </xf>
    <xf numFmtId="3" fontId="5" fillId="7" borderId="49" xfId="0" applyNumberFormat="1" applyFont="1" applyFill="1" applyBorder="1" applyAlignment="1">
      <alignment horizontal="center" vertical="top"/>
    </xf>
    <xf numFmtId="3" fontId="4" fillId="8" borderId="9" xfId="0" applyNumberFormat="1" applyFont="1" applyFill="1" applyBorder="1" applyAlignment="1">
      <alignment horizontal="center" vertical="top"/>
    </xf>
    <xf numFmtId="3" fontId="4" fillId="2" borderId="40" xfId="0" applyNumberFormat="1" applyFont="1" applyFill="1" applyBorder="1" applyAlignment="1">
      <alignment horizontal="center" vertical="top"/>
    </xf>
    <xf numFmtId="3" fontId="4" fillId="5" borderId="24" xfId="0" applyNumberFormat="1" applyFont="1" applyFill="1" applyBorder="1" applyAlignment="1">
      <alignment horizontal="center" vertical="top"/>
    </xf>
    <xf numFmtId="3" fontId="3" fillId="2" borderId="31" xfId="0" applyNumberFormat="1" applyFont="1" applyFill="1" applyBorder="1" applyAlignment="1">
      <alignment horizontal="center" vertical="top"/>
    </xf>
    <xf numFmtId="3" fontId="3" fillId="5" borderId="9" xfId="0" applyNumberFormat="1" applyFont="1" applyFill="1" applyBorder="1" applyAlignment="1">
      <alignment horizontal="center" vertical="top"/>
    </xf>
    <xf numFmtId="3" fontId="5" fillId="8" borderId="11" xfId="0" applyNumberFormat="1" applyFont="1" applyFill="1" applyBorder="1" applyAlignment="1">
      <alignment horizontal="center" vertical="top"/>
    </xf>
    <xf numFmtId="3" fontId="5" fillId="8" borderId="14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vertical="top"/>
    </xf>
    <xf numFmtId="3" fontId="4" fillId="8" borderId="23" xfId="0" applyNumberFormat="1" applyFont="1" applyFill="1" applyBorder="1" applyAlignment="1">
      <alignment horizontal="center" vertical="top"/>
    </xf>
    <xf numFmtId="3" fontId="1" fillId="8" borderId="11" xfId="0" applyNumberFormat="1" applyFont="1" applyFill="1" applyBorder="1" applyAlignment="1">
      <alignment horizontal="center" vertical="top"/>
    </xf>
    <xf numFmtId="3" fontId="3" fillId="8" borderId="28" xfId="0" applyNumberFormat="1" applyFont="1" applyFill="1" applyBorder="1" applyAlignment="1">
      <alignment horizontal="center" vertical="top"/>
    </xf>
    <xf numFmtId="3" fontId="1" fillId="8" borderId="48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center" vertical="top"/>
    </xf>
    <xf numFmtId="0" fontId="5" fillId="7" borderId="29" xfId="0" applyNumberFormat="1" applyFont="1" applyFill="1" applyBorder="1" applyAlignment="1">
      <alignment horizontal="center" vertical="top"/>
    </xf>
    <xf numFmtId="1" fontId="5" fillId="7" borderId="61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 wrapText="1"/>
    </xf>
    <xf numFmtId="49" fontId="5" fillId="7" borderId="17" xfId="0" applyNumberFormat="1" applyFont="1" applyFill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vertical="center" textRotation="90" wrapText="1"/>
    </xf>
    <xf numFmtId="164" fontId="5" fillId="0" borderId="10" xfId="0" applyNumberFormat="1" applyFont="1" applyFill="1" applyBorder="1" applyAlignment="1">
      <alignment vertical="center" textRotation="90" wrapText="1"/>
    </xf>
    <xf numFmtId="3" fontId="1" fillId="8" borderId="76" xfId="0" applyNumberFormat="1" applyFont="1" applyFill="1" applyBorder="1" applyAlignment="1">
      <alignment horizontal="center" vertical="top"/>
    </xf>
    <xf numFmtId="1" fontId="1" fillId="7" borderId="59" xfId="0" applyNumberFormat="1" applyFont="1" applyFill="1" applyBorder="1" applyAlignment="1">
      <alignment horizontal="center" vertical="top" wrapText="1"/>
    </xf>
    <xf numFmtId="1" fontId="1" fillId="7" borderId="37" xfId="0" applyNumberFormat="1" applyFont="1" applyFill="1" applyBorder="1" applyAlignment="1">
      <alignment horizontal="center" vertical="top" wrapText="1"/>
    </xf>
    <xf numFmtId="1" fontId="1" fillId="7" borderId="80" xfId="0" applyNumberFormat="1" applyFont="1" applyFill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/>
    </xf>
    <xf numFmtId="49" fontId="10" fillId="4" borderId="53" xfId="0" applyNumberFormat="1" applyFont="1" applyFill="1" applyBorder="1" applyAlignment="1">
      <alignment vertical="top" wrapText="1"/>
    </xf>
    <xf numFmtId="164" fontId="5" fillId="0" borderId="73" xfId="0" applyNumberFormat="1" applyFont="1" applyFill="1" applyBorder="1" applyAlignment="1">
      <alignment vertical="center" textRotation="90" wrapText="1"/>
    </xf>
    <xf numFmtId="49" fontId="3" fillId="7" borderId="73" xfId="0" applyNumberFormat="1" applyFont="1" applyFill="1" applyBorder="1" applyAlignment="1">
      <alignment horizontal="center" vertical="top" wrapText="1"/>
    </xf>
    <xf numFmtId="3" fontId="1" fillId="8" borderId="45" xfId="0" applyNumberFormat="1" applyFont="1" applyFill="1" applyBorder="1" applyAlignment="1">
      <alignment horizontal="center" vertical="top"/>
    </xf>
    <xf numFmtId="3" fontId="1" fillId="7" borderId="47" xfId="0" applyNumberFormat="1" applyFont="1" applyFill="1" applyBorder="1" applyAlignment="1">
      <alignment horizontal="center" vertical="top"/>
    </xf>
    <xf numFmtId="3" fontId="1" fillId="8" borderId="37" xfId="0" applyNumberFormat="1" applyFont="1" applyFill="1" applyBorder="1" applyAlignment="1">
      <alignment horizontal="center" vertical="top"/>
    </xf>
    <xf numFmtId="3" fontId="1" fillId="7" borderId="80" xfId="0" applyNumberFormat="1" applyFont="1" applyFill="1" applyBorder="1" applyAlignment="1">
      <alignment horizontal="center" vertical="top"/>
    </xf>
    <xf numFmtId="3" fontId="1" fillId="7" borderId="7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vertical="top" wrapText="1"/>
    </xf>
    <xf numFmtId="49" fontId="10" fillId="4" borderId="16" xfId="0" applyNumberFormat="1" applyFont="1" applyFill="1" applyBorder="1" applyAlignment="1">
      <alignment vertical="top" wrapText="1"/>
    </xf>
    <xf numFmtId="3" fontId="1" fillId="0" borderId="46" xfId="0" applyNumberFormat="1" applyFont="1" applyBorder="1" applyAlignment="1">
      <alignment horizontal="center" vertical="top" wrapText="1"/>
    </xf>
    <xf numFmtId="3" fontId="1" fillId="4" borderId="27" xfId="0" applyNumberFormat="1" applyFont="1" applyFill="1" applyBorder="1" applyAlignment="1">
      <alignment horizontal="center" vertical="top" wrapText="1"/>
    </xf>
    <xf numFmtId="49" fontId="1" fillId="0" borderId="29" xfId="0" applyNumberFormat="1" applyFont="1" applyFill="1" applyBorder="1" applyAlignment="1">
      <alignment horizontal="center" vertical="top"/>
    </xf>
    <xf numFmtId="3" fontId="5" fillId="0" borderId="30" xfId="0" applyNumberFormat="1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1" fontId="1" fillId="0" borderId="80" xfId="0" applyNumberFormat="1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right" vertical="top"/>
    </xf>
    <xf numFmtId="3" fontId="3" fillId="8" borderId="42" xfId="0" applyNumberFormat="1" applyFont="1" applyFill="1" applyBorder="1" applyAlignment="1">
      <alignment horizontal="center" vertical="top"/>
    </xf>
    <xf numFmtId="1" fontId="3" fillId="8" borderId="13" xfId="0" applyNumberFormat="1" applyFont="1" applyFill="1" applyBorder="1" applyAlignment="1">
      <alignment horizontal="center" vertical="top"/>
    </xf>
    <xf numFmtId="1" fontId="3" fillId="8" borderId="55" xfId="0" applyNumberFormat="1" applyFont="1" applyFill="1" applyBorder="1" applyAlignment="1">
      <alignment horizontal="center" vertical="top"/>
    </xf>
    <xf numFmtId="1" fontId="3" fillId="8" borderId="45" xfId="0" applyNumberFormat="1" applyFont="1" applyFill="1" applyBorder="1" applyAlignment="1">
      <alignment horizontal="center" vertical="top"/>
    </xf>
    <xf numFmtId="1" fontId="3" fillId="8" borderId="47" xfId="0" applyNumberFormat="1" applyFont="1" applyFill="1" applyBorder="1" applyAlignment="1">
      <alignment horizontal="center" vertical="top"/>
    </xf>
    <xf numFmtId="3" fontId="3" fillId="8" borderId="13" xfId="0" applyNumberFormat="1" applyFont="1" applyFill="1" applyBorder="1" applyAlignment="1">
      <alignment horizontal="center" vertical="top"/>
    </xf>
    <xf numFmtId="3" fontId="3" fillId="8" borderId="57" xfId="0" applyNumberFormat="1" applyFont="1" applyFill="1" applyBorder="1" applyAlignment="1">
      <alignment horizontal="center" vertical="top"/>
    </xf>
    <xf numFmtId="0" fontId="3" fillId="8" borderId="67" xfId="0" applyFont="1" applyFill="1" applyBorder="1" applyAlignment="1">
      <alignment horizontal="right" vertical="top"/>
    </xf>
    <xf numFmtId="0" fontId="1" fillId="0" borderId="33" xfId="0" applyNumberFormat="1" applyFont="1" applyBorder="1" applyAlignment="1">
      <alignment horizontal="center" vertical="top" wrapText="1"/>
    </xf>
    <xf numFmtId="164" fontId="1" fillId="0" borderId="23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vertical="top" wrapText="1"/>
    </xf>
    <xf numFmtId="3" fontId="4" fillId="8" borderId="70" xfId="0" applyNumberFormat="1" applyFont="1" applyFill="1" applyBorder="1" applyAlignment="1">
      <alignment horizontal="center" vertical="top"/>
    </xf>
    <xf numFmtId="3" fontId="1" fillId="4" borderId="3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4" fillId="3" borderId="36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49" fontId="10" fillId="3" borderId="5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49" fontId="10" fillId="3" borderId="15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 wrapText="1"/>
    </xf>
    <xf numFmtId="49" fontId="10" fillId="3" borderId="15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7" borderId="38" xfId="0" applyFont="1" applyFill="1" applyBorder="1" applyAlignment="1">
      <alignment horizontal="center" vertical="top" wrapText="1"/>
    </xf>
    <xf numFmtId="0" fontId="6" fillId="4" borderId="38" xfId="0" applyFont="1" applyFill="1" applyBorder="1" applyAlignment="1">
      <alignment horizontal="center" vertical="top" wrapText="1"/>
    </xf>
    <xf numFmtId="49" fontId="10" fillId="2" borderId="8" xfId="0" applyNumberFormat="1" applyFont="1" applyFill="1" applyBorder="1" applyAlignment="1">
      <alignment horizontal="center" vertical="top"/>
    </xf>
    <xf numFmtId="49" fontId="10" fillId="3" borderId="9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 wrapText="1"/>
    </xf>
    <xf numFmtId="49" fontId="10" fillId="3" borderId="5" xfId="0" applyNumberFormat="1" applyFont="1" applyFill="1" applyBorder="1" applyAlignment="1">
      <alignment horizontal="center" vertical="top" wrapText="1"/>
    </xf>
    <xf numFmtId="49" fontId="4" fillId="5" borderId="19" xfId="0" applyNumberFormat="1" applyFont="1" applyFill="1" applyBorder="1" applyAlignment="1">
      <alignment horizontal="center" vertical="top"/>
    </xf>
    <xf numFmtId="49" fontId="4" fillId="7" borderId="0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center" vertical="top"/>
    </xf>
    <xf numFmtId="0" fontId="1" fillId="0" borderId="46" xfId="0" applyNumberFormat="1" applyFont="1" applyFill="1" applyBorder="1" applyAlignment="1">
      <alignment horizontal="center" vertical="top" wrapText="1"/>
    </xf>
    <xf numFmtId="0" fontId="5" fillId="0" borderId="26" xfId="0" applyFont="1" applyBorder="1" applyAlignment="1">
      <alignment vertical="top"/>
    </xf>
    <xf numFmtId="0" fontId="5" fillId="0" borderId="45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164" fontId="1" fillId="0" borderId="28" xfId="0" applyNumberFormat="1" applyFont="1" applyBorder="1" applyAlignment="1">
      <alignment vertical="top" wrapText="1"/>
    </xf>
    <xf numFmtId="3" fontId="1" fillId="4" borderId="18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center" vertical="top" wrapText="1"/>
    </xf>
    <xf numFmtId="0" fontId="5" fillId="0" borderId="46" xfId="0" applyFont="1" applyBorder="1" applyAlignment="1">
      <alignment vertical="top" wrapText="1"/>
    </xf>
    <xf numFmtId="3" fontId="1" fillId="8" borderId="13" xfId="0" applyNumberFormat="1" applyFont="1" applyFill="1" applyBorder="1" applyAlignment="1">
      <alignment horizontal="center" vertical="top"/>
    </xf>
    <xf numFmtId="1" fontId="1" fillId="0" borderId="42" xfId="0" applyNumberFormat="1" applyFont="1" applyFill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3" fontId="1" fillId="8" borderId="14" xfId="0" applyNumberFormat="1" applyFont="1" applyFill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 wrapText="1"/>
    </xf>
    <xf numFmtId="3" fontId="1" fillId="8" borderId="73" xfId="0" applyNumberFormat="1" applyFont="1" applyFill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center" vertical="top"/>
    </xf>
    <xf numFmtId="3" fontId="1" fillId="0" borderId="13" xfId="0" applyNumberFormat="1" applyFont="1" applyBorder="1" applyAlignment="1">
      <alignment horizontal="center" vertical="top"/>
    </xf>
    <xf numFmtId="0" fontId="5" fillId="0" borderId="18" xfId="0" applyFont="1" applyBorder="1" applyAlignment="1">
      <alignment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0" fontId="4" fillId="8" borderId="13" xfId="0" applyFont="1" applyFill="1" applyBorder="1" applyAlignment="1">
      <alignment horizontal="center" vertical="top"/>
    </xf>
    <xf numFmtId="3" fontId="4" fillId="8" borderId="45" xfId="0" applyNumberFormat="1" applyFont="1" applyFill="1" applyBorder="1" applyAlignment="1">
      <alignment horizontal="center" vertical="top"/>
    </xf>
    <xf numFmtId="3" fontId="4" fillId="8" borderId="57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 wrapText="1"/>
    </xf>
    <xf numFmtId="3" fontId="5" fillId="4" borderId="22" xfId="0" applyNumberFormat="1" applyFont="1" applyFill="1" applyBorder="1" applyAlignment="1">
      <alignment horizontal="center" vertical="top" wrapText="1"/>
    </xf>
    <xf numFmtId="3" fontId="4" fillId="3" borderId="40" xfId="0" applyNumberFormat="1" applyFont="1" applyFill="1" applyBorder="1" applyAlignment="1">
      <alignment horizontal="center" vertical="top"/>
    </xf>
    <xf numFmtId="3" fontId="4" fillId="8" borderId="56" xfId="0" applyNumberFormat="1" applyFont="1" applyFill="1" applyBorder="1" applyAlignment="1">
      <alignment horizontal="center" vertical="top"/>
    </xf>
    <xf numFmtId="3" fontId="10" fillId="8" borderId="2" xfId="0" applyNumberFormat="1" applyFont="1" applyFill="1" applyBorder="1" applyAlignment="1">
      <alignment horizontal="center" vertical="top" wrapText="1"/>
    </xf>
    <xf numFmtId="3" fontId="8" fillId="3" borderId="40" xfId="0" applyNumberFormat="1" applyFont="1" applyFill="1" applyBorder="1" applyAlignment="1">
      <alignment horizontal="center" vertical="center"/>
    </xf>
    <xf numFmtId="3" fontId="16" fillId="0" borderId="57" xfId="0" applyNumberFormat="1" applyFont="1" applyFill="1" applyBorder="1" applyAlignment="1">
      <alignment horizontal="center" vertical="top" wrapText="1"/>
    </xf>
    <xf numFmtId="3" fontId="14" fillId="7" borderId="5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68" xfId="0" applyFont="1" applyBorder="1" applyAlignment="1">
      <alignment horizontal="center" vertical="top"/>
    </xf>
    <xf numFmtId="1" fontId="5" fillId="8" borderId="0" xfId="0" applyNumberFormat="1" applyFont="1" applyFill="1" applyBorder="1" applyAlignment="1">
      <alignment horizontal="center" vertical="top"/>
    </xf>
    <xf numFmtId="1" fontId="5" fillId="7" borderId="0" xfId="0" applyNumberFormat="1" applyFont="1" applyFill="1" applyBorder="1" applyAlignment="1">
      <alignment horizontal="center" vertical="top"/>
    </xf>
    <xf numFmtId="1" fontId="4" fillId="7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" fontId="4" fillId="7" borderId="47" xfId="0" applyNumberFormat="1" applyFont="1" applyFill="1" applyBorder="1" applyAlignment="1">
      <alignment horizontal="center" vertical="top"/>
    </xf>
    <xf numFmtId="1" fontId="5" fillId="8" borderId="55" xfId="0" applyNumberFormat="1" applyFont="1" applyFill="1" applyBorder="1" applyAlignment="1">
      <alignment horizontal="center" vertical="top"/>
    </xf>
    <xf numFmtId="1" fontId="5" fillId="8" borderId="61" xfId="0" applyNumberFormat="1" applyFont="1" applyFill="1" applyBorder="1" applyAlignment="1">
      <alignment horizontal="center" vertical="top"/>
    </xf>
    <xf numFmtId="0" fontId="2" fillId="8" borderId="10" xfId="0" applyFont="1" applyFill="1" applyBorder="1"/>
    <xf numFmtId="3" fontId="5" fillId="0" borderId="4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2" fillId="0" borderId="10" xfId="0" applyFont="1" applyBorder="1"/>
    <xf numFmtId="0" fontId="1" fillId="0" borderId="14" xfId="0" applyFont="1" applyFill="1" applyBorder="1" applyAlignment="1">
      <alignment vertical="top" wrapText="1"/>
    </xf>
    <xf numFmtId="0" fontId="1" fillId="0" borderId="52" xfId="0" applyFont="1" applyFill="1" applyBorder="1" applyAlignment="1">
      <alignment vertical="top" wrapText="1"/>
    </xf>
    <xf numFmtId="0" fontId="2" fillId="0" borderId="15" xfId="0" applyFont="1" applyBorder="1"/>
    <xf numFmtId="0" fontId="2" fillId="0" borderId="22" xfId="0" applyFont="1" applyBorder="1"/>
    <xf numFmtId="0" fontId="1" fillId="0" borderId="30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56" xfId="0" applyNumberFormat="1" applyFont="1" applyBorder="1" applyAlignment="1">
      <alignment horizontal="center" vertical="top" wrapText="1"/>
    </xf>
    <xf numFmtId="49" fontId="10" fillId="3" borderId="37" xfId="0" applyNumberFormat="1" applyFont="1" applyFill="1" applyBorder="1" applyAlignment="1">
      <alignment horizontal="center" vertical="top"/>
    </xf>
    <xf numFmtId="1" fontId="5" fillId="8" borderId="78" xfId="0" applyNumberFormat="1" applyFont="1" applyFill="1" applyBorder="1" applyAlignment="1">
      <alignment horizontal="center" vertical="top"/>
    </xf>
    <xf numFmtId="1" fontId="5" fillId="7" borderId="5" xfId="0" applyNumberFormat="1" applyFont="1" applyFill="1" applyBorder="1" applyAlignment="1">
      <alignment horizontal="center" vertical="top"/>
    </xf>
    <xf numFmtId="1" fontId="5" fillId="7" borderId="36" xfId="0" applyNumberFormat="1" applyFont="1" applyFill="1" applyBorder="1" applyAlignment="1">
      <alignment horizontal="center" vertical="top"/>
    </xf>
    <xf numFmtId="3" fontId="5" fillId="0" borderId="18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1" fontId="1" fillId="8" borderId="61" xfId="0" applyNumberFormat="1" applyFont="1" applyFill="1" applyBorder="1" applyAlignment="1">
      <alignment horizontal="center" vertical="top"/>
    </xf>
    <xf numFmtId="1" fontId="1" fillId="7" borderId="15" xfId="0" applyNumberFormat="1" applyFont="1" applyFill="1" applyBorder="1" applyAlignment="1">
      <alignment horizontal="center" vertical="top"/>
    </xf>
    <xf numFmtId="1" fontId="3" fillId="7" borderId="34" xfId="0" applyNumberFormat="1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horizontal="center" vertical="top"/>
    </xf>
    <xf numFmtId="0" fontId="5" fillId="0" borderId="70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1" fillId="4" borderId="5" xfId="0" applyNumberFormat="1" applyFont="1" applyFill="1" applyBorder="1" applyAlignment="1">
      <alignment horizontal="center" vertical="top" wrapText="1"/>
    </xf>
    <xf numFmtId="0" fontId="5" fillId="7" borderId="9" xfId="0" applyNumberFormat="1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/>
    </xf>
    <xf numFmtId="49" fontId="4" fillId="4" borderId="16" xfId="0" applyNumberFormat="1" applyFont="1" applyFill="1" applyBorder="1" applyAlignment="1">
      <alignment horizontal="center" vertical="top"/>
    </xf>
    <xf numFmtId="3" fontId="5" fillId="0" borderId="22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49" fontId="4" fillId="2" borderId="18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7" borderId="73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4" fillId="4" borderId="36" xfId="0" applyNumberFormat="1" applyFont="1" applyFill="1" applyBorder="1" applyAlignment="1">
      <alignment horizontal="center" vertical="top"/>
    </xf>
    <xf numFmtId="49" fontId="4" fillId="4" borderId="38" xfId="0" applyNumberFormat="1" applyFont="1" applyFill="1" applyBorder="1" applyAlignment="1">
      <alignment horizontal="center" vertical="top"/>
    </xf>
    <xf numFmtId="49" fontId="10" fillId="4" borderId="36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 wrapText="1"/>
    </xf>
    <xf numFmtId="3" fontId="5" fillId="8" borderId="45" xfId="0" applyNumberFormat="1" applyFont="1" applyFill="1" applyBorder="1" applyAlignment="1">
      <alignment horizontal="center" vertical="top" wrapText="1"/>
    </xf>
    <xf numFmtId="3" fontId="5" fillId="8" borderId="29" xfId="0" applyNumberFormat="1" applyFont="1" applyFill="1" applyBorder="1" applyAlignment="1">
      <alignment horizontal="center" vertical="top"/>
    </xf>
    <xf numFmtId="0" fontId="2" fillId="8" borderId="15" xfId="0" applyFont="1" applyFill="1" applyBorder="1"/>
    <xf numFmtId="3" fontId="1" fillId="8" borderId="15" xfId="0" applyNumberFormat="1" applyFont="1" applyFill="1" applyBorder="1" applyAlignment="1">
      <alignment horizontal="center" vertical="top"/>
    </xf>
    <xf numFmtId="3" fontId="5" fillId="8" borderId="15" xfId="0" applyNumberFormat="1" applyFont="1" applyFill="1" applyBorder="1" applyAlignment="1">
      <alignment horizontal="center" vertical="top"/>
    </xf>
    <xf numFmtId="3" fontId="5" fillId="8" borderId="5" xfId="0" applyNumberFormat="1" applyFont="1" applyFill="1" applyBorder="1" applyAlignment="1">
      <alignment horizontal="center" vertical="top"/>
    </xf>
    <xf numFmtId="3" fontId="5" fillId="0" borderId="27" xfId="0" applyNumberFormat="1" applyFont="1" applyFill="1" applyBorder="1" applyAlignment="1">
      <alignment horizontal="center" vertical="top"/>
    </xf>
    <xf numFmtId="3" fontId="1" fillId="8" borderId="5" xfId="0" applyNumberFormat="1" applyFont="1" applyFill="1" applyBorder="1" applyAlignment="1">
      <alignment horizontal="center" vertical="top"/>
    </xf>
    <xf numFmtId="3" fontId="1" fillId="7" borderId="27" xfId="0" applyNumberFormat="1" applyFont="1" applyFill="1" applyBorder="1" applyAlignment="1">
      <alignment horizontal="center" vertical="top"/>
    </xf>
    <xf numFmtId="3" fontId="14" fillId="4" borderId="27" xfId="0" applyNumberFormat="1" applyFont="1" applyFill="1" applyBorder="1" applyAlignment="1">
      <alignment horizontal="center" vertical="top" wrapText="1"/>
    </xf>
    <xf numFmtId="3" fontId="16" fillId="7" borderId="45" xfId="0" applyNumberFormat="1" applyFont="1" applyFill="1" applyBorder="1" applyAlignment="1">
      <alignment horizontal="center" vertical="top"/>
    </xf>
    <xf numFmtId="49" fontId="14" fillId="7" borderId="73" xfId="0" applyNumberFormat="1" applyFont="1" applyFill="1" applyBorder="1" applyAlignment="1">
      <alignment horizontal="left" vertical="top" wrapText="1"/>
    </xf>
    <xf numFmtId="49" fontId="4" fillId="2" borderId="8" xfId="0" applyNumberFormat="1" applyFont="1" applyFill="1" applyBorder="1" applyAlignment="1">
      <alignment horizontal="center" vertical="top"/>
    </xf>
    <xf numFmtId="49" fontId="4" fillId="2" borderId="23" xfId="0" applyNumberFormat="1" applyFont="1" applyFill="1" applyBorder="1" applyAlignment="1">
      <alignment horizontal="center" vertical="center" wrapText="1"/>
    </xf>
    <xf numFmtId="3" fontId="5" fillId="8" borderId="72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4" fillId="8" borderId="4" xfId="0" applyNumberFormat="1" applyFont="1" applyFill="1" applyBorder="1" applyAlignment="1">
      <alignment horizontal="center" vertical="top"/>
    </xf>
    <xf numFmtId="3" fontId="4" fillId="3" borderId="19" xfId="0" applyNumberFormat="1" applyFont="1" applyFill="1" applyBorder="1" applyAlignment="1">
      <alignment horizontal="center" vertical="top"/>
    </xf>
    <xf numFmtId="3" fontId="5" fillId="0" borderId="49" xfId="0" applyNumberFormat="1" applyFont="1" applyFill="1" applyBorder="1" applyAlignment="1">
      <alignment horizontal="center" vertical="top"/>
    </xf>
    <xf numFmtId="3" fontId="4" fillId="8" borderId="15" xfId="0" applyNumberFormat="1" applyFont="1" applyFill="1" applyBorder="1" applyAlignment="1">
      <alignment horizontal="center" vertical="top"/>
    </xf>
    <xf numFmtId="3" fontId="4" fillId="3" borderId="31" xfId="0" applyNumberFormat="1" applyFont="1" applyFill="1" applyBorder="1" applyAlignment="1">
      <alignment horizontal="center" vertical="top"/>
    </xf>
    <xf numFmtId="3" fontId="5" fillId="8" borderId="18" xfId="0" applyNumberFormat="1" applyFont="1" applyFill="1" applyBorder="1" applyAlignment="1">
      <alignment horizontal="center" vertical="top"/>
    </xf>
    <xf numFmtId="3" fontId="5" fillId="8" borderId="35" xfId="0" applyNumberFormat="1" applyFont="1" applyFill="1" applyBorder="1" applyAlignment="1">
      <alignment horizontal="center" vertical="top"/>
    </xf>
    <xf numFmtId="3" fontId="5" fillId="7" borderId="65" xfId="0" applyNumberFormat="1" applyFont="1" applyFill="1" applyBorder="1" applyAlignment="1">
      <alignment horizontal="center" vertical="top"/>
    </xf>
    <xf numFmtId="0" fontId="2" fillId="0" borderId="34" xfId="0" applyFont="1" applyBorder="1"/>
    <xf numFmtId="3" fontId="1" fillId="7" borderId="34" xfId="0" applyNumberFormat="1" applyFont="1" applyFill="1" applyBorder="1" applyAlignment="1">
      <alignment horizontal="center" vertical="top"/>
    </xf>
    <xf numFmtId="3" fontId="5" fillId="7" borderId="34" xfId="0" applyNumberFormat="1" applyFont="1" applyFill="1" applyBorder="1" applyAlignment="1">
      <alignment horizontal="center" vertical="top"/>
    </xf>
    <xf numFmtId="3" fontId="5" fillId="0" borderId="7" xfId="0" applyNumberFormat="1" applyFont="1" applyFill="1" applyBorder="1" applyAlignment="1">
      <alignment horizontal="center" vertical="top"/>
    </xf>
    <xf numFmtId="3" fontId="5" fillId="0" borderId="56" xfId="0" applyNumberFormat="1" applyFont="1" applyFill="1" applyBorder="1" applyAlignment="1">
      <alignment horizontal="center" vertical="top"/>
    </xf>
    <xf numFmtId="3" fontId="5" fillId="0" borderId="16" xfId="0" applyNumberFormat="1" applyFont="1" applyFill="1" applyBorder="1" applyAlignment="1">
      <alignment horizontal="center" vertical="top"/>
    </xf>
    <xf numFmtId="3" fontId="3" fillId="8" borderId="2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5" fillId="4" borderId="16" xfId="0" applyNumberFormat="1" applyFont="1" applyFill="1" applyBorder="1" applyAlignment="1">
      <alignment horizontal="center" vertical="top"/>
    </xf>
    <xf numFmtId="3" fontId="1" fillId="4" borderId="16" xfId="0" applyNumberFormat="1" applyFont="1" applyFill="1" applyBorder="1" applyAlignment="1">
      <alignment horizontal="center" vertical="top"/>
    </xf>
    <xf numFmtId="3" fontId="1" fillId="7" borderId="7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1" fillId="4" borderId="5" xfId="0" applyNumberFormat="1" applyFont="1" applyFill="1" applyBorder="1" applyAlignment="1">
      <alignment horizontal="center" vertical="top"/>
    </xf>
    <xf numFmtId="3" fontId="5" fillId="4" borderId="15" xfId="0" applyNumberFormat="1" applyFont="1" applyFill="1" applyBorder="1" applyAlignment="1">
      <alignment horizontal="center" vertical="top"/>
    </xf>
    <xf numFmtId="3" fontId="1" fillId="4" borderId="15" xfId="0" applyNumberFormat="1" applyFont="1" applyFill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3" fontId="1" fillId="8" borderId="41" xfId="0" applyNumberFormat="1" applyFont="1" applyFill="1" applyBorder="1" applyAlignment="1">
      <alignment horizontal="center" vertical="top"/>
    </xf>
    <xf numFmtId="3" fontId="1" fillId="0" borderId="30" xfId="0" applyNumberFormat="1" applyFont="1" applyBorder="1" applyAlignment="1">
      <alignment horizontal="center" vertical="top"/>
    </xf>
    <xf numFmtId="3" fontId="5" fillId="8" borderId="35" xfId="0" applyNumberFormat="1" applyFont="1" applyFill="1" applyBorder="1" applyAlignment="1">
      <alignment horizontal="center" vertical="top" wrapText="1"/>
    </xf>
    <xf numFmtId="3" fontId="3" fillId="8" borderId="35" xfId="0" applyNumberFormat="1" applyFont="1" applyFill="1" applyBorder="1" applyAlignment="1">
      <alignment horizontal="center" vertical="top"/>
    </xf>
    <xf numFmtId="3" fontId="4" fillId="8" borderId="41" xfId="0" applyNumberFormat="1" applyFont="1" applyFill="1" applyBorder="1" applyAlignment="1">
      <alignment horizontal="center" vertical="top" wrapText="1"/>
    </xf>
    <xf numFmtId="3" fontId="4" fillId="8" borderId="41" xfId="0" applyNumberFormat="1" applyFont="1" applyFill="1" applyBorder="1" applyAlignment="1">
      <alignment horizontal="center" vertical="top"/>
    </xf>
    <xf numFmtId="3" fontId="10" fillId="8" borderId="67" xfId="0" applyNumberFormat="1" applyFont="1" applyFill="1" applyBorder="1" applyAlignment="1">
      <alignment horizontal="center" vertical="top" wrapText="1"/>
    </xf>
    <xf numFmtId="3" fontId="1" fillId="8" borderId="35" xfId="0" applyNumberFormat="1" applyFont="1" applyFill="1" applyBorder="1" applyAlignment="1">
      <alignment horizontal="center" vertical="top" wrapText="1"/>
    </xf>
    <xf numFmtId="3" fontId="4" fillId="8" borderId="30" xfId="0" applyNumberFormat="1" applyFont="1" applyFill="1" applyBorder="1" applyAlignment="1">
      <alignment horizontal="center" vertical="top"/>
    </xf>
    <xf numFmtId="3" fontId="10" fillId="8" borderId="68" xfId="0" applyNumberFormat="1" applyFont="1" applyFill="1" applyBorder="1" applyAlignment="1">
      <alignment horizontal="center" vertical="top" wrapText="1"/>
    </xf>
    <xf numFmtId="0" fontId="2" fillId="0" borderId="5" xfId="0" applyFont="1" applyBorder="1"/>
    <xf numFmtId="3" fontId="5" fillId="0" borderId="45" xfId="0" applyNumberFormat="1" applyFont="1" applyFill="1" applyBorder="1" applyAlignment="1">
      <alignment horizontal="center" vertical="top" wrapText="1"/>
    </xf>
    <xf numFmtId="3" fontId="3" fillId="8" borderId="45" xfId="0" applyNumberFormat="1" applyFont="1" applyFill="1" applyBorder="1" applyAlignment="1">
      <alignment horizontal="center" vertical="top"/>
    </xf>
    <xf numFmtId="3" fontId="16" fillId="4" borderId="37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 wrapText="1"/>
    </xf>
    <xf numFmtId="3" fontId="1" fillId="4" borderId="45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/>
    </xf>
    <xf numFmtId="0" fontId="2" fillId="8" borderId="18" xfId="0" applyFont="1" applyFill="1" applyBorder="1"/>
    <xf numFmtId="0" fontId="2" fillId="0" borderId="27" xfId="0" applyFont="1" applyBorder="1"/>
    <xf numFmtId="49" fontId="10" fillId="3" borderId="21" xfId="0" applyNumberFormat="1" applyFont="1" applyFill="1" applyBorder="1" applyAlignment="1">
      <alignment horizontal="center" vertical="top" wrapText="1"/>
    </xf>
    <xf numFmtId="3" fontId="16" fillId="4" borderId="57" xfId="0" applyNumberFormat="1" applyFont="1" applyFill="1" applyBorder="1" applyAlignment="1">
      <alignment horizontal="center" vertical="top" wrapText="1"/>
    </xf>
    <xf numFmtId="3" fontId="1" fillId="8" borderId="43" xfId="0" applyNumberFormat="1" applyFont="1" applyFill="1" applyBorder="1" applyAlignment="1">
      <alignment horizontal="center" vertical="top" wrapText="1"/>
    </xf>
    <xf numFmtId="3" fontId="1" fillId="8" borderId="18" xfId="0" applyNumberFormat="1" applyFont="1" applyFill="1" applyBorder="1" applyAlignment="1">
      <alignment horizontal="center" vertical="top" wrapText="1"/>
    </xf>
    <xf numFmtId="3" fontId="1" fillId="4" borderId="5" xfId="0" applyNumberFormat="1" applyFont="1" applyFill="1" applyBorder="1" applyAlignment="1">
      <alignment horizontal="center" vertical="top" wrapText="1"/>
    </xf>
    <xf numFmtId="3" fontId="5" fillId="8" borderId="41" xfId="0" applyNumberFormat="1" applyFont="1" applyFill="1" applyBorder="1" applyAlignment="1">
      <alignment horizontal="center" vertical="top" wrapText="1"/>
    </xf>
    <xf numFmtId="3" fontId="4" fillId="8" borderId="67" xfId="0" applyNumberFormat="1" applyFont="1" applyFill="1" applyBorder="1" applyAlignment="1">
      <alignment horizontal="center" vertical="top" wrapText="1"/>
    </xf>
    <xf numFmtId="3" fontId="5" fillId="8" borderId="4" xfId="0" applyNumberFormat="1" applyFont="1" applyFill="1" applyBorder="1" applyAlignment="1">
      <alignment horizontal="center" vertical="top" wrapText="1"/>
    </xf>
    <xf numFmtId="3" fontId="5" fillId="8" borderId="72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3" fontId="5" fillId="0" borderId="15" xfId="0" applyNumberFormat="1" applyFont="1" applyBorder="1" applyAlignment="1">
      <alignment horizontal="center" vertical="top"/>
    </xf>
    <xf numFmtId="3" fontId="5" fillId="4" borderId="15" xfId="0" applyNumberFormat="1" applyFont="1" applyFill="1" applyBorder="1" applyAlignment="1">
      <alignment horizontal="center" vertical="top" wrapText="1"/>
    </xf>
    <xf numFmtId="3" fontId="5" fillId="7" borderId="49" xfId="0" applyNumberFormat="1" applyFont="1" applyFill="1" applyBorder="1" applyAlignment="1">
      <alignment horizontal="center" vertical="top" wrapText="1"/>
    </xf>
    <xf numFmtId="3" fontId="8" fillId="3" borderId="31" xfId="0" applyNumberFormat="1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top"/>
    </xf>
    <xf numFmtId="3" fontId="4" fillId="5" borderId="8" xfId="0" applyNumberFormat="1" applyFont="1" applyFill="1" applyBorder="1" applyAlignment="1">
      <alignment horizontal="center" vertical="top"/>
    </xf>
    <xf numFmtId="3" fontId="5" fillId="4" borderId="5" xfId="0" applyNumberFormat="1" applyFont="1" applyFill="1" applyBorder="1" applyAlignment="1">
      <alignment horizontal="center" vertical="top"/>
    </xf>
    <xf numFmtId="3" fontId="4" fillId="2" borderId="31" xfId="0" applyNumberFormat="1" applyFont="1" applyFill="1" applyBorder="1" applyAlignment="1">
      <alignment horizontal="center" vertical="top"/>
    </xf>
    <xf numFmtId="3" fontId="4" fillId="5" borderId="9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3" fontId="5" fillId="0" borderId="45" xfId="0" applyNumberFormat="1" applyFont="1" applyFill="1" applyBorder="1" applyAlignment="1">
      <alignment horizontal="center" vertical="top"/>
    </xf>
    <xf numFmtId="3" fontId="1" fillId="0" borderId="29" xfId="0" applyNumberFormat="1" applyFont="1" applyBorder="1" applyAlignment="1">
      <alignment horizontal="center" vertical="top"/>
    </xf>
    <xf numFmtId="3" fontId="14" fillId="0" borderId="46" xfId="0" applyNumberFormat="1" applyFont="1" applyFill="1" applyBorder="1" applyAlignment="1">
      <alignment horizontal="center"/>
    </xf>
    <xf numFmtId="3" fontId="16" fillId="7" borderId="37" xfId="0" applyNumberFormat="1" applyFont="1" applyFill="1" applyBorder="1" applyAlignment="1">
      <alignment horizontal="center" vertical="top"/>
    </xf>
    <xf numFmtId="3" fontId="16" fillId="4" borderId="77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top" wrapText="1"/>
    </xf>
    <xf numFmtId="3" fontId="14" fillId="7" borderId="45" xfId="0" applyNumberFormat="1" applyFont="1" applyFill="1" applyBorder="1" applyAlignment="1">
      <alignment horizontal="center" vertical="top" wrapText="1"/>
    </xf>
    <xf numFmtId="3" fontId="14" fillId="0" borderId="57" xfId="0" applyNumberFormat="1" applyFont="1" applyFill="1" applyBorder="1" applyAlignment="1">
      <alignment horizontal="center" vertical="top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49" fontId="3" fillId="0" borderId="73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center" vertical="top" wrapText="1"/>
    </xf>
    <xf numFmtId="0" fontId="6" fillId="4" borderId="53" xfId="0" applyFont="1" applyFill="1" applyBorder="1" applyAlignment="1">
      <alignment horizontal="center" vertical="top" wrapText="1"/>
    </xf>
    <xf numFmtId="49" fontId="4" fillId="0" borderId="73" xfId="0" applyNumberFormat="1" applyFont="1" applyFill="1" applyBorder="1" applyAlignment="1">
      <alignment vertical="center" textRotation="90" wrapText="1"/>
    </xf>
    <xf numFmtId="3" fontId="4" fillId="8" borderId="35" xfId="0" applyNumberFormat="1" applyFont="1" applyFill="1" applyBorder="1" applyAlignment="1">
      <alignment horizontal="center" vertical="top" wrapText="1"/>
    </xf>
    <xf numFmtId="3" fontId="4" fillId="8" borderId="45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left" vertical="top" wrapText="1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top" wrapText="1"/>
    </xf>
    <xf numFmtId="49" fontId="5" fillId="7" borderId="12" xfId="0" applyNumberFormat="1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49" fontId="10" fillId="4" borderId="36" xfId="0" applyNumberFormat="1" applyFont="1" applyFill="1" applyBorder="1" applyAlignment="1">
      <alignment vertical="top" wrapText="1"/>
    </xf>
    <xf numFmtId="49" fontId="10" fillId="4" borderId="34" xfId="0" applyNumberFormat="1" applyFont="1" applyFill="1" applyBorder="1" applyAlignment="1">
      <alignment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4" fillId="4" borderId="3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1" fontId="5" fillId="0" borderId="35" xfId="0" applyNumberFormat="1" applyFont="1" applyBorder="1" applyAlignment="1">
      <alignment horizontal="center" vertical="top"/>
    </xf>
    <xf numFmtId="1" fontId="5" fillId="0" borderId="42" xfId="0" applyNumberFormat="1" applyFont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0" fontId="3" fillId="8" borderId="67" xfId="0" applyFont="1" applyFill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3" fontId="5" fillId="8" borderId="13" xfId="0" applyNumberFormat="1" applyFont="1" applyFill="1" applyBorder="1" applyAlignment="1">
      <alignment horizontal="center" vertical="top" wrapText="1"/>
    </xf>
    <xf numFmtId="0" fontId="12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49" fontId="5" fillId="7" borderId="12" xfId="0" applyNumberFormat="1" applyFont="1" applyFill="1" applyBorder="1" applyAlignment="1">
      <alignment horizontal="left" vertical="top" wrapText="1"/>
    </xf>
    <xf numFmtId="49" fontId="5" fillId="7" borderId="17" xfId="0" applyNumberFormat="1" applyFont="1" applyFill="1" applyBorder="1" applyAlignment="1">
      <alignment horizontal="left" vertical="top" wrapText="1"/>
    </xf>
    <xf numFmtId="164" fontId="5" fillId="0" borderId="28" xfId="0" applyNumberFormat="1" applyFont="1" applyFill="1" applyBorder="1" applyAlignment="1">
      <alignment horizontal="left" vertical="top" wrapText="1"/>
    </xf>
    <xf numFmtId="164" fontId="5" fillId="0" borderId="23" xfId="0" applyNumberFormat="1" applyFont="1" applyFill="1" applyBorder="1" applyAlignment="1">
      <alignment horizontal="left" vertical="top" wrapText="1"/>
    </xf>
    <xf numFmtId="1" fontId="5" fillId="0" borderId="35" xfId="0" applyNumberFormat="1" applyFont="1" applyBorder="1" applyAlignment="1">
      <alignment horizontal="center" vertical="top" wrapText="1"/>
    </xf>
    <xf numFmtId="1" fontId="5" fillId="0" borderId="42" xfId="0" applyNumberFormat="1" applyFont="1" applyBorder="1" applyAlignment="1">
      <alignment horizontal="center" vertical="top" wrapText="1"/>
    </xf>
    <xf numFmtId="1" fontId="5" fillId="0" borderId="57" xfId="0" applyNumberFormat="1" applyFont="1" applyBorder="1" applyAlignment="1">
      <alignment horizontal="center" vertical="top" wrapText="1"/>
    </xf>
    <xf numFmtId="1" fontId="4" fillId="5" borderId="35" xfId="0" applyNumberFormat="1" applyFont="1" applyFill="1" applyBorder="1" applyAlignment="1">
      <alignment horizontal="center" vertical="top"/>
    </xf>
    <xf numFmtId="1" fontId="4" fillId="5" borderId="42" xfId="0" applyNumberFormat="1" applyFont="1" applyFill="1" applyBorder="1" applyAlignment="1">
      <alignment horizontal="center" vertical="top"/>
    </xf>
    <xf numFmtId="1" fontId="4" fillId="5" borderId="57" xfId="0" applyNumberFormat="1" applyFont="1" applyFill="1" applyBorder="1" applyAlignment="1">
      <alignment horizontal="center" vertical="top"/>
    </xf>
    <xf numFmtId="1" fontId="5" fillId="0" borderId="35" xfId="0" applyNumberFormat="1" applyFont="1" applyBorder="1" applyAlignment="1">
      <alignment horizontal="center" vertical="top"/>
    </xf>
    <xf numFmtId="1" fontId="5" fillId="0" borderId="42" xfId="0" applyNumberFormat="1" applyFont="1" applyBorder="1" applyAlignment="1">
      <alignment horizontal="center" vertical="top"/>
    </xf>
    <xf numFmtId="1" fontId="5" fillId="0" borderId="57" xfId="0" applyNumberFormat="1" applyFont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" fontId="1" fillId="0" borderId="35" xfId="0" applyNumberFormat="1" applyFont="1" applyBorder="1" applyAlignment="1">
      <alignment horizontal="center" vertical="top" wrapText="1"/>
    </xf>
    <xf numFmtId="1" fontId="1" fillId="0" borderId="42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3" fillId="5" borderId="41" xfId="0" applyFont="1" applyFill="1" applyBorder="1" applyAlignment="1">
      <alignment horizontal="right" vertical="top"/>
    </xf>
    <xf numFmtId="0" fontId="3" fillId="5" borderId="58" xfId="0" applyFont="1" applyFill="1" applyBorder="1" applyAlignment="1">
      <alignment horizontal="right" vertical="top"/>
    </xf>
    <xf numFmtId="0" fontId="3" fillId="5" borderId="30" xfId="0" applyFont="1" applyFill="1" applyBorder="1" applyAlignment="1">
      <alignment horizontal="right" vertical="top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4" fillId="4" borderId="0" xfId="0" applyNumberFormat="1" applyFont="1" applyFill="1" applyBorder="1" applyAlignment="1">
      <alignment horizontal="center" vertical="top" wrapText="1"/>
    </xf>
    <xf numFmtId="1" fontId="5" fillId="0" borderId="35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1" fontId="5" fillId="0" borderId="57" xfId="0" applyNumberFormat="1" applyFont="1" applyBorder="1" applyAlignment="1">
      <alignment horizontal="center"/>
    </xf>
    <xf numFmtId="49" fontId="3" fillId="3" borderId="39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39" xfId="0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3" fillId="5" borderId="43" xfId="0" applyFont="1" applyFill="1" applyBorder="1" applyAlignment="1">
      <alignment horizontal="right" vertical="top"/>
    </xf>
    <xf numFmtId="0" fontId="3" fillId="5" borderId="76" xfId="0" applyFont="1" applyFill="1" applyBorder="1" applyAlignment="1">
      <alignment horizontal="right" vertical="top"/>
    </xf>
    <xf numFmtId="0" fontId="3" fillId="5" borderId="77" xfId="0" applyFont="1" applyFill="1" applyBorder="1" applyAlignment="1">
      <alignment horizontal="right" vertical="top"/>
    </xf>
    <xf numFmtId="0" fontId="3" fillId="0" borderId="1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" fontId="4" fillId="8" borderId="67" xfId="0" applyNumberFormat="1" applyFont="1" applyFill="1" applyBorder="1" applyAlignment="1">
      <alignment horizontal="center" vertical="top"/>
    </xf>
    <xf numFmtId="1" fontId="4" fillId="8" borderId="69" xfId="0" applyNumberFormat="1" applyFont="1" applyFill="1" applyBorder="1" applyAlignment="1">
      <alignment horizontal="center" vertical="top"/>
    </xf>
    <xf numFmtId="1" fontId="4" fillId="8" borderId="68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8" xfId="0" applyFont="1" applyFill="1" applyBorder="1" applyAlignment="1">
      <alignment horizontal="right" vertical="top"/>
    </xf>
    <xf numFmtId="0" fontId="3" fillId="8" borderId="32" xfId="0" applyFont="1" applyFill="1" applyBorder="1" applyAlignment="1">
      <alignment horizontal="right" vertical="top"/>
    </xf>
    <xf numFmtId="0" fontId="3" fillId="8" borderId="24" xfId="0" applyFont="1" applyFill="1" applyBorder="1" applyAlignment="1">
      <alignment horizontal="right" vertical="top"/>
    </xf>
    <xf numFmtId="0" fontId="4" fillId="4" borderId="0" xfId="0" applyNumberFormat="1" applyFont="1" applyFill="1" applyBorder="1" applyAlignment="1">
      <alignment horizontal="center" vertical="center" wrapText="1"/>
    </xf>
    <xf numFmtId="1" fontId="3" fillId="5" borderId="72" xfId="0" applyNumberFormat="1" applyFont="1" applyFill="1" applyBorder="1" applyAlignment="1">
      <alignment horizontal="center" vertical="top" wrapText="1"/>
    </xf>
    <xf numFmtId="1" fontId="3" fillId="5" borderId="75" xfId="0" applyNumberFormat="1" applyFont="1" applyFill="1" applyBorder="1" applyAlignment="1">
      <alignment horizontal="center" vertical="top" wrapText="1"/>
    </xf>
    <xf numFmtId="1" fontId="3" fillId="5" borderId="60" xfId="0" applyNumberFormat="1" applyFont="1" applyFill="1" applyBorder="1" applyAlignment="1">
      <alignment horizontal="center" vertical="top" wrapText="1"/>
    </xf>
    <xf numFmtId="49" fontId="4" fillId="2" borderId="18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4" borderId="36" xfId="0" applyNumberFormat="1" applyFont="1" applyFill="1" applyBorder="1" applyAlignment="1">
      <alignment horizontal="center" vertical="top"/>
    </xf>
    <xf numFmtId="49" fontId="4" fillId="4" borderId="38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164" fontId="5" fillId="0" borderId="11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0" fontId="5" fillId="7" borderId="6" xfId="0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0" fontId="5" fillId="7" borderId="11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49" fontId="10" fillId="4" borderId="36" xfId="0" applyNumberFormat="1" applyFont="1" applyFill="1" applyBorder="1" applyAlignment="1">
      <alignment vertical="top" wrapText="1"/>
    </xf>
    <xf numFmtId="49" fontId="10" fillId="4" borderId="34" xfId="0" applyNumberFormat="1" applyFont="1" applyFill="1" applyBorder="1" applyAlignment="1">
      <alignment vertical="top" wrapText="1"/>
    </xf>
    <xf numFmtId="49" fontId="10" fillId="4" borderId="38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49" fontId="3" fillId="7" borderId="17" xfId="0" applyNumberFormat="1" applyFont="1" applyFill="1" applyBorder="1" applyAlignment="1">
      <alignment horizontal="center" vertical="top" wrapText="1"/>
    </xf>
    <xf numFmtId="164" fontId="4" fillId="0" borderId="41" xfId="0" applyNumberFormat="1" applyFont="1" applyFill="1" applyBorder="1" applyAlignment="1">
      <alignment horizontal="center" vertical="center" textRotation="90" wrapText="1"/>
    </xf>
    <xf numFmtId="164" fontId="4" fillId="0" borderId="4" xfId="0" applyNumberFormat="1" applyFont="1" applyFill="1" applyBorder="1" applyAlignment="1">
      <alignment horizontal="center" vertical="center" textRotation="90" wrapText="1"/>
    </xf>
    <xf numFmtId="164" fontId="4" fillId="0" borderId="8" xfId="0" applyNumberFormat="1" applyFont="1" applyFill="1" applyBorder="1" applyAlignment="1">
      <alignment horizontal="center" vertical="center" textRotation="90" wrapText="1"/>
    </xf>
    <xf numFmtId="49" fontId="1" fillId="7" borderId="12" xfId="0" applyNumberFormat="1" applyFont="1" applyFill="1" applyBorder="1" applyAlignment="1">
      <alignment horizontal="left" vertical="top" wrapText="1"/>
    </xf>
    <xf numFmtId="49" fontId="1" fillId="7" borderId="73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49" fontId="4" fillId="0" borderId="12" xfId="0" applyNumberFormat="1" applyFont="1" applyFill="1" applyBorder="1" applyAlignment="1">
      <alignment horizontal="center" vertical="center" textRotation="90" wrapText="1"/>
    </xf>
    <xf numFmtId="49" fontId="4" fillId="0" borderId="10" xfId="0" applyNumberFormat="1" applyFont="1" applyFill="1" applyBorder="1" applyAlignment="1">
      <alignment horizontal="center" vertical="center" textRotation="90" wrapText="1"/>
    </xf>
    <xf numFmtId="49" fontId="4" fillId="0" borderId="17" xfId="0" applyNumberFormat="1" applyFont="1" applyFill="1" applyBorder="1" applyAlignment="1">
      <alignment horizontal="center" vertical="center" textRotation="90" wrapText="1"/>
    </xf>
    <xf numFmtId="0" fontId="1" fillId="0" borderId="16" xfId="0" applyNumberFormat="1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textRotation="90"/>
    </xf>
    <xf numFmtId="49" fontId="4" fillId="0" borderId="10" xfId="0" applyNumberFormat="1" applyFont="1" applyFill="1" applyBorder="1" applyAlignment="1">
      <alignment horizontal="center" vertical="top" textRotation="90"/>
    </xf>
    <xf numFmtId="49" fontId="1" fillId="7" borderId="6" xfId="0" applyNumberFormat="1" applyFont="1" applyFill="1" applyBorder="1" applyAlignment="1">
      <alignment horizontal="left" vertical="top" wrapText="1"/>
    </xf>
    <xf numFmtId="49" fontId="1" fillId="7" borderId="10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1" fillId="7" borderId="17" xfId="0" applyNumberFormat="1" applyFont="1" applyFill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5" fillId="0" borderId="14" xfId="0" applyNumberFormat="1" applyFont="1" applyFill="1" applyBorder="1" applyAlignment="1">
      <alignment horizontal="left" vertical="top" wrapText="1"/>
    </xf>
    <xf numFmtId="49" fontId="10" fillId="8" borderId="67" xfId="0" applyNumberFormat="1" applyFont="1" applyFill="1" applyBorder="1" applyAlignment="1">
      <alignment horizontal="left" vertical="top" wrapText="1"/>
    </xf>
    <xf numFmtId="49" fontId="10" fillId="8" borderId="69" xfId="0" applyNumberFormat="1" applyFont="1" applyFill="1" applyBorder="1" applyAlignment="1">
      <alignment horizontal="left" vertical="top" wrapText="1"/>
    </xf>
    <xf numFmtId="49" fontId="10" fillId="8" borderId="68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top" wrapText="1"/>
    </xf>
    <xf numFmtId="49" fontId="5" fillId="7" borderId="73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73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73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right" vertical="top"/>
    </xf>
    <xf numFmtId="49" fontId="4" fillId="4" borderId="26" xfId="0" applyNumberFormat="1" applyFont="1" applyFill="1" applyBorder="1" applyAlignment="1">
      <alignment horizontal="center" vertical="top"/>
    </xf>
    <xf numFmtId="49" fontId="4" fillId="4" borderId="32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1" fontId="6" fillId="0" borderId="18" xfId="0" applyNumberFormat="1" applyFont="1" applyBorder="1" applyAlignment="1">
      <alignment horizontal="center" vertical="center" textRotation="90" wrapText="1"/>
    </xf>
    <xf numFmtId="1" fontId="6" fillId="0" borderId="26" xfId="0" applyNumberFormat="1" applyFont="1" applyBorder="1" applyAlignment="1">
      <alignment horizontal="center" vertical="center" textRotation="90" wrapText="1"/>
    </xf>
    <xf numFmtId="1" fontId="6" fillId="0" borderId="27" xfId="0" applyNumberFormat="1" applyFont="1" applyBorder="1" applyAlignment="1">
      <alignment horizontal="center" vertical="center" textRotation="90" wrapText="1"/>
    </xf>
    <xf numFmtId="1" fontId="6" fillId="0" borderId="4" xfId="0" applyNumberFormat="1" applyFont="1" applyBorder="1" applyAlignment="1">
      <alignment horizontal="center" vertical="center" textRotation="90" wrapText="1"/>
    </xf>
    <xf numFmtId="1" fontId="6" fillId="0" borderId="0" xfId="0" applyNumberFormat="1" applyFont="1" applyBorder="1" applyAlignment="1">
      <alignment horizontal="center" vertical="center" textRotation="90" wrapText="1"/>
    </xf>
    <xf numFmtId="1" fontId="6" fillId="0" borderId="22" xfId="0" applyNumberFormat="1" applyFont="1" applyBorder="1" applyAlignment="1">
      <alignment horizontal="center" vertical="center" textRotation="90" wrapText="1"/>
    </xf>
    <xf numFmtId="1" fontId="6" fillId="0" borderId="8" xfId="0" applyNumberFormat="1" applyFont="1" applyBorder="1" applyAlignment="1">
      <alignment horizontal="center" vertical="center" textRotation="90" wrapText="1"/>
    </xf>
    <xf numFmtId="1" fontId="6" fillId="0" borderId="32" xfId="0" applyNumberFormat="1" applyFont="1" applyBorder="1" applyAlignment="1">
      <alignment horizontal="center" vertical="center" textRotation="90" wrapText="1"/>
    </xf>
    <xf numFmtId="1" fontId="6" fillId="0" borderId="24" xfId="0" applyNumberFormat="1" applyFont="1" applyBorder="1" applyAlignment="1">
      <alignment horizontal="center" vertical="center" textRotation="90" wrapText="1"/>
    </xf>
    <xf numFmtId="3" fontId="5" fillId="0" borderId="6" xfId="0" applyNumberFormat="1" applyFont="1" applyBorder="1" applyAlignment="1">
      <alignment horizontal="center" vertical="center" textRotation="90" wrapText="1"/>
    </xf>
    <xf numFmtId="3" fontId="5" fillId="0" borderId="10" xfId="0" applyNumberFormat="1" applyFont="1" applyBorder="1" applyAlignment="1">
      <alignment horizontal="center" vertical="center" textRotation="90" wrapText="1"/>
    </xf>
    <xf numFmtId="3" fontId="5" fillId="0" borderId="17" xfId="0" applyNumberFormat="1" applyFont="1" applyBorder="1" applyAlignment="1">
      <alignment horizontal="center" vertical="center" textRotation="90" wrapText="1"/>
    </xf>
    <xf numFmtId="49" fontId="3" fillId="3" borderId="32" xfId="0" applyNumberFormat="1" applyFont="1" applyFill="1" applyBorder="1" applyAlignment="1">
      <alignment horizontal="right" vertical="top"/>
    </xf>
    <xf numFmtId="164" fontId="4" fillId="3" borderId="19" xfId="0" applyNumberFormat="1" applyFont="1" applyFill="1" applyBorder="1" applyAlignment="1">
      <alignment horizontal="center" vertical="top"/>
    </xf>
    <xf numFmtId="164" fontId="4" fillId="3" borderId="39" xfId="0" applyNumberFormat="1" applyFont="1" applyFill="1" applyBorder="1" applyAlignment="1">
      <alignment horizontal="center" vertical="top"/>
    </xf>
    <xf numFmtId="164" fontId="4" fillId="3" borderId="40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66" xfId="0" applyNumberFormat="1" applyFont="1" applyFill="1" applyBorder="1" applyAlignment="1">
      <alignment horizontal="center" vertical="top"/>
    </xf>
    <xf numFmtId="0" fontId="5" fillId="0" borderId="32" xfId="0" applyFont="1" applyBorder="1" applyAlignment="1">
      <alignment horizontal="right" vertical="top"/>
    </xf>
    <xf numFmtId="0" fontId="5" fillId="0" borderId="48" xfId="0" applyFont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5" fillId="0" borderId="70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3" fontId="1" fillId="0" borderId="6" xfId="0" applyNumberFormat="1" applyFont="1" applyBorder="1" applyAlignment="1">
      <alignment horizontal="center" vertical="center" textRotation="90" wrapText="1"/>
    </xf>
    <xf numFmtId="3" fontId="1" fillId="0" borderId="10" xfId="0" applyNumberFormat="1" applyFont="1" applyBorder="1" applyAlignment="1">
      <alignment horizontal="center" vertical="center" textRotation="90" wrapText="1"/>
    </xf>
    <xf numFmtId="3" fontId="1" fillId="0" borderId="17" xfId="0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72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7" xfId="0" applyNumberFormat="1" applyFont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76" xfId="0" applyFont="1" applyFill="1" applyBorder="1" applyAlignment="1">
      <alignment horizontal="left" vertical="top" wrapText="1"/>
    </xf>
    <xf numFmtId="0" fontId="7" fillId="5" borderId="77" xfId="0" applyFont="1" applyFill="1" applyBorder="1" applyAlignment="1">
      <alignment horizontal="left" vertical="top" wrapText="1"/>
    </xf>
    <xf numFmtId="49" fontId="3" fillId="2" borderId="39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3" xfId="0" applyNumberFormat="1" applyFont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center" vertical="top" wrapText="1"/>
    </xf>
    <xf numFmtId="0" fontId="4" fillId="3" borderId="67" xfId="0" applyFont="1" applyFill="1" applyBorder="1" applyAlignment="1">
      <alignment horizontal="left" vertical="top" wrapText="1"/>
    </xf>
    <xf numFmtId="0" fontId="4" fillId="3" borderId="69" xfId="0" applyFont="1" applyFill="1" applyBorder="1" applyAlignment="1">
      <alignment horizontal="left" vertical="top" wrapText="1"/>
    </xf>
    <xf numFmtId="0" fontId="4" fillId="3" borderId="68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left" vertical="top" wrapText="1"/>
    </xf>
    <xf numFmtId="49" fontId="14" fillId="7" borderId="12" xfId="0" applyNumberFormat="1" applyFont="1" applyFill="1" applyBorder="1" applyAlignment="1">
      <alignment horizontal="left" vertical="top" wrapText="1"/>
    </xf>
    <xf numFmtId="49" fontId="14" fillId="7" borderId="73" xfId="0" applyNumberFormat="1" applyFont="1" applyFill="1" applyBorder="1" applyAlignment="1">
      <alignment horizontal="left" vertical="top" wrapText="1"/>
    </xf>
    <xf numFmtId="49" fontId="14" fillId="7" borderId="10" xfId="0" applyNumberFormat="1" applyFont="1" applyFill="1" applyBorder="1" applyAlignment="1">
      <alignment horizontal="left" vertical="top" wrapText="1"/>
    </xf>
    <xf numFmtId="0" fontId="14" fillId="7" borderId="12" xfId="0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left" vertical="top" wrapText="1"/>
    </xf>
    <xf numFmtId="0" fontId="14" fillId="7" borderId="73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left" vertical="top" wrapText="1"/>
    </xf>
    <xf numFmtId="0" fontId="3" fillId="8" borderId="67" xfId="0" applyFont="1" applyFill="1" applyBorder="1" applyAlignment="1">
      <alignment horizontal="right" vertical="top"/>
    </xf>
    <xf numFmtId="0" fontId="3" fillId="8" borderId="69" xfId="0" applyFont="1" applyFill="1" applyBorder="1" applyAlignment="1">
      <alignment horizontal="right" vertical="top"/>
    </xf>
    <xf numFmtId="0" fontId="1" fillId="0" borderId="47" xfId="0" applyFont="1" applyBorder="1" applyAlignment="1">
      <alignment horizontal="left" vertical="top" wrapText="1"/>
    </xf>
    <xf numFmtId="0" fontId="3" fillId="5" borderId="35" xfId="0" applyFont="1" applyFill="1" applyBorder="1" applyAlignment="1">
      <alignment horizontal="right" vertical="top"/>
    </xf>
    <xf numFmtId="0" fontId="3" fillId="5" borderId="42" xfId="0" applyFont="1" applyFill="1" applyBorder="1" applyAlignment="1">
      <alignment horizontal="right" vertical="top"/>
    </xf>
    <xf numFmtId="0" fontId="3" fillId="5" borderId="55" xfId="0" applyFont="1" applyFill="1" applyBorder="1" applyAlignment="1">
      <alignment horizontal="right" vertical="top"/>
    </xf>
    <xf numFmtId="0" fontId="1" fillId="0" borderId="47" xfId="0" applyFont="1" applyBorder="1" applyAlignment="1">
      <alignment horizontal="left" vertical="top"/>
    </xf>
    <xf numFmtId="49" fontId="10" fillId="4" borderId="36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 wrapText="1"/>
    </xf>
    <xf numFmtId="49" fontId="10" fillId="4" borderId="38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right" vertical="top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14" fillId="7" borderId="17" xfId="0" applyNumberFormat="1" applyFont="1" applyFill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0" fontId="1" fillId="0" borderId="64" xfId="0" applyFont="1" applyBorder="1" applyAlignment="1">
      <alignment horizontal="left" vertical="top"/>
    </xf>
    <xf numFmtId="49" fontId="3" fillId="6" borderId="18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49" fontId="3" fillId="6" borderId="27" xfId="0" applyNumberFormat="1" applyFont="1" applyFill="1" applyBorder="1" applyAlignment="1">
      <alignment horizontal="left" vertical="top" wrapText="1"/>
    </xf>
    <xf numFmtId="0" fontId="7" fillId="5" borderId="35" xfId="0" applyFont="1" applyFill="1" applyBorder="1" applyAlignment="1">
      <alignment horizontal="left" vertical="top" wrapText="1"/>
    </xf>
    <xf numFmtId="0" fontId="7" fillId="5" borderId="42" xfId="0" applyFont="1" applyFill="1" applyBorder="1" applyAlignment="1">
      <alignment horizontal="left" vertical="top" wrapText="1"/>
    </xf>
    <xf numFmtId="0" fontId="7" fillId="5" borderId="57" xfId="0" applyFont="1" applyFill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</cellXfs>
  <cellStyles count="2">
    <cellStyle name="Įprastas" xfId="0" builtinId="0"/>
    <cellStyle name="Normal_sam_pried_SportasMAX-darbinisSBx" xfId="1"/>
  </cellStyles>
  <dxfs count="0"/>
  <tableStyles count="0" defaultTableStyle="TableStyleMedium2" defaultPivotStyle="PivotStyleLight16"/>
  <colors>
    <mruColors>
      <color rgb="FFFF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41" customWidth="1"/>
    <col min="2" max="2" width="60.7109375" style="41" customWidth="1"/>
    <col min="3" max="16384" width="9.140625" style="41"/>
  </cols>
  <sheetData>
    <row r="1" spans="1:2" x14ac:dyDescent="0.25">
      <c r="A1" s="801" t="s">
        <v>64</v>
      </c>
      <c r="B1" s="801"/>
    </row>
    <row r="2" spans="1:2" ht="31.5" x14ac:dyDescent="0.25">
      <c r="A2" s="42" t="s">
        <v>5</v>
      </c>
      <c r="B2" s="43" t="s">
        <v>65</v>
      </c>
    </row>
    <row r="3" spans="1:2" x14ac:dyDescent="0.25">
      <c r="A3" s="42">
        <v>1</v>
      </c>
      <c r="B3" s="43" t="s">
        <v>66</v>
      </c>
    </row>
    <row r="4" spans="1:2" x14ac:dyDescent="0.25">
      <c r="A4" s="42">
        <v>2</v>
      </c>
      <c r="B4" s="43" t="s">
        <v>67</v>
      </c>
    </row>
    <row r="5" spans="1:2" x14ac:dyDescent="0.25">
      <c r="A5" s="42">
        <v>3</v>
      </c>
      <c r="B5" s="43" t="s">
        <v>68</v>
      </c>
    </row>
    <row r="6" spans="1:2" x14ac:dyDescent="0.25">
      <c r="A6" s="42">
        <v>4</v>
      </c>
      <c r="B6" s="43" t="s">
        <v>69</v>
      </c>
    </row>
    <row r="7" spans="1:2" x14ac:dyDescent="0.25">
      <c r="A7" s="42">
        <v>5</v>
      </c>
      <c r="B7" s="43" t="s">
        <v>70</v>
      </c>
    </row>
    <row r="8" spans="1:2" x14ac:dyDescent="0.25">
      <c r="A8" s="42">
        <v>6</v>
      </c>
      <c r="B8" s="43" t="s">
        <v>71</v>
      </c>
    </row>
    <row r="9" spans="1:2" ht="15.75" customHeight="1" x14ac:dyDescent="0.25"/>
    <row r="10" spans="1:2" ht="15.75" customHeight="1" x14ac:dyDescent="0.25">
      <c r="A10" s="802" t="s">
        <v>72</v>
      </c>
      <c r="B10" s="802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5"/>
  <sheetViews>
    <sheetView tabSelected="1" zoomScale="110" zoomScaleNormal="110" zoomScaleSheetLayoutView="90" workbookViewId="0">
      <selection sqref="A1:R1"/>
    </sheetView>
  </sheetViews>
  <sheetFormatPr defaultRowHeight="12.75" x14ac:dyDescent="0.2"/>
  <cols>
    <col min="1" max="1" width="3" style="1" customWidth="1"/>
    <col min="2" max="2" width="3" style="556" customWidth="1"/>
    <col min="3" max="3" width="3" style="1" customWidth="1"/>
    <col min="4" max="4" width="29.140625" style="1" customWidth="1"/>
    <col min="5" max="6" width="3.140625" style="1" customWidth="1"/>
    <col min="7" max="7" width="7.7109375" style="1" customWidth="1"/>
    <col min="8" max="8" width="10.140625" style="424" customWidth="1"/>
    <col min="9" max="12" width="10.140625" style="425" hidden="1" customWidth="1"/>
    <col min="13" max="14" width="10.140625" style="426" customWidth="1"/>
    <col min="15" max="15" width="29.28515625" style="1" customWidth="1"/>
    <col min="16" max="18" width="5.140625" style="1" customWidth="1"/>
    <col min="19" max="16384" width="9.140625" style="1"/>
  </cols>
  <sheetData>
    <row r="1" spans="1:19" ht="12.75" customHeight="1" x14ac:dyDescent="0.2">
      <c r="A1" s="1002" t="s">
        <v>130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/>
      <c r="O1" s="1002"/>
      <c r="P1" s="1002"/>
      <c r="Q1" s="1002"/>
      <c r="R1" s="1002"/>
      <c r="S1" s="798"/>
    </row>
    <row r="2" spans="1:19" ht="12.75" customHeight="1" x14ac:dyDescent="0.2">
      <c r="A2" s="1003" t="s">
        <v>54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Q2" s="1003"/>
      <c r="R2" s="1003"/>
      <c r="S2" s="798"/>
    </row>
    <row r="3" spans="1:19" x14ac:dyDescent="0.2">
      <c r="A3" s="1004" t="s">
        <v>45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799"/>
    </row>
    <row r="4" spans="1:19" ht="13.5" thickBot="1" x14ac:dyDescent="0.25">
      <c r="A4" s="775"/>
      <c r="B4" s="775"/>
      <c r="C4" s="775"/>
      <c r="D4" s="775"/>
      <c r="E4" s="775"/>
      <c r="F4" s="775"/>
      <c r="G4" s="775"/>
      <c r="H4" s="319"/>
      <c r="I4" s="218"/>
      <c r="J4" s="218"/>
      <c r="K4" s="218"/>
      <c r="L4" s="218"/>
      <c r="M4" s="319"/>
      <c r="N4" s="319"/>
      <c r="O4" s="96"/>
      <c r="P4" s="983" t="s">
        <v>123</v>
      </c>
      <c r="Q4" s="983"/>
      <c r="R4" s="983"/>
      <c r="S4" s="775"/>
    </row>
    <row r="5" spans="1:19" x14ac:dyDescent="0.2">
      <c r="A5" s="984" t="s">
        <v>0</v>
      </c>
      <c r="B5" s="987" t="s">
        <v>1</v>
      </c>
      <c r="C5" s="987" t="s">
        <v>2</v>
      </c>
      <c r="D5" s="990" t="s">
        <v>3</v>
      </c>
      <c r="E5" s="993" t="s">
        <v>4</v>
      </c>
      <c r="F5" s="996" t="s">
        <v>5</v>
      </c>
      <c r="G5" s="958" t="s">
        <v>6</v>
      </c>
      <c r="H5" s="999" t="s">
        <v>113</v>
      </c>
      <c r="I5" s="961" t="s">
        <v>113</v>
      </c>
      <c r="J5" s="962"/>
      <c r="K5" s="962"/>
      <c r="L5" s="963"/>
      <c r="M5" s="970" t="s">
        <v>59</v>
      </c>
      <c r="N5" s="970" t="s">
        <v>77</v>
      </c>
      <c r="O5" s="1007" t="s">
        <v>7</v>
      </c>
      <c r="P5" s="1008"/>
      <c r="Q5" s="1008"/>
      <c r="R5" s="1009"/>
    </row>
    <row r="6" spans="1:19" x14ac:dyDescent="0.2">
      <c r="A6" s="985"/>
      <c r="B6" s="988"/>
      <c r="C6" s="988"/>
      <c r="D6" s="991"/>
      <c r="E6" s="994"/>
      <c r="F6" s="997"/>
      <c r="G6" s="959"/>
      <c r="H6" s="1000"/>
      <c r="I6" s="964"/>
      <c r="J6" s="965"/>
      <c r="K6" s="965"/>
      <c r="L6" s="966"/>
      <c r="M6" s="971"/>
      <c r="N6" s="971"/>
      <c r="O6" s="1010" t="s">
        <v>3</v>
      </c>
      <c r="P6" s="1012" t="s">
        <v>121</v>
      </c>
      <c r="Q6" s="1013"/>
      <c r="R6" s="1014"/>
    </row>
    <row r="7" spans="1:19" ht="116.25" customHeight="1" thickBot="1" x14ac:dyDescent="0.25">
      <c r="A7" s="986"/>
      <c r="B7" s="989"/>
      <c r="C7" s="989"/>
      <c r="D7" s="992"/>
      <c r="E7" s="995"/>
      <c r="F7" s="998"/>
      <c r="G7" s="960"/>
      <c r="H7" s="1001"/>
      <c r="I7" s="967"/>
      <c r="J7" s="968"/>
      <c r="K7" s="968"/>
      <c r="L7" s="969"/>
      <c r="M7" s="972"/>
      <c r="N7" s="972"/>
      <c r="O7" s="1011"/>
      <c r="P7" s="2" t="s">
        <v>8</v>
      </c>
      <c r="Q7" s="2" t="s">
        <v>62</v>
      </c>
      <c r="R7" s="3" t="s">
        <v>78</v>
      </c>
    </row>
    <row r="8" spans="1:19" ht="13.5" thickBot="1" x14ac:dyDescent="0.25">
      <c r="A8" s="1015" t="s">
        <v>9</v>
      </c>
      <c r="B8" s="1016"/>
      <c r="C8" s="1016"/>
      <c r="D8" s="1016"/>
      <c r="E8" s="1016"/>
      <c r="F8" s="1016"/>
      <c r="G8" s="1016"/>
      <c r="H8" s="1016"/>
      <c r="I8" s="1016"/>
      <c r="J8" s="1016"/>
      <c r="K8" s="1016"/>
      <c r="L8" s="1016"/>
      <c r="M8" s="1016"/>
      <c r="N8" s="1016"/>
      <c r="O8" s="1016"/>
      <c r="P8" s="1016"/>
      <c r="Q8" s="1016"/>
      <c r="R8" s="1017"/>
    </row>
    <row r="9" spans="1:19" ht="13.5" thickBot="1" x14ac:dyDescent="0.25">
      <c r="A9" s="1018" t="s">
        <v>10</v>
      </c>
      <c r="B9" s="1019"/>
      <c r="C9" s="1019"/>
      <c r="D9" s="1019"/>
      <c r="E9" s="1019"/>
      <c r="F9" s="1019"/>
      <c r="G9" s="1019"/>
      <c r="H9" s="1019"/>
      <c r="I9" s="1019"/>
      <c r="J9" s="1019"/>
      <c r="K9" s="1019"/>
      <c r="L9" s="1019"/>
      <c r="M9" s="1019"/>
      <c r="N9" s="1019"/>
      <c r="O9" s="1019"/>
      <c r="P9" s="1019"/>
      <c r="Q9" s="1019"/>
      <c r="R9" s="1020"/>
    </row>
    <row r="10" spans="1:19" ht="14.25" customHeight="1" thickBot="1" x14ac:dyDescent="0.25">
      <c r="A10" s="127" t="s">
        <v>11</v>
      </c>
      <c r="B10" s="1021" t="s">
        <v>51</v>
      </c>
      <c r="C10" s="1021"/>
      <c r="D10" s="1021"/>
      <c r="E10" s="1021"/>
      <c r="F10" s="1021"/>
      <c r="G10" s="1021"/>
      <c r="H10" s="1021"/>
      <c r="I10" s="1022"/>
      <c r="J10" s="1022"/>
      <c r="K10" s="1022"/>
      <c r="L10" s="1022"/>
      <c r="M10" s="1022"/>
      <c r="N10" s="1022"/>
      <c r="O10" s="1022"/>
      <c r="P10" s="1022"/>
      <c r="Q10" s="1022"/>
      <c r="R10" s="1023"/>
    </row>
    <row r="11" spans="1:19" ht="13.5" thickBot="1" x14ac:dyDescent="0.25">
      <c r="A11" s="128" t="s">
        <v>11</v>
      </c>
      <c r="B11" s="557" t="s">
        <v>11</v>
      </c>
      <c r="C11" s="1024" t="s">
        <v>60</v>
      </c>
      <c r="D11" s="1025"/>
      <c r="E11" s="1025"/>
      <c r="F11" s="1025"/>
      <c r="G11" s="1025"/>
      <c r="H11" s="1025"/>
      <c r="I11" s="1025"/>
      <c r="J11" s="1025"/>
      <c r="K11" s="1025"/>
      <c r="L11" s="1025"/>
      <c r="M11" s="1025"/>
      <c r="N11" s="1025"/>
      <c r="O11" s="1025"/>
      <c r="P11" s="1025"/>
      <c r="Q11" s="1025"/>
      <c r="R11" s="1026"/>
    </row>
    <row r="12" spans="1:19" ht="32.25" customHeight="1" x14ac:dyDescent="0.2">
      <c r="A12" s="861" t="s">
        <v>11</v>
      </c>
      <c r="B12" s="863" t="s">
        <v>11</v>
      </c>
      <c r="C12" s="956" t="s">
        <v>11</v>
      </c>
      <c r="D12" s="1005" t="s">
        <v>53</v>
      </c>
      <c r="E12" s="979" t="s">
        <v>75</v>
      </c>
      <c r="F12" s="981" t="s">
        <v>12</v>
      </c>
      <c r="G12" s="22" t="s">
        <v>13</v>
      </c>
      <c r="H12" s="320">
        <f>150/3.4528*1000</f>
        <v>43443</v>
      </c>
      <c r="I12" s="224">
        <f>+J12+L12</f>
        <v>150</v>
      </c>
      <c r="J12" s="225">
        <v>150</v>
      </c>
      <c r="K12" s="226"/>
      <c r="L12" s="227"/>
      <c r="M12" s="353">
        <f>40/3.4528*1000</f>
        <v>11585</v>
      </c>
      <c r="N12" s="353">
        <f>40/3.4528*1000</f>
        <v>11585</v>
      </c>
      <c r="O12" s="875" t="s">
        <v>122</v>
      </c>
      <c r="P12" s="769">
        <v>1</v>
      </c>
      <c r="Q12" s="771">
        <v>4</v>
      </c>
      <c r="R12" s="773">
        <v>4</v>
      </c>
      <c r="S12" s="426"/>
    </row>
    <row r="13" spans="1:19" ht="13.5" thickBot="1" x14ac:dyDescent="0.25">
      <c r="A13" s="862"/>
      <c r="B13" s="864"/>
      <c r="C13" s="957"/>
      <c r="D13" s="1006"/>
      <c r="E13" s="980"/>
      <c r="F13" s="982"/>
      <c r="G13" s="37" t="s">
        <v>14</v>
      </c>
      <c r="H13" s="321">
        <f>H12</f>
        <v>43443</v>
      </c>
      <c r="I13" s="228">
        <f>+I12</f>
        <v>150</v>
      </c>
      <c r="J13" s="229">
        <f>+J12</f>
        <v>150</v>
      </c>
      <c r="K13" s="229"/>
      <c r="L13" s="230"/>
      <c r="M13" s="354">
        <f>+M12</f>
        <v>11585</v>
      </c>
      <c r="N13" s="343">
        <f>+N12</f>
        <v>11585</v>
      </c>
      <c r="O13" s="806"/>
      <c r="P13" s="70"/>
      <c r="Q13" s="86"/>
      <c r="R13" s="607"/>
    </row>
    <row r="14" spans="1:19" ht="41.25" customHeight="1" x14ac:dyDescent="0.2">
      <c r="A14" s="861" t="s">
        <v>11</v>
      </c>
      <c r="B14" s="863" t="s">
        <v>11</v>
      </c>
      <c r="C14" s="956" t="s">
        <v>15</v>
      </c>
      <c r="D14" s="1005" t="s">
        <v>63</v>
      </c>
      <c r="E14" s="979"/>
      <c r="F14" s="981" t="s">
        <v>12</v>
      </c>
      <c r="G14" s="26" t="s">
        <v>13</v>
      </c>
      <c r="H14" s="322">
        <f>10/3.4528*1000</f>
        <v>2896</v>
      </c>
      <c r="I14" s="224">
        <f>+J14+L14</f>
        <v>10</v>
      </c>
      <c r="J14" s="225">
        <v>10</v>
      </c>
      <c r="K14" s="226"/>
      <c r="L14" s="227"/>
      <c r="M14" s="355">
        <f>13/3.4528*1000</f>
        <v>3765</v>
      </c>
      <c r="N14" s="353">
        <f>13/3.4528*1000</f>
        <v>3765</v>
      </c>
      <c r="O14" s="71" t="s">
        <v>117</v>
      </c>
      <c r="P14" s="769">
        <v>10</v>
      </c>
      <c r="Q14" s="771">
        <v>12</v>
      </c>
      <c r="R14" s="773">
        <v>12</v>
      </c>
    </row>
    <row r="15" spans="1:19" ht="13.5" thickBot="1" x14ac:dyDescent="0.25">
      <c r="A15" s="862"/>
      <c r="B15" s="864"/>
      <c r="C15" s="957"/>
      <c r="D15" s="1006"/>
      <c r="E15" s="980"/>
      <c r="F15" s="982"/>
      <c r="G15" s="59" t="s">
        <v>14</v>
      </c>
      <c r="H15" s="323">
        <f>H14</f>
        <v>2896</v>
      </c>
      <c r="I15" s="231">
        <f>+I14</f>
        <v>10</v>
      </c>
      <c r="J15" s="232">
        <f>+J14</f>
        <v>10</v>
      </c>
      <c r="K15" s="232"/>
      <c r="L15" s="233"/>
      <c r="M15" s="356">
        <f>+M14</f>
        <v>3765</v>
      </c>
      <c r="N15" s="357">
        <f>+N14</f>
        <v>3765</v>
      </c>
      <c r="O15" s="87"/>
      <c r="P15" s="770"/>
      <c r="Q15" s="772"/>
      <c r="R15" s="774"/>
    </row>
    <row r="16" spans="1:19" ht="42" customHeight="1" x14ac:dyDescent="0.2">
      <c r="A16" s="861" t="s">
        <v>11</v>
      </c>
      <c r="B16" s="863" t="s">
        <v>11</v>
      </c>
      <c r="C16" s="956" t="s">
        <v>18</v>
      </c>
      <c r="D16" s="1005" t="s">
        <v>125</v>
      </c>
      <c r="E16" s="977"/>
      <c r="F16" s="871" t="s">
        <v>12</v>
      </c>
      <c r="G16" s="22" t="s">
        <v>13</v>
      </c>
      <c r="H16" s="320">
        <f>23/3.4528*1000</f>
        <v>6661</v>
      </c>
      <c r="I16" s="224">
        <f>+J16+L16</f>
        <v>23</v>
      </c>
      <c r="J16" s="225">
        <v>23</v>
      </c>
      <c r="K16" s="226"/>
      <c r="L16" s="227"/>
      <c r="M16" s="353">
        <f>30/3.4528*1000</f>
        <v>8689</v>
      </c>
      <c r="N16" s="358">
        <f>40/3.4528*1000</f>
        <v>11585</v>
      </c>
      <c r="O16" s="875" t="s">
        <v>118</v>
      </c>
      <c r="P16" s="1027">
        <v>3</v>
      </c>
      <c r="Q16" s="1029">
        <v>5</v>
      </c>
      <c r="R16" s="1031">
        <v>5</v>
      </c>
    </row>
    <row r="17" spans="1:21" ht="13.5" thickBot="1" x14ac:dyDescent="0.25">
      <c r="A17" s="862"/>
      <c r="B17" s="864"/>
      <c r="C17" s="957"/>
      <c r="D17" s="1006"/>
      <c r="E17" s="978"/>
      <c r="F17" s="872"/>
      <c r="G17" s="797" t="s">
        <v>14</v>
      </c>
      <c r="H17" s="324">
        <f>H16</f>
        <v>6661</v>
      </c>
      <c r="I17" s="228">
        <f>+J17+L17</f>
        <v>23</v>
      </c>
      <c r="J17" s="222">
        <f>+J16</f>
        <v>23</v>
      </c>
      <c r="K17" s="234"/>
      <c r="L17" s="230"/>
      <c r="M17" s="343">
        <f>+M16</f>
        <v>8689</v>
      </c>
      <c r="N17" s="343">
        <f>+N16</f>
        <v>11585</v>
      </c>
      <c r="O17" s="806"/>
      <c r="P17" s="1028"/>
      <c r="Q17" s="1030"/>
      <c r="R17" s="1032"/>
    </row>
    <row r="18" spans="1:21" ht="13.5" thickBot="1" x14ac:dyDescent="0.25">
      <c r="A18" s="129" t="s">
        <v>11</v>
      </c>
      <c r="B18" s="130" t="s">
        <v>11</v>
      </c>
      <c r="C18" s="955" t="s">
        <v>19</v>
      </c>
      <c r="D18" s="832"/>
      <c r="E18" s="832"/>
      <c r="F18" s="832"/>
      <c r="G18" s="973"/>
      <c r="H18" s="325">
        <f>H17+H15+H13</f>
        <v>53000</v>
      </c>
      <c r="I18" s="235">
        <f t="shared" ref="I18:M18" si="0">I17+I15+I13</f>
        <v>183</v>
      </c>
      <c r="J18" s="221">
        <f>J17+J15+J13</f>
        <v>183</v>
      </c>
      <c r="K18" s="236">
        <f t="shared" si="0"/>
        <v>0</v>
      </c>
      <c r="L18" s="237">
        <f t="shared" si="0"/>
        <v>0</v>
      </c>
      <c r="M18" s="359">
        <f t="shared" si="0"/>
        <v>24039</v>
      </c>
      <c r="N18" s="359">
        <f>N17+N15+N13</f>
        <v>26935</v>
      </c>
      <c r="O18" s="974"/>
      <c r="P18" s="975"/>
      <c r="Q18" s="975"/>
      <c r="R18" s="976"/>
    </row>
    <row r="19" spans="1:21" ht="13.5" thickBot="1" x14ac:dyDescent="0.25">
      <c r="A19" s="129" t="s">
        <v>11</v>
      </c>
      <c r="B19" s="131" t="s">
        <v>15</v>
      </c>
      <c r="C19" s="935" t="s">
        <v>50</v>
      </c>
      <c r="D19" s="936"/>
      <c r="E19" s="936"/>
      <c r="F19" s="936"/>
      <c r="G19" s="936"/>
      <c r="H19" s="936"/>
      <c r="I19" s="936"/>
      <c r="J19" s="936"/>
      <c r="K19" s="936"/>
      <c r="L19" s="936"/>
      <c r="M19" s="936"/>
      <c r="N19" s="936"/>
      <c r="O19" s="937"/>
      <c r="P19" s="937"/>
      <c r="Q19" s="937"/>
      <c r="R19" s="938"/>
    </row>
    <row r="20" spans="1:21" ht="12.75" customHeight="1" x14ac:dyDescent="0.2">
      <c r="A20" s="132" t="s">
        <v>11</v>
      </c>
      <c r="B20" s="766" t="s">
        <v>15</v>
      </c>
      <c r="C20" s="790" t="s">
        <v>11</v>
      </c>
      <c r="D20" s="950" t="s">
        <v>47</v>
      </c>
      <c r="E20" s="27"/>
      <c r="F20" s="36">
        <v>2</v>
      </c>
      <c r="G20" s="22" t="s">
        <v>13</v>
      </c>
      <c r="H20" s="320">
        <f>3316845+26183+7699</f>
        <v>3350727</v>
      </c>
      <c r="I20" s="637">
        <f>+J20+L20</f>
        <v>11246</v>
      </c>
      <c r="J20" s="638">
        <v>11046</v>
      </c>
      <c r="K20" s="638">
        <v>6648</v>
      </c>
      <c r="L20" s="639">
        <v>200</v>
      </c>
      <c r="M20" s="640">
        <f>11397.5/3.4528*1000</f>
        <v>3300944</v>
      </c>
      <c r="N20" s="627">
        <f>11147.5/3.4528*1000</f>
        <v>3228539</v>
      </c>
      <c r="O20" s="925" t="s">
        <v>20</v>
      </c>
      <c r="P20" s="48">
        <v>3500</v>
      </c>
      <c r="Q20" s="48">
        <v>3500</v>
      </c>
      <c r="R20" s="49">
        <v>3500</v>
      </c>
      <c r="S20" s="9"/>
    </row>
    <row r="21" spans="1:21" x14ac:dyDescent="0.2">
      <c r="A21" s="133"/>
      <c r="B21" s="134"/>
      <c r="C21" s="179"/>
      <c r="D21" s="951"/>
      <c r="E21" s="28"/>
      <c r="F21" s="29"/>
      <c r="G21" s="64" t="s">
        <v>21</v>
      </c>
      <c r="H21" s="800">
        <f>240443+25220+1473+14481</f>
        <v>281617</v>
      </c>
      <c r="I21" s="623">
        <f t="shared" ref="I21" si="1">+J21+L21</f>
        <v>770</v>
      </c>
      <c r="J21" s="238">
        <v>692</v>
      </c>
      <c r="K21" s="238"/>
      <c r="L21" s="239">
        <v>78</v>
      </c>
      <c r="M21" s="396">
        <f>770.1/3.4528*1000</f>
        <v>223036</v>
      </c>
      <c r="N21" s="360">
        <f>770.1/3.4528*1000</f>
        <v>223036</v>
      </c>
      <c r="O21" s="934"/>
      <c r="P21" s="88"/>
      <c r="Q21" s="88"/>
      <c r="R21" s="89"/>
      <c r="S21" s="25"/>
    </row>
    <row r="22" spans="1:21" ht="14.25" customHeight="1" x14ac:dyDescent="0.2">
      <c r="A22" s="133"/>
      <c r="B22" s="134"/>
      <c r="C22" s="179"/>
      <c r="D22" s="951"/>
      <c r="E22" s="28"/>
      <c r="F22" s="29"/>
      <c r="G22" s="592" t="s">
        <v>138</v>
      </c>
      <c r="H22" s="588">
        <v>68414</v>
      </c>
      <c r="I22" s="623"/>
      <c r="J22" s="238"/>
      <c r="K22" s="238"/>
      <c r="L22" s="622"/>
      <c r="M22" s="396"/>
      <c r="N22" s="360"/>
      <c r="O22" s="953" t="s">
        <v>124</v>
      </c>
      <c r="P22" s="90">
        <v>13.5</v>
      </c>
      <c r="Q22" s="166">
        <v>14</v>
      </c>
      <c r="R22" s="193">
        <v>14</v>
      </c>
      <c r="S22" s="25"/>
    </row>
    <row r="23" spans="1:21" x14ac:dyDescent="0.2">
      <c r="A23" s="133"/>
      <c r="B23" s="134"/>
      <c r="C23" s="179"/>
      <c r="D23" s="952"/>
      <c r="E23" s="28"/>
      <c r="F23" s="29"/>
      <c r="G23" s="23" t="s">
        <v>28</v>
      </c>
      <c r="H23" s="431">
        <v>22423</v>
      </c>
      <c r="I23" s="618"/>
      <c r="J23" s="619"/>
      <c r="K23" s="619"/>
      <c r="L23" s="620"/>
      <c r="M23" s="621"/>
      <c r="N23" s="361"/>
      <c r="O23" s="954"/>
      <c r="P23" s="88"/>
      <c r="Q23" s="88"/>
      <c r="R23" s="89"/>
      <c r="S23" s="25"/>
    </row>
    <row r="24" spans="1:21" ht="16.5" customHeight="1" x14ac:dyDescent="0.2">
      <c r="A24" s="133"/>
      <c r="B24" s="134"/>
      <c r="C24" s="179"/>
      <c r="D24" s="402" t="s">
        <v>55</v>
      </c>
      <c r="E24" s="28"/>
      <c r="F24" s="29"/>
      <c r="G24" s="4"/>
      <c r="H24" s="625"/>
      <c r="I24" s="4"/>
      <c r="J24" s="4"/>
      <c r="K24" s="4"/>
      <c r="L24" s="4"/>
      <c r="M24" s="4"/>
      <c r="N24" s="628"/>
      <c r="O24" s="195"/>
      <c r="P24" s="631"/>
      <c r="Q24" s="631"/>
      <c r="R24" s="632"/>
      <c r="S24" s="25"/>
    </row>
    <row r="25" spans="1:21" ht="16.5" customHeight="1" x14ac:dyDescent="0.2">
      <c r="A25" s="133"/>
      <c r="B25" s="134"/>
      <c r="C25" s="179"/>
      <c r="D25" s="402" t="s">
        <v>56</v>
      </c>
      <c r="E25" s="28"/>
      <c r="F25" s="29"/>
      <c r="G25" s="4"/>
      <c r="H25" s="625"/>
      <c r="I25" s="4"/>
      <c r="J25" s="4"/>
      <c r="K25" s="4"/>
      <c r="L25" s="4"/>
      <c r="M25" s="4"/>
      <c r="N25" s="628"/>
      <c r="O25" s="629"/>
      <c r="P25" s="93"/>
      <c r="Q25" s="93"/>
      <c r="R25" s="94"/>
      <c r="S25" s="9"/>
    </row>
    <row r="26" spans="1:21" ht="29.25" customHeight="1" x14ac:dyDescent="0.2">
      <c r="A26" s="133"/>
      <c r="B26" s="134"/>
      <c r="C26" s="179"/>
      <c r="D26" s="402" t="s">
        <v>57</v>
      </c>
      <c r="E26" s="28"/>
      <c r="F26" s="29"/>
      <c r="G26" s="4"/>
      <c r="H26" s="625"/>
      <c r="I26" s="642"/>
      <c r="J26" s="643"/>
      <c r="K26" s="643"/>
      <c r="L26" s="644"/>
      <c r="M26" s="645"/>
      <c r="N26" s="646"/>
      <c r="O26" s="630"/>
      <c r="P26" s="88"/>
      <c r="Q26" s="12"/>
      <c r="R26" s="94"/>
      <c r="S26" s="9"/>
    </row>
    <row r="27" spans="1:21" ht="27.75" customHeight="1" x14ac:dyDescent="0.2">
      <c r="A27" s="133"/>
      <c r="B27" s="134"/>
      <c r="C27" s="179"/>
      <c r="D27" s="402" t="s">
        <v>58</v>
      </c>
      <c r="E27" s="28"/>
      <c r="F27" s="29"/>
      <c r="G27" s="23"/>
      <c r="H27" s="431"/>
      <c r="I27" s="624"/>
      <c r="J27" s="240"/>
      <c r="K27" s="240"/>
      <c r="L27" s="241"/>
      <c r="M27" s="626"/>
      <c r="N27" s="361"/>
      <c r="O27" s="782" t="s">
        <v>102</v>
      </c>
      <c r="P27" s="166">
        <v>1</v>
      </c>
      <c r="Q27" s="90"/>
      <c r="R27" s="537"/>
      <c r="S27" s="9"/>
    </row>
    <row r="28" spans="1:21" ht="30" customHeight="1" x14ac:dyDescent="0.2">
      <c r="A28" s="133"/>
      <c r="B28" s="134"/>
      <c r="C28" s="179"/>
      <c r="D28" s="194" t="s">
        <v>92</v>
      </c>
      <c r="E28" s="187"/>
      <c r="F28" s="29"/>
      <c r="G28" s="23"/>
      <c r="H28" s="431"/>
      <c r="I28" s="624"/>
      <c r="J28" s="240"/>
      <c r="K28" s="240"/>
      <c r="L28" s="242"/>
      <c r="M28" s="626"/>
      <c r="N28" s="361"/>
      <c r="O28" s="403"/>
      <c r="P28" s="192"/>
      <c r="Q28" s="12"/>
      <c r="R28" s="94"/>
      <c r="S28" s="9"/>
    </row>
    <row r="29" spans="1:21" ht="30" customHeight="1" x14ac:dyDescent="0.2">
      <c r="A29" s="133"/>
      <c r="B29" s="134"/>
      <c r="C29" s="179"/>
      <c r="D29" s="948" t="s">
        <v>22</v>
      </c>
      <c r="E29" s="28"/>
      <c r="F29" s="29"/>
      <c r="G29" s="65"/>
      <c r="H29" s="439"/>
      <c r="I29" s="624"/>
      <c r="J29" s="240"/>
      <c r="K29" s="240"/>
      <c r="L29" s="241"/>
      <c r="M29" s="626"/>
      <c r="N29" s="361"/>
      <c r="O29" s="167" t="s">
        <v>111</v>
      </c>
      <c r="P29" s="162">
        <v>100</v>
      </c>
      <c r="Q29" s="535"/>
      <c r="R29" s="91"/>
    </row>
    <row r="30" spans="1:21" ht="40.5" customHeight="1" x14ac:dyDescent="0.2">
      <c r="A30" s="133"/>
      <c r="B30" s="134"/>
      <c r="C30" s="179"/>
      <c r="D30" s="949"/>
      <c r="E30" s="28"/>
      <c r="F30" s="29"/>
      <c r="G30" s="65"/>
      <c r="H30" s="439"/>
      <c r="I30" s="618"/>
      <c r="J30" s="240"/>
      <c r="K30" s="619"/>
      <c r="L30" s="241"/>
      <c r="M30" s="626"/>
      <c r="N30" s="361"/>
      <c r="O30" s="167" t="s">
        <v>145</v>
      </c>
      <c r="P30" s="162">
        <v>100</v>
      </c>
      <c r="Q30" s="535"/>
      <c r="R30" s="633"/>
    </row>
    <row r="31" spans="1:21" ht="26.25" thickBot="1" x14ac:dyDescent="0.25">
      <c r="A31" s="135"/>
      <c r="B31" s="767"/>
      <c r="C31" s="141"/>
      <c r="D31" s="868"/>
      <c r="E31" s="30"/>
      <c r="F31" s="31"/>
      <c r="G31" s="38" t="s">
        <v>14</v>
      </c>
      <c r="H31" s="376">
        <f>SUM(H20:H29)</f>
        <v>3723181</v>
      </c>
      <c r="I31" s="223">
        <f t="shared" ref="I31:L31" si="2">SUM(I21:I29)</f>
        <v>770</v>
      </c>
      <c r="J31" s="244">
        <f t="shared" si="2"/>
        <v>692</v>
      </c>
      <c r="K31" s="223">
        <f t="shared" si="2"/>
        <v>0</v>
      </c>
      <c r="L31" s="244">
        <f t="shared" si="2"/>
        <v>78</v>
      </c>
      <c r="M31" s="338">
        <f>SUM(M20:M29)</f>
        <v>3523980</v>
      </c>
      <c r="N31" s="324">
        <f>SUM(N20:N29)</f>
        <v>3451575</v>
      </c>
      <c r="O31" s="647" t="s">
        <v>144</v>
      </c>
      <c r="P31" s="648">
        <v>1</v>
      </c>
      <c r="Q31" s="616"/>
      <c r="R31" s="617"/>
      <c r="S31" s="9"/>
    </row>
    <row r="32" spans="1:21" ht="27.75" customHeight="1" x14ac:dyDescent="0.2">
      <c r="A32" s="136" t="s">
        <v>11</v>
      </c>
      <c r="B32" s="766" t="s">
        <v>15</v>
      </c>
      <c r="C32" s="137" t="s">
        <v>15</v>
      </c>
      <c r="D32" s="188" t="s">
        <v>23</v>
      </c>
      <c r="E32" s="921" t="s">
        <v>75</v>
      </c>
      <c r="F32" s="551" t="s">
        <v>12</v>
      </c>
      <c r="G32" s="22" t="s">
        <v>13</v>
      </c>
      <c r="H32" s="327">
        <f>1094.4/3.4528*1000+10000</f>
        <v>326960</v>
      </c>
      <c r="I32" s="418">
        <f>J32+L32</f>
        <v>194</v>
      </c>
      <c r="J32" s="419">
        <v>194</v>
      </c>
      <c r="K32" s="420"/>
      <c r="L32" s="421"/>
      <c r="M32" s="422">
        <f>1116/3.4528*1000</f>
        <v>323216</v>
      </c>
      <c r="N32" s="423">
        <f>1136/3.4528*1000</f>
        <v>329008</v>
      </c>
      <c r="O32" s="6" t="s">
        <v>73</v>
      </c>
      <c r="P32" s="7">
        <v>58</v>
      </c>
      <c r="Q32" s="7">
        <v>57</v>
      </c>
      <c r="R32" s="108">
        <v>57</v>
      </c>
      <c r="U32" s="4"/>
    </row>
    <row r="33" spans="1:29" ht="27.75" customHeight="1" x14ac:dyDescent="0.2">
      <c r="A33" s="138"/>
      <c r="B33" s="134"/>
      <c r="C33" s="139"/>
      <c r="D33" s="417" t="s">
        <v>131</v>
      </c>
      <c r="E33" s="922"/>
      <c r="F33" s="552"/>
      <c r="G33" s="23"/>
      <c r="H33" s="326"/>
      <c r="I33" s="243"/>
      <c r="J33" s="40"/>
      <c r="K33" s="406"/>
      <c r="L33" s="407"/>
      <c r="M33" s="408"/>
      <c r="N33" s="409"/>
      <c r="O33" s="8"/>
      <c r="P33" s="788"/>
      <c r="Q33" s="16"/>
      <c r="R33" s="553"/>
    </row>
    <row r="34" spans="1:29" ht="15.75" customHeight="1" x14ac:dyDescent="0.2">
      <c r="A34" s="138"/>
      <c r="B34" s="134"/>
      <c r="C34" s="139"/>
      <c r="D34" s="189" t="s">
        <v>127</v>
      </c>
      <c r="E34" s="922"/>
      <c r="F34" s="122"/>
      <c r="G34" s="23"/>
      <c r="H34" s="326"/>
      <c r="I34" s="243"/>
      <c r="J34" s="40"/>
      <c r="K34" s="248"/>
      <c r="L34" s="249"/>
      <c r="M34" s="364"/>
      <c r="N34" s="365"/>
      <c r="O34" s="195"/>
      <c r="P34" s="631"/>
      <c r="Q34" s="4"/>
      <c r="R34" s="196"/>
    </row>
    <row r="35" spans="1:29" ht="28.5" customHeight="1" x14ac:dyDescent="0.2">
      <c r="A35" s="138"/>
      <c r="B35" s="134"/>
      <c r="C35" s="139"/>
      <c r="D35" s="189" t="s">
        <v>126</v>
      </c>
      <c r="E35" s="922"/>
      <c r="F35" s="122"/>
      <c r="G35" s="23"/>
      <c r="H35" s="326"/>
      <c r="I35" s="243"/>
      <c r="J35" s="40"/>
      <c r="K35" s="250"/>
      <c r="L35" s="249"/>
      <c r="M35" s="364"/>
      <c r="N35" s="365"/>
      <c r="O35" s="8"/>
      <c r="P35" s="788"/>
      <c r="Q35" s="788"/>
      <c r="R35" s="553"/>
    </row>
    <row r="36" spans="1:29" ht="28.5" customHeight="1" x14ac:dyDescent="0.2">
      <c r="A36" s="138"/>
      <c r="B36" s="134"/>
      <c r="C36" s="139"/>
      <c r="D36" s="924" t="s">
        <v>76</v>
      </c>
      <c r="E36" s="55"/>
      <c r="F36" s="122"/>
      <c r="G36" s="23"/>
      <c r="H36" s="326"/>
      <c r="I36" s="243"/>
      <c r="J36" s="40"/>
      <c r="K36" s="248"/>
      <c r="L36" s="249"/>
      <c r="M36" s="364"/>
      <c r="N36" s="365"/>
      <c r="O36" s="8"/>
      <c r="P36" s="788"/>
      <c r="Q36" s="788"/>
      <c r="R36" s="553"/>
    </row>
    <row r="37" spans="1:29" ht="13.5" thickBot="1" x14ac:dyDescent="0.25">
      <c r="A37" s="140"/>
      <c r="B37" s="767"/>
      <c r="C37" s="141"/>
      <c r="D37" s="927"/>
      <c r="E37" s="67"/>
      <c r="F37" s="123"/>
      <c r="G37" s="39" t="s">
        <v>14</v>
      </c>
      <c r="H37" s="338">
        <f>SUM(H32:H36)</f>
        <v>326960</v>
      </c>
      <c r="I37" s="220">
        <f t="shared" ref="I37" si="3">+J37+L37</f>
        <v>194</v>
      </c>
      <c r="J37" s="244">
        <f>SUM(J32:J36)</f>
        <v>194</v>
      </c>
      <c r="K37" s="223"/>
      <c r="L37" s="230"/>
      <c r="M37" s="324">
        <f>SUM(M32:M36)</f>
        <v>323216</v>
      </c>
      <c r="N37" s="366">
        <f>SUM(N32:N36)</f>
        <v>329008</v>
      </c>
      <c r="O37" s="109"/>
      <c r="P37" s="529"/>
      <c r="Q37" s="530"/>
      <c r="R37" s="34"/>
    </row>
    <row r="38" spans="1:29" ht="31.5" customHeight="1" x14ac:dyDescent="0.2">
      <c r="A38" s="142" t="s">
        <v>11</v>
      </c>
      <c r="B38" s="134" t="s">
        <v>15</v>
      </c>
      <c r="C38" s="143" t="s">
        <v>18</v>
      </c>
      <c r="D38" s="923" t="s">
        <v>48</v>
      </c>
      <c r="E38" s="24"/>
      <c r="F38" s="551" t="s">
        <v>12</v>
      </c>
      <c r="G38" s="22" t="s">
        <v>13</v>
      </c>
      <c r="H38" s="327">
        <f>1344.7/3.4528*1000-100273</f>
        <v>289179</v>
      </c>
      <c r="I38" s="318">
        <f>+J38+L38</f>
        <v>1345</v>
      </c>
      <c r="J38" s="282">
        <v>1345</v>
      </c>
      <c r="K38" s="247"/>
      <c r="L38" s="227"/>
      <c r="M38" s="400">
        <f>1344.7/3.4528*1000</f>
        <v>389452</v>
      </c>
      <c r="N38" s="400">
        <f>1344.7/3.4528*1000</f>
        <v>389452</v>
      </c>
      <c r="O38" s="925" t="s">
        <v>61</v>
      </c>
      <c r="P38" s="649">
        <v>1454</v>
      </c>
      <c r="Q38" s="46">
        <v>1977</v>
      </c>
      <c r="R38" s="47">
        <v>1977</v>
      </c>
      <c r="AC38" s="4"/>
    </row>
    <row r="39" spans="1:29" ht="13.5" thickBot="1" x14ac:dyDescent="0.25">
      <c r="A39" s="142"/>
      <c r="B39" s="134"/>
      <c r="C39" s="143"/>
      <c r="D39" s="924"/>
      <c r="E39" s="24"/>
      <c r="F39" s="552"/>
      <c r="G39" s="37" t="s">
        <v>14</v>
      </c>
      <c r="H39" s="324">
        <f>H38</f>
        <v>289179</v>
      </c>
      <c r="I39" s="219">
        <f>+J39+L39</f>
        <v>1345</v>
      </c>
      <c r="J39" s="251">
        <f>+J38</f>
        <v>1345</v>
      </c>
      <c r="K39" s="252"/>
      <c r="L39" s="253"/>
      <c r="M39" s="324">
        <f>+M38</f>
        <v>389452</v>
      </c>
      <c r="N39" s="324">
        <f>+N38</f>
        <v>389452</v>
      </c>
      <c r="O39" s="926"/>
      <c r="P39" s="529"/>
      <c r="Q39" s="530"/>
      <c r="R39" s="34"/>
    </row>
    <row r="40" spans="1:29" ht="13.5" thickBot="1" x14ac:dyDescent="0.25">
      <c r="A40" s="129" t="s">
        <v>11</v>
      </c>
      <c r="B40" s="131" t="s">
        <v>15</v>
      </c>
      <c r="C40" s="955" t="s">
        <v>19</v>
      </c>
      <c r="D40" s="832"/>
      <c r="E40" s="832"/>
      <c r="F40" s="832"/>
      <c r="G40" s="832"/>
      <c r="H40" s="325">
        <f t="shared" ref="H40:N40" si="4">H39+H37+H31</f>
        <v>4339320</v>
      </c>
      <c r="I40" s="325">
        <f t="shared" si="4"/>
        <v>2309</v>
      </c>
      <c r="J40" s="325">
        <f t="shared" si="4"/>
        <v>2231</v>
      </c>
      <c r="K40" s="325">
        <f t="shared" si="4"/>
        <v>0</v>
      </c>
      <c r="L40" s="325">
        <f t="shared" si="4"/>
        <v>78</v>
      </c>
      <c r="M40" s="325">
        <f t="shared" si="4"/>
        <v>4236648</v>
      </c>
      <c r="N40" s="325">
        <f t="shared" si="4"/>
        <v>4170035</v>
      </c>
      <c r="O40" s="928"/>
      <c r="P40" s="929"/>
      <c r="Q40" s="929"/>
      <c r="R40" s="930"/>
    </row>
    <row r="41" spans="1:29" ht="13.5" thickBot="1" x14ac:dyDescent="0.25">
      <c r="A41" s="148" t="s">
        <v>11</v>
      </c>
      <c r="B41" s="149" t="s">
        <v>18</v>
      </c>
      <c r="C41" s="931" t="s">
        <v>26</v>
      </c>
      <c r="D41" s="931"/>
      <c r="E41" s="932"/>
      <c r="F41" s="932"/>
      <c r="G41" s="932"/>
      <c r="H41" s="932"/>
      <c r="I41" s="932"/>
      <c r="J41" s="932"/>
      <c r="K41" s="932"/>
      <c r="L41" s="932"/>
      <c r="M41" s="932"/>
      <c r="N41" s="932"/>
      <c r="O41" s="931"/>
      <c r="P41" s="931"/>
      <c r="Q41" s="931"/>
      <c r="R41" s="933"/>
    </row>
    <row r="42" spans="1:29" ht="17.25" customHeight="1" x14ac:dyDescent="0.2">
      <c r="A42" s="144" t="s">
        <v>11</v>
      </c>
      <c r="B42" s="560" t="s">
        <v>18</v>
      </c>
      <c r="C42" s="531" t="s">
        <v>11</v>
      </c>
      <c r="D42" s="199" t="s">
        <v>105</v>
      </c>
      <c r="E42" s="513"/>
      <c r="F42" s="786"/>
      <c r="G42" s="20"/>
      <c r="H42" s="329"/>
      <c r="I42" s="304"/>
      <c r="J42" s="292"/>
      <c r="K42" s="48"/>
      <c r="L42" s="254"/>
      <c r="M42" s="367"/>
      <c r="N42" s="474"/>
      <c r="O42" s="177"/>
      <c r="P42" s="177"/>
      <c r="Q42" s="171"/>
      <c r="R42" s="172"/>
    </row>
    <row r="43" spans="1:29" ht="40.5" customHeight="1" x14ac:dyDescent="0.2">
      <c r="A43" s="145"/>
      <c r="B43" s="562"/>
      <c r="C43" s="532"/>
      <c r="D43" s="209" t="s">
        <v>96</v>
      </c>
      <c r="E43" s="514"/>
      <c r="F43" s="787" t="s">
        <v>16</v>
      </c>
      <c r="G43" s="201" t="s">
        <v>13</v>
      </c>
      <c r="H43" s="330">
        <f>500/3.4528*1000-10353</f>
        <v>134457</v>
      </c>
      <c r="I43" s="305">
        <f>L43+J43</f>
        <v>500</v>
      </c>
      <c r="J43" s="293"/>
      <c r="K43" s="255"/>
      <c r="L43" s="256">
        <v>500</v>
      </c>
      <c r="M43" s="368">
        <f>1308/3.4528*1000</f>
        <v>378823</v>
      </c>
      <c r="N43" s="475">
        <f>2100/3.4528*1000</f>
        <v>608202</v>
      </c>
      <c r="O43" s="97" t="s">
        <v>93</v>
      </c>
      <c r="P43" s="92">
        <v>100</v>
      </c>
      <c r="Q43" s="173"/>
      <c r="R43" s="174"/>
      <c r="S43" s="426"/>
    </row>
    <row r="44" spans="1:29" ht="30" customHeight="1" x14ac:dyDescent="0.2">
      <c r="A44" s="449"/>
      <c r="B44" s="636"/>
      <c r="C44" s="520"/>
      <c r="D44" s="450"/>
      <c r="E44" s="521"/>
      <c r="F44" s="522"/>
      <c r="G44" s="201" t="s">
        <v>17</v>
      </c>
      <c r="H44" s="330">
        <f>600/3.4528*1000</f>
        <v>173772</v>
      </c>
      <c r="I44" s="305">
        <f>L44+J44</f>
        <v>600</v>
      </c>
      <c r="J44" s="293"/>
      <c r="K44" s="255"/>
      <c r="L44" s="256">
        <v>600</v>
      </c>
      <c r="M44" s="368"/>
      <c r="N44" s="475"/>
      <c r="O44" s="169" t="s">
        <v>94</v>
      </c>
      <c r="P44" s="168"/>
      <c r="Q44" s="170">
        <v>100</v>
      </c>
      <c r="R44" s="174"/>
      <c r="V44" s="4"/>
    </row>
    <row r="45" spans="1:29" ht="30" customHeight="1" x14ac:dyDescent="0.2">
      <c r="A45" s="145"/>
      <c r="B45" s="562"/>
      <c r="C45" s="532"/>
      <c r="D45" s="200"/>
      <c r="E45" s="514"/>
      <c r="F45" s="787"/>
      <c r="G45" s="448"/>
      <c r="H45" s="515"/>
      <c r="I45" s="307"/>
      <c r="J45" s="516"/>
      <c r="K45" s="517"/>
      <c r="L45" s="518"/>
      <c r="M45" s="373"/>
      <c r="N45" s="479"/>
      <c r="O45" s="169" t="s">
        <v>95</v>
      </c>
      <c r="P45" s="168"/>
      <c r="Q45" s="170">
        <v>100</v>
      </c>
      <c r="R45" s="519"/>
    </row>
    <row r="46" spans="1:29" ht="30.75" customHeight="1" x14ac:dyDescent="0.2">
      <c r="A46" s="145"/>
      <c r="B46" s="562"/>
      <c r="C46" s="532"/>
      <c r="D46" s="450"/>
      <c r="E46" s="514"/>
      <c r="F46" s="522"/>
      <c r="G46" s="540" t="s">
        <v>14</v>
      </c>
      <c r="H46" s="541">
        <f>SUM(H43:H45)</f>
        <v>308229</v>
      </c>
      <c r="I46" s="542">
        <f t="shared" ref="I46:N46" si="5">SUM(I42:I45)</f>
        <v>1100</v>
      </c>
      <c r="J46" s="543">
        <f t="shared" si="5"/>
        <v>0</v>
      </c>
      <c r="K46" s="544">
        <f t="shared" si="5"/>
        <v>0</v>
      </c>
      <c r="L46" s="545">
        <f t="shared" si="5"/>
        <v>1100</v>
      </c>
      <c r="M46" s="546">
        <f t="shared" si="5"/>
        <v>378823</v>
      </c>
      <c r="N46" s="547">
        <f t="shared" si="5"/>
        <v>608202</v>
      </c>
      <c r="O46" s="169" t="s">
        <v>101</v>
      </c>
      <c r="P46" s="168"/>
      <c r="Q46" s="170"/>
      <c r="R46" s="519">
        <v>100</v>
      </c>
    </row>
    <row r="47" spans="1:29" ht="20.25" customHeight="1" x14ac:dyDescent="0.2">
      <c r="A47" s="155"/>
      <c r="B47" s="564"/>
      <c r="C47" s="785"/>
      <c r="D47" s="944" t="s">
        <v>141</v>
      </c>
      <c r="E47" s="655"/>
      <c r="F47" s="946" t="s">
        <v>27</v>
      </c>
      <c r="G47" s="538" t="s">
        <v>13</v>
      </c>
      <c r="H47" s="525">
        <v>54557</v>
      </c>
      <c r="I47" s="307">
        <f>J47+L47</f>
        <v>500</v>
      </c>
      <c r="J47" s="295"/>
      <c r="K47" s="264"/>
      <c r="L47" s="539">
        <v>500</v>
      </c>
      <c r="M47" s="373">
        <v>284423</v>
      </c>
      <c r="N47" s="374"/>
      <c r="O47" s="939" t="s">
        <v>103</v>
      </c>
      <c r="P47" s="35">
        <v>10</v>
      </c>
      <c r="Q47" s="512">
        <v>100</v>
      </c>
      <c r="R47" s="553"/>
    </row>
    <row r="48" spans="1:29" ht="21" customHeight="1" x14ac:dyDescent="0.2">
      <c r="A48" s="151"/>
      <c r="B48" s="566"/>
      <c r="C48" s="152"/>
      <c r="D48" s="945"/>
      <c r="E48" s="198"/>
      <c r="F48" s="946"/>
      <c r="G48" s="204" t="s">
        <v>14</v>
      </c>
      <c r="H48" s="333">
        <f>H47</f>
        <v>54557</v>
      </c>
      <c r="I48" s="261">
        <f t="shared" ref="I48:M48" si="6">SUM(I47:I47)</f>
        <v>500</v>
      </c>
      <c r="J48" s="259">
        <f t="shared" si="6"/>
        <v>0</v>
      </c>
      <c r="K48" s="260">
        <f t="shared" si="6"/>
        <v>0</v>
      </c>
      <c r="L48" s="259">
        <f t="shared" si="6"/>
        <v>500</v>
      </c>
      <c r="M48" s="371">
        <f t="shared" si="6"/>
        <v>284423</v>
      </c>
      <c r="N48" s="478"/>
      <c r="O48" s="939"/>
      <c r="P48" s="753"/>
      <c r="Q48" s="788"/>
      <c r="R48" s="778"/>
    </row>
    <row r="49" spans="1:22" ht="15" customHeight="1" x14ac:dyDescent="0.2">
      <c r="A49" s="155"/>
      <c r="B49" s="564"/>
      <c r="C49" s="785"/>
      <c r="D49" s="803" t="s">
        <v>140</v>
      </c>
      <c r="E49" s="197"/>
      <c r="F49" s="946"/>
      <c r="G49" s="69" t="s">
        <v>13</v>
      </c>
      <c r="H49" s="523">
        <v>57924</v>
      </c>
      <c r="I49" s="484">
        <v>28962</v>
      </c>
      <c r="J49" s="484">
        <v>28962</v>
      </c>
      <c r="K49" s="484">
        <v>28962</v>
      </c>
      <c r="L49" s="524">
        <v>28962</v>
      </c>
      <c r="M49" s="375">
        <v>0</v>
      </c>
      <c r="N49" s="370"/>
      <c r="O49" s="805" t="s">
        <v>135</v>
      </c>
      <c r="P49" s="162">
        <v>60</v>
      </c>
      <c r="Q49" s="175">
        <v>100</v>
      </c>
      <c r="R49" s="176"/>
    </row>
    <row r="50" spans="1:22" x14ac:dyDescent="0.2">
      <c r="A50" s="155"/>
      <c r="B50" s="564"/>
      <c r="C50" s="785"/>
      <c r="D50" s="944"/>
      <c r="E50" s="197"/>
      <c r="F50" s="946"/>
      <c r="G50" s="511" t="s">
        <v>28</v>
      </c>
      <c r="H50" s="525">
        <v>115848</v>
      </c>
      <c r="I50" s="473">
        <v>115848</v>
      </c>
      <c r="J50" s="473">
        <v>115848</v>
      </c>
      <c r="K50" s="473">
        <v>115848</v>
      </c>
      <c r="L50" s="526">
        <v>115848</v>
      </c>
      <c r="M50" s="527">
        <v>115848</v>
      </c>
      <c r="N50" s="370"/>
      <c r="O50" s="939"/>
      <c r="P50" s="35"/>
      <c r="Q50" s="512"/>
      <c r="R50" s="553"/>
    </row>
    <row r="51" spans="1:22" x14ac:dyDescent="0.2">
      <c r="A51" s="151"/>
      <c r="B51" s="566"/>
      <c r="C51" s="152"/>
      <c r="D51" s="944"/>
      <c r="E51" s="198"/>
      <c r="F51" s="947"/>
      <c r="G51" s="204" t="s">
        <v>14</v>
      </c>
      <c r="H51" s="333">
        <f>SUM(H49:H50)</f>
        <v>173772</v>
      </c>
      <c r="I51" s="333">
        <f t="shared" ref="I51:M51" si="7">SUM(I49:I50)</f>
        <v>144810</v>
      </c>
      <c r="J51" s="333">
        <f t="shared" si="7"/>
        <v>144810</v>
      </c>
      <c r="K51" s="333">
        <f t="shared" si="7"/>
        <v>144810</v>
      </c>
      <c r="L51" s="333">
        <f t="shared" si="7"/>
        <v>144810</v>
      </c>
      <c r="M51" s="341">
        <f t="shared" si="7"/>
        <v>115848</v>
      </c>
      <c r="N51" s="478"/>
      <c r="O51" s="939"/>
      <c r="P51" s="788"/>
      <c r="Q51" s="788"/>
      <c r="R51" s="778"/>
    </row>
    <row r="52" spans="1:22" ht="13.5" thickBot="1" x14ac:dyDescent="0.25">
      <c r="A52" s="153"/>
      <c r="B52" s="569"/>
      <c r="C52" s="178"/>
      <c r="D52" s="509"/>
      <c r="E52" s="940" t="s">
        <v>112</v>
      </c>
      <c r="F52" s="941"/>
      <c r="G52" s="942"/>
      <c r="H52" s="334">
        <f t="shared" ref="H52:N52" si="8">H48+H46+H51</f>
        <v>536558</v>
      </c>
      <c r="I52" s="334">
        <f t="shared" si="8"/>
        <v>146410</v>
      </c>
      <c r="J52" s="334">
        <f t="shared" si="8"/>
        <v>144810</v>
      </c>
      <c r="K52" s="334">
        <f t="shared" si="8"/>
        <v>144810</v>
      </c>
      <c r="L52" s="334">
        <f t="shared" si="8"/>
        <v>146410</v>
      </c>
      <c r="M52" s="430">
        <f t="shared" si="8"/>
        <v>779094</v>
      </c>
      <c r="N52" s="334">
        <f t="shared" si="8"/>
        <v>608202</v>
      </c>
      <c r="O52" s="208"/>
      <c r="P52" s="205"/>
      <c r="Q52" s="206"/>
      <c r="R52" s="207"/>
      <c r="V52" s="4"/>
    </row>
    <row r="53" spans="1:22" ht="15.75" customHeight="1" x14ac:dyDescent="0.2">
      <c r="A53" s="155" t="s">
        <v>11</v>
      </c>
      <c r="B53" s="564" t="s">
        <v>18</v>
      </c>
      <c r="C53" s="785" t="s">
        <v>15</v>
      </c>
      <c r="D53" s="943" t="s">
        <v>91</v>
      </c>
      <c r="E53" s="180" t="s">
        <v>82</v>
      </c>
      <c r="F53" s="32" t="s">
        <v>27</v>
      </c>
      <c r="G53" s="45" t="s">
        <v>30</v>
      </c>
      <c r="H53" s="594">
        <v>435531</v>
      </c>
      <c r="I53" s="307"/>
      <c r="J53" s="295"/>
      <c r="K53" s="264"/>
      <c r="L53" s="265"/>
      <c r="M53" s="369">
        <v>1062789</v>
      </c>
      <c r="N53" s="374"/>
      <c r="O53" s="161" t="s">
        <v>142</v>
      </c>
      <c r="P53" s="595">
        <v>1</v>
      </c>
      <c r="Q53" s="580"/>
      <c r="R53" s="606"/>
      <c r="S53" s="426"/>
    </row>
    <row r="54" spans="1:22" ht="15.75" customHeight="1" x14ac:dyDescent="0.2">
      <c r="A54" s="155"/>
      <c r="B54" s="564"/>
      <c r="C54" s="785"/>
      <c r="D54" s="943"/>
      <c r="E54" s="180"/>
      <c r="F54" s="32"/>
      <c r="G54" s="592" t="s">
        <v>28</v>
      </c>
      <c r="H54" s="588">
        <v>320320</v>
      </c>
      <c r="I54" s="308">
        <f>J54+L54</f>
        <v>2397</v>
      </c>
      <c r="J54" s="296"/>
      <c r="K54" s="215"/>
      <c r="L54" s="266">
        <v>2397</v>
      </c>
      <c r="M54" s="596">
        <v>758804</v>
      </c>
      <c r="N54" s="508"/>
      <c r="O54" s="72" t="s">
        <v>87</v>
      </c>
      <c r="P54" s="73">
        <v>1</v>
      </c>
      <c r="Q54" s="73"/>
      <c r="R54" s="579"/>
      <c r="S54" s="426"/>
    </row>
    <row r="55" spans="1:22" ht="14.25" customHeight="1" x14ac:dyDescent="0.2">
      <c r="A55" s="151"/>
      <c r="B55" s="566"/>
      <c r="C55" s="152"/>
      <c r="D55" s="943"/>
      <c r="E55" s="917" t="s">
        <v>74</v>
      </c>
      <c r="F55" s="32"/>
      <c r="G55" s="62" t="s">
        <v>25</v>
      </c>
      <c r="H55" s="588">
        <v>0</v>
      </c>
      <c r="I55" s="309">
        <f>J55+L55</f>
        <v>9000</v>
      </c>
      <c r="J55" s="297"/>
      <c r="K55" s="267"/>
      <c r="L55" s="268">
        <v>9000</v>
      </c>
      <c r="M55" s="597">
        <v>11128592</v>
      </c>
      <c r="N55" s="481"/>
      <c r="O55" s="8" t="s">
        <v>88</v>
      </c>
      <c r="P55" s="788">
        <v>30</v>
      </c>
      <c r="Q55" s="16">
        <v>100</v>
      </c>
      <c r="R55" s="778"/>
      <c r="U55" s="4"/>
    </row>
    <row r="56" spans="1:22" x14ac:dyDescent="0.2">
      <c r="A56" s="151"/>
      <c r="B56" s="566"/>
      <c r="C56" s="152"/>
      <c r="D56" s="943"/>
      <c r="E56" s="918"/>
      <c r="F56" s="32"/>
      <c r="G56" s="592" t="s">
        <v>17</v>
      </c>
      <c r="H56" s="429">
        <v>10137</v>
      </c>
      <c r="I56" s="308"/>
      <c r="J56" s="589"/>
      <c r="K56" s="589"/>
      <c r="L56" s="266"/>
      <c r="M56" s="597">
        <v>434430</v>
      </c>
      <c r="N56" s="369"/>
      <c r="O56" s="934"/>
      <c r="P56" s="913"/>
      <c r="Q56" s="913"/>
      <c r="R56" s="920"/>
      <c r="S56" s="17"/>
    </row>
    <row r="57" spans="1:22" ht="13.5" thickBot="1" x14ac:dyDescent="0.25">
      <c r="A57" s="153"/>
      <c r="B57" s="569"/>
      <c r="C57" s="154"/>
      <c r="D57" s="874"/>
      <c r="E57" s="919"/>
      <c r="F57" s="66"/>
      <c r="G57" s="63" t="s">
        <v>14</v>
      </c>
      <c r="H57" s="384">
        <f>SUM(H53:H56)</f>
        <v>765988</v>
      </c>
      <c r="I57" s="270">
        <f>SUM(I53:I55)</f>
        <v>11397</v>
      </c>
      <c r="J57" s="262">
        <f>SUM(J53:J55)</f>
        <v>0</v>
      </c>
      <c r="K57" s="263">
        <f>SUM(K53:K55)</f>
        <v>0</v>
      </c>
      <c r="L57" s="269">
        <f>SUM(L53:L55)</f>
        <v>11397</v>
      </c>
      <c r="M57" s="376">
        <f>SUM(M53:M56)</f>
        <v>13384615</v>
      </c>
      <c r="N57" s="376"/>
      <c r="O57" s="934"/>
      <c r="P57" s="913"/>
      <c r="Q57" s="913"/>
      <c r="R57" s="920"/>
    </row>
    <row r="58" spans="1:22" ht="24" customHeight="1" x14ac:dyDescent="0.2">
      <c r="A58" s="144" t="s">
        <v>11</v>
      </c>
      <c r="B58" s="560" t="s">
        <v>18</v>
      </c>
      <c r="C58" s="897" t="s">
        <v>18</v>
      </c>
      <c r="D58" s="900" t="s">
        <v>128</v>
      </c>
      <c r="E58" s="427" t="s">
        <v>82</v>
      </c>
      <c r="F58" s="903" t="s">
        <v>27</v>
      </c>
      <c r="G58" s="60" t="s">
        <v>13</v>
      </c>
      <c r="H58" s="337">
        <f>57/3.4528*1000</f>
        <v>16508</v>
      </c>
      <c r="I58" s="310">
        <f>L58+J58</f>
        <v>57</v>
      </c>
      <c r="J58" s="298"/>
      <c r="K58" s="271"/>
      <c r="L58" s="272">
        <v>57</v>
      </c>
      <c r="M58" s="377">
        <f>672.5/3.4528*1000</f>
        <v>194769</v>
      </c>
      <c r="N58" s="378"/>
      <c r="O58" s="598" t="s">
        <v>142</v>
      </c>
      <c r="P58" s="582"/>
      <c r="Q58" s="599">
        <v>1</v>
      </c>
      <c r="R58" s="583"/>
    </row>
    <row r="59" spans="1:22" ht="24" customHeight="1" x14ac:dyDescent="0.2">
      <c r="A59" s="145"/>
      <c r="B59" s="562"/>
      <c r="C59" s="898"/>
      <c r="D59" s="901"/>
      <c r="E59" s="914" t="s">
        <v>85</v>
      </c>
      <c r="F59" s="904"/>
      <c r="G59" s="68" t="s">
        <v>25</v>
      </c>
      <c r="H59" s="335"/>
      <c r="I59" s="305"/>
      <c r="J59" s="293"/>
      <c r="K59" s="255"/>
      <c r="L59" s="256"/>
      <c r="M59" s="369"/>
      <c r="N59" s="369">
        <f>3105.8/3.4528*1000</f>
        <v>899502</v>
      </c>
      <c r="O59" s="72" t="s">
        <v>87</v>
      </c>
      <c r="P59" s="79"/>
      <c r="Q59" s="73">
        <v>1</v>
      </c>
      <c r="R59" s="78"/>
    </row>
    <row r="60" spans="1:22" ht="24" customHeight="1" x14ac:dyDescent="0.2">
      <c r="A60" s="145"/>
      <c r="B60" s="562"/>
      <c r="C60" s="898"/>
      <c r="D60" s="901"/>
      <c r="E60" s="915"/>
      <c r="F60" s="904"/>
      <c r="G60" s="61" t="s">
        <v>83</v>
      </c>
      <c r="H60" s="328"/>
      <c r="I60" s="305"/>
      <c r="J60" s="294"/>
      <c r="K60" s="257"/>
      <c r="L60" s="258"/>
      <c r="M60" s="373"/>
      <c r="N60" s="369">
        <f>274.1/3.4528*1000</f>
        <v>79385</v>
      </c>
      <c r="O60" s="782" t="s">
        <v>90</v>
      </c>
      <c r="P60" s="82"/>
      <c r="Q60" s="74"/>
      <c r="R60" s="83">
        <v>25</v>
      </c>
    </row>
    <row r="61" spans="1:22" ht="22.5" customHeight="1" x14ac:dyDescent="0.2">
      <c r="A61" s="145"/>
      <c r="B61" s="562"/>
      <c r="C61" s="898"/>
      <c r="D61" s="901"/>
      <c r="E61" s="915"/>
      <c r="F61" s="904"/>
      <c r="G61" s="77" t="s">
        <v>30</v>
      </c>
      <c r="H61" s="326"/>
      <c r="I61" s="306"/>
      <c r="J61" s="299"/>
      <c r="K61" s="273"/>
      <c r="L61" s="274"/>
      <c r="M61" s="379"/>
      <c r="N61" s="380">
        <f>274.1/3.4528*1000</f>
        <v>79385</v>
      </c>
      <c r="O61" s="783"/>
      <c r="P61" s="84"/>
      <c r="Q61" s="401"/>
      <c r="R61" s="85"/>
    </row>
    <row r="62" spans="1:22" ht="13.5" thickBot="1" x14ac:dyDescent="0.25">
      <c r="A62" s="146"/>
      <c r="B62" s="573"/>
      <c r="C62" s="899"/>
      <c r="D62" s="902"/>
      <c r="E62" s="916"/>
      <c r="F62" s="905"/>
      <c r="G62" s="797" t="s">
        <v>14</v>
      </c>
      <c r="H62" s="338">
        <f>SUM(H58:H61)</f>
        <v>16508</v>
      </c>
      <c r="I62" s="245">
        <f>SUM(I58:I60)</f>
        <v>57</v>
      </c>
      <c r="J62" s="300">
        <f t="shared" ref="J62:L62" si="9">SUM(J58:J60)</f>
        <v>0</v>
      </c>
      <c r="K62" s="244">
        <f t="shared" si="9"/>
        <v>0</v>
      </c>
      <c r="L62" s="275">
        <f t="shared" si="9"/>
        <v>57</v>
      </c>
      <c r="M62" s="324">
        <f>SUM(M58:M60)</f>
        <v>194769</v>
      </c>
      <c r="N62" s="381">
        <f>SUM(N58:N61)</f>
        <v>1058272</v>
      </c>
      <c r="O62" s="783"/>
      <c r="P62" s="84"/>
      <c r="Q62" s="401"/>
      <c r="R62" s="85"/>
    </row>
    <row r="63" spans="1:22" ht="15.75" customHeight="1" x14ac:dyDescent="0.2">
      <c r="A63" s="144" t="s">
        <v>11</v>
      </c>
      <c r="B63" s="560" t="s">
        <v>18</v>
      </c>
      <c r="C63" s="897" t="s">
        <v>24</v>
      </c>
      <c r="D63" s="900" t="s">
        <v>81</v>
      </c>
      <c r="E63" s="427" t="s">
        <v>82</v>
      </c>
      <c r="F63" s="903" t="s">
        <v>27</v>
      </c>
      <c r="G63" s="60" t="s">
        <v>13</v>
      </c>
      <c r="H63" s="337">
        <f>30/3.4528*1000</f>
        <v>8689</v>
      </c>
      <c r="I63" s="310">
        <f>L63+J63</f>
        <v>30</v>
      </c>
      <c r="J63" s="298"/>
      <c r="K63" s="271"/>
      <c r="L63" s="272">
        <v>30</v>
      </c>
      <c r="M63" s="377">
        <f>121.2/3.4528*1000</f>
        <v>35102</v>
      </c>
      <c r="N63" s="585"/>
      <c r="O63" s="600" t="s">
        <v>142</v>
      </c>
      <c r="P63" s="599">
        <v>1</v>
      </c>
      <c r="Q63" s="582"/>
      <c r="R63" s="583"/>
    </row>
    <row r="64" spans="1:22" ht="15.75" customHeight="1" x14ac:dyDescent="0.2">
      <c r="A64" s="145"/>
      <c r="B64" s="562"/>
      <c r="C64" s="898"/>
      <c r="D64" s="901"/>
      <c r="E64" s="906" t="s">
        <v>84</v>
      </c>
      <c r="F64" s="904"/>
      <c r="G64" s="68" t="s">
        <v>25</v>
      </c>
      <c r="H64" s="335"/>
      <c r="I64" s="305"/>
      <c r="J64" s="293"/>
      <c r="K64" s="255"/>
      <c r="L64" s="256"/>
      <c r="M64" s="369"/>
      <c r="N64" s="586">
        <f>250.7/3.4528*1000</f>
        <v>72608</v>
      </c>
      <c r="O64" s="601" t="s">
        <v>143</v>
      </c>
      <c r="P64" s="602">
        <v>1</v>
      </c>
      <c r="Q64" s="581"/>
      <c r="R64" s="587"/>
    </row>
    <row r="65" spans="1:25" ht="15.75" customHeight="1" x14ac:dyDescent="0.2">
      <c r="A65" s="145"/>
      <c r="B65" s="562"/>
      <c r="C65" s="898"/>
      <c r="D65" s="901"/>
      <c r="E65" s="907"/>
      <c r="F65" s="904"/>
      <c r="G65" s="61" t="s">
        <v>83</v>
      </c>
      <c r="H65" s="328"/>
      <c r="I65" s="305"/>
      <c r="J65" s="294"/>
      <c r="K65" s="257"/>
      <c r="L65" s="258"/>
      <c r="M65" s="373"/>
      <c r="N65" s="586">
        <f>411.5/3.4528*1000</f>
        <v>119179</v>
      </c>
      <c r="O65" s="80" t="s">
        <v>87</v>
      </c>
      <c r="P65" s="81"/>
      <c r="Q65" s="81">
        <v>1</v>
      </c>
      <c r="R65" s="428"/>
    </row>
    <row r="66" spans="1:25" ht="15.75" customHeight="1" x14ac:dyDescent="0.2">
      <c r="A66" s="145"/>
      <c r="B66" s="562"/>
      <c r="C66" s="898"/>
      <c r="D66" s="901"/>
      <c r="E66" s="907"/>
      <c r="F66" s="904"/>
      <c r="G66" s="77" t="s">
        <v>30</v>
      </c>
      <c r="H66" s="326"/>
      <c r="I66" s="306"/>
      <c r="J66" s="299"/>
      <c r="K66" s="273"/>
      <c r="L66" s="274"/>
      <c r="M66" s="379"/>
      <c r="N66" s="380">
        <f>100/3.4528*1000</f>
        <v>28962</v>
      </c>
      <c r="O66" s="584" t="s">
        <v>89</v>
      </c>
      <c r="P66" s="13"/>
      <c r="Q66" s="14"/>
      <c r="R66" s="778">
        <v>25</v>
      </c>
    </row>
    <row r="67" spans="1:25" ht="13.5" thickBot="1" x14ac:dyDescent="0.25">
      <c r="A67" s="146"/>
      <c r="B67" s="573"/>
      <c r="C67" s="899"/>
      <c r="D67" s="902"/>
      <c r="E67" s="908"/>
      <c r="F67" s="905"/>
      <c r="G67" s="797" t="s">
        <v>14</v>
      </c>
      <c r="H67" s="338">
        <f>SUM(H63:H66)</f>
        <v>8689</v>
      </c>
      <c r="I67" s="245">
        <f>SUM(I63:I65)</f>
        <v>30</v>
      </c>
      <c r="J67" s="300">
        <f t="shared" ref="J67:L67" si="10">SUM(J63:J65)</f>
        <v>0</v>
      </c>
      <c r="K67" s="244">
        <f t="shared" si="10"/>
        <v>0</v>
      </c>
      <c r="L67" s="275">
        <f t="shared" si="10"/>
        <v>30</v>
      </c>
      <c r="M67" s="324">
        <f>SUM(M63:M65)</f>
        <v>35102</v>
      </c>
      <c r="N67" s="338">
        <f>SUM(N63:N66)</f>
        <v>220749</v>
      </c>
      <c r="O67" s="550"/>
      <c r="P67" s="5"/>
      <c r="Q67" s="15"/>
      <c r="R67" s="549"/>
    </row>
    <row r="68" spans="1:25" ht="42.75" customHeight="1" x14ac:dyDescent="0.2">
      <c r="A68" s="155" t="s">
        <v>11</v>
      </c>
      <c r="B68" s="564" t="s">
        <v>18</v>
      </c>
      <c r="C68" s="785" t="s">
        <v>46</v>
      </c>
      <c r="D68" s="909" t="s">
        <v>99</v>
      </c>
      <c r="E68" s="911" t="s">
        <v>98</v>
      </c>
      <c r="F68" s="53" t="s">
        <v>12</v>
      </c>
      <c r="G68" s="33" t="s">
        <v>13</v>
      </c>
      <c r="H68" s="339">
        <f>20/3.4528*1000</f>
        <v>5792</v>
      </c>
      <c r="I68" s="311">
        <f>+J68+L68</f>
        <v>20</v>
      </c>
      <c r="J68" s="301">
        <v>20</v>
      </c>
      <c r="K68" s="276"/>
      <c r="L68" s="277"/>
      <c r="M68" s="382">
        <f>20/3.4528*1000</f>
        <v>5792</v>
      </c>
      <c r="N68" s="382"/>
      <c r="O68" s="161" t="s">
        <v>100</v>
      </c>
      <c r="P68" s="165"/>
      <c r="Q68" s="11">
        <v>1</v>
      </c>
      <c r="R68" s="160"/>
    </row>
    <row r="69" spans="1:25" ht="13.5" thickBot="1" x14ac:dyDescent="0.25">
      <c r="A69" s="151"/>
      <c r="B69" s="566"/>
      <c r="C69" s="152"/>
      <c r="D69" s="910"/>
      <c r="E69" s="912"/>
      <c r="F69" s="53"/>
      <c r="G69" s="63" t="s">
        <v>14</v>
      </c>
      <c r="H69" s="336">
        <f>H68</f>
        <v>5792</v>
      </c>
      <c r="I69" s="270">
        <f>I68</f>
        <v>20</v>
      </c>
      <c r="J69" s="262">
        <f t="shared" ref="J69" si="11">J68</f>
        <v>20</v>
      </c>
      <c r="K69" s="263"/>
      <c r="L69" s="269"/>
      <c r="M69" s="372">
        <f>M68</f>
        <v>5792</v>
      </c>
      <c r="N69" s="372"/>
      <c r="O69" s="163"/>
      <c r="P69" s="164"/>
      <c r="Q69" s="529"/>
      <c r="R69" s="549"/>
    </row>
    <row r="70" spans="1:25" ht="41.25" customHeight="1" x14ac:dyDescent="0.2">
      <c r="A70" s="150" t="s">
        <v>11</v>
      </c>
      <c r="B70" s="575" t="s">
        <v>18</v>
      </c>
      <c r="C70" s="784" t="s">
        <v>97</v>
      </c>
      <c r="D70" s="190" t="s">
        <v>29</v>
      </c>
      <c r="E70" s="56"/>
      <c r="F70" s="52" t="s">
        <v>16</v>
      </c>
      <c r="G70" s="432" t="s">
        <v>13</v>
      </c>
      <c r="H70" s="342">
        <f>81296-125-88-713</f>
        <v>80370</v>
      </c>
      <c r="I70" s="433">
        <f>J70+L70</f>
        <v>251</v>
      </c>
      <c r="J70" s="434">
        <v>251</v>
      </c>
      <c r="K70" s="435"/>
      <c r="L70" s="436"/>
      <c r="M70" s="378"/>
      <c r="N70" s="437"/>
      <c r="O70" s="10"/>
      <c r="P70" s="7"/>
      <c r="Q70" s="18"/>
      <c r="R70" s="606"/>
    </row>
    <row r="71" spans="1:25" ht="30" customHeight="1" x14ac:dyDescent="0.2">
      <c r="A71" s="151"/>
      <c r="B71" s="566"/>
      <c r="C71" s="152"/>
      <c r="D71" s="780" t="s">
        <v>129</v>
      </c>
      <c r="E71" s="57"/>
      <c r="F71" s="53"/>
      <c r="G71" s="65"/>
      <c r="H71" s="439"/>
      <c r="I71" s="445"/>
      <c r="J71" s="446"/>
      <c r="K71" s="40"/>
      <c r="L71" s="407"/>
      <c r="M71" s="447"/>
      <c r="N71" s="444"/>
      <c r="O71" s="124" t="s">
        <v>110</v>
      </c>
      <c r="P71" s="125">
        <v>100</v>
      </c>
      <c r="Q71" s="126"/>
      <c r="R71" s="112"/>
    </row>
    <row r="72" spans="1:25" ht="30.75" customHeight="1" x14ac:dyDescent="0.2">
      <c r="A72" s="151"/>
      <c r="B72" s="566"/>
      <c r="C72" s="152"/>
      <c r="D72" s="191" t="s">
        <v>79</v>
      </c>
      <c r="E72" s="57"/>
      <c r="F72" s="53"/>
      <c r="G72" s="438"/>
      <c r="H72" s="439"/>
      <c r="I72" s="440"/>
      <c r="J72" s="441"/>
      <c r="K72" s="442"/>
      <c r="L72" s="443"/>
      <c r="M72" s="444"/>
      <c r="N72" s="444"/>
      <c r="O72" s="98" t="s">
        <v>109</v>
      </c>
      <c r="P72" s="75">
        <v>100</v>
      </c>
      <c r="Q72" s="110"/>
      <c r="R72" s="111"/>
      <c r="V72" s="4"/>
    </row>
    <row r="73" spans="1:25" ht="55.5" customHeight="1" x14ac:dyDescent="0.2">
      <c r="A73" s="151"/>
      <c r="B73" s="566"/>
      <c r="C73" s="152"/>
      <c r="D73" s="781" t="s">
        <v>80</v>
      </c>
      <c r="E73" s="57"/>
      <c r="F73" s="53"/>
      <c r="G73" s="65"/>
      <c r="H73" s="439"/>
      <c r="I73" s="440"/>
      <c r="J73" s="507"/>
      <c r="K73" s="442"/>
      <c r="L73" s="443"/>
      <c r="M73" s="444"/>
      <c r="N73" s="444"/>
      <c r="O73" s="779" t="s">
        <v>108</v>
      </c>
      <c r="P73" s="506">
        <v>100</v>
      </c>
      <c r="Q73" s="104"/>
      <c r="R73" s="778"/>
      <c r="T73" s="4"/>
    </row>
    <row r="74" spans="1:25" ht="18" customHeight="1" x14ac:dyDescent="0.2">
      <c r="A74" s="151"/>
      <c r="B74" s="566"/>
      <c r="C74" s="152"/>
      <c r="D74" s="803" t="s">
        <v>133</v>
      </c>
      <c r="E74" s="57"/>
      <c r="F74" s="53"/>
      <c r="G74" s="438"/>
      <c r="H74" s="439"/>
      <c r="I74" s="440"/>
      <c r="J74" s="507"/>
      <c r="K74" s="442"/>
      <c r="L74" s="443"/>
      <c r="M74" s="444"/>
      <c r="N74" s="444"/>
      <c r="O74" s="805" t="s">
        <v>134</v>
      </c>
      <c r="P74" s="506">
        <v>100</v>
      </c>
      <c r="Q74" s="634"/>
      <c r="R74" s="635"/>
    </row>
    <row r="75" spans="1:25" ht="13.5" thickBot="1" x14ac:dyDescent="0.25">
      <c r="A75" s="151"/>
      <c r="B75" s="566"/>
      <c r="C75" s="152"/>
      <c r="D75" s="804"/>
      <c r="E75" s="58"/>
      <c r="F75" s="54"/>
      <c r="G75" s="44" t="s">
        <v>14</v>
      </c>
      <c r="H75" s="341">
        <f>SUM(H70:H73)</f>
        <v>80370</v>
      </c>
      <c r="I75" s="261">
        <f>J75+L75</f>
        <v>251</v>
      </c>
      <c r="J75" s="302">
        <f>SUM(J70:J73)</f>
        <v>251</v>
      </c>
      <c r="K75" s="260"/>
      <c r="L75" s="278"/>
      <c r="M75" s="371">
        <f>SUM(M71:M73)</f>
        <v>0</v>
      </c>
      <c r="N75" s="371">
        <f>SUM(N71:N73)</f>
        <v>0</v>
      </c>
      <c r="O75" s="806"/>
      <c r="P75" s="650"/>
      <c r="Q75" s="104"/>
      <c r="R75" s="778"/>
    </row>
    <row r="76" spans="1:25" ht="30.75" customHeight="1" x14ac:dyDescent="0.2">
      <c r="A76" s="136" t="s">
        <v>11</v>
      </c>
      <c r="B76" s="863" t="s">
        <v>18</v>
      </c>
      <c r="C76" s="880" t="s">
        <v>104</v>
      </c>
      <c r="D76" s="882" t="s">
        <v>106</v>
      </c>
      <c r="E76" s="884"/>
      <c r="F76" s="886" t="s">
        <v>12</v>
      </c>
      <c r="G76" s="217" t="s">
        <v>13</v>
      </c>
      <c r="H76" s="340">
        <f>100/3.4528*1000</f>
        <v>28962</v>
      </c>
      <c r="I76" s="410">
        <f>J76+L76</f>
        <v>100</v>
      </c>
      <c r="J76" s="280"/>
      <c r="K76" s="280"/>
      <c r="L76" s="411">
        <v>100</v>
      </c>
      <c r="M76" s="412">
        <v>0</v>
      </c>
      <c r="N76" s="413">
        <f>10/3.4528*1000</f>
        <v>2896</v>
      </c>
      <c r="O76" s="888" t="s">
        <v>107</v>
      </c>
      <c r="P76" s="186">
        <v>100</v>
      </c>
      <c r="Q76" s="181"/>
      <c r="R76" s="182"/>
      <c r="S76" s="183"/>
    </row>
    <row r="77" spans="1:25" ht="13.5" thickBot="1" x14ac:dyDescent="0.25">
      <c r="A77" s="140"/>
      <c r="B77" s="864"/>
      <c r="C77" s="881"/>
      <c r="D77" s="883"/>
      <c r="E77" s="885"/>
      <c r="F77" s="887"/>
      <c r="G77" s="313" t="s">
        <v>14</v>
      </c>
      <c r="H77" s="343">
        <f>H76</f>
        <v>28962</v>
      </c>
      <c r="I77" s="414">
        <f t="shared" ref="I77:N77" si="12">SUM(I76:I76)</f>
        <v>100</v>
      </c>
      <c r="J77" s="415"/>
      <c r="K77" s="415"/>
      <c r="L77" s="416">
        <f t="shared" si="12"/>
        <v>100</v>
      </c>
      <c r="M77" s="343">
        <f t="shared" si="12"/>
        <v>0</v>
      </c>
      <c r="N77" s="343">
        <f t="shared" si="12"/>
        <v>2896</v>
      </c>
      <c r="O77" s="889"/>
      <c r="P77" s="184"/>
      <c r="Q77" s="184"/>
      <c r="R77" s="185"/>
      <c r="S77" s="183"/>
      <c r="Y77" s="4"/>
    </row>
    <row r="78" spans="1:25" ht="13.5" thickBot="1" x14ac:dyDescent="0.25">
      <c r="A78" s="129" t="s">
        <v>11</v>
      </c>
      <c r="B78" s="147" t="s">
        <v>18</v>
      </c>
      <c r="C78" s="832" t="s">
        <v>19</v>
      </c>
      <c r="D78" s="832"/>
      <c r="E78" s="832"/>
      <c r="F78" s="832"/>
      <c r="G78" s="832"/>
      <c r="H78" s="325">
        <f>H75+H69+H67+H62+H57+H52+H77</f>
        <v>1442867</v>
      </c>
      <c r="I78" s="312">
        <f>I75+I69+I62+I67+I57+I52</f>
        <v>158165</v>
      </c>
      <c r="J78" s="303">
        <f>J75+J69+J62+J67+J57+J52</f>
        <v>145081</v>
      </c>
      <c r="K78" s="279">
        <f>K75+K69+K62+K67+K57+K52</f>
        <v>144810</v>
      </c>
      <c r="L78" s="279">
        <f>L75+L69+L62+L67+L57+L52</f>
        <v>157894</v>
      </c>
      <c r="M78" s="383">
        <f>M75+M69+M62+M67+M57+M52</f>
        <v>14399372</v>
      </c>
      <c r="N78" s="383">
        <f>N75+N69+N62+N67+N57+N52+N77</f>
        <v>1890119</v>
      </c>
      <c r="O78" s="890"/>
      <c r="P78" s="891"/>
      <c r="Q78" s="891"/>
      <c r="R78" s="892"/>
    </row>
    <row r="79" spans="1:25" ht="13.5" thickBot="1" x14ac:dyDescent="0.25">
      <c r="A79" s="156" t="s">
        <v>11</v>
      </c>
      <c r="B79" s="147" t="s">
        <v>24</v>
      </c>
      <c r="C79" s="893" t="s">
        <v>52</v>
      </c>
      <c r="D79" s="893"/>
      <c r="E79" s="893"/>
      <c r="F79" s="893"/>
      <c r="G79" s="893"/>
      <c r="H79" s="894"/>
      <c r="I79" s="894"/>
      <c r="J79" s="894"/>
      <c r="K79" s="894"/>
      <c r="L79" s="894"/>
      <c r="M79" s="893"/>
      <c r="N79" s="893"/>
      <c r="O79" s="893"/>
      <c r="P79" s="895"/>
      <c r="Q79" s="895"/>
      <c r="R79" s="896"/>
    </row>
    <row r="80" spans="1:25" ht="29.25" customHeight="1" x14ac:dyDescent="0.2">
      <c r="A80" s="136" t="s">
        <v>11</v>
      </c>
      <c r="B80" s="766" t="s">
        <v>24</v>
      </c>
      <c r="C80" s="137" t="s">
        <v>11</v>
      </c>
      <c r="D80" s="873" t="s">
        <v>49</v>
      </c>
      <c r="E80" s="19"/>
      <c r="F80" s="776" t="s">
        <v>12</v>
      </c>
      <c r="G80" s="216" t="s">
        <v>13</v>
      </c>
      <c r="H80" s="342">
        <f>2314.3/3.4528*1000</f>
        <v>670268</v>
      </c>
      <c r="I80" s="314">
        <f>+J80+L80</f>
        <v>2314</v>
      </c>
      <c r="J80" s="280">
        <f>2114.3+200</f>
        <v>2314</v>
      </c>
      <c r="K80" s="246"/>
      <c r="L80" s="227"/>
      <c r="M80" s="362">
        <f>1300/3.4528*1000</f>
        <v>376506</v>
      </c>
      <c r="N80" s="363">
        <f>1300/3.4528*1000</f>
        <v>376506</v>
      </c>
      <c r="O80" s="875" t="s">
        <v>119</v>
      </c>
      <c r="P80" s="769">
        <v>8</v>
      </c>
      <c r="Q80" s="876">
        <v>8</v>
      </c>
      <c r="R80" s="878">
        <v>8</v>
      </c>
    </row>
    <row r="81" spans="1:19" ht="13.5" thickBot="1" x14ac:dyDescent="0.25">
      <c r="A81" s="140"/>
      <c r="B81" s="767"/>
      <c r="C81" s="141"/>
      <c r="D81" s="874"/>
      <c r="E81" s="404"/>
      <c r="F81" s="777"/>
      <c r="G81" s="405" t="s">
        <v>14</v>
      </c>
      <c r="H81" s="384">
        <f>H80</f>
        <v>670268</v>
      </c>
      <c r="I81" s="315">
        <f>+I80</f>
        <v>2314</v>
      </c>
      <c r="J81" s="229">
        <f>+J80</f>
        <v>2314</v>
      </c>
      <c r="K81" s="229"/>
      <c r="L81" s="281"/>
      <c r="M81" s="384">
        <f>M80</f>
        <v>376506</v>
      </c>
      <c r="N81" s="336">
        <f>N80</f>
        <v>376506</v>
      </c>
      <c r="O81" s="806"/>
      <c r="P81" s="770"/>
      <c r="Q81" s="877"/>
      <c r="R81" s="879"/>
    </row>
    <row r="82" spans="1:19" ht="42" customHeight="1" x14ac:dyDescent="0.2">
      <c r="A82" s="861" t="s">
        <v>11</v>
      </c>
      <c r="B82" s="863" t="s">
        <v>24</v>
      </c>
      <c r="C82" s="865" t="s">
        <v>15</v>
      </c>
      <c r="D82" s="867" t="s">
        <v>31</v>
      </c>
      <c r="E82" s="869"/>
      <c r="F82" s="871" t="s">
        <v>12</v>
      </c>
      <c r="G82" s="103" t="s">
        <v>13</v>
      </c>
      <c r="H82" s="320">
        <f>50/3.4528*1000</f>
        <v>14481</v>
      </c>
      <c r="I82" s="316">
        <f>+J82+L82</f>
        <v>50</v>
      </c>
      <c r="J82" s="282">
        <v>50</v>
      </c>
      <c r="K82" s="282"/>
      <c r="L82" s="283"/>
      <c r="M82" s="362">
        <f>50/3.4528*1000</f>
        <v>14481</v>
      </c>
      <c r="N82" s="362">
        <f>50/3.4528*1000</f>
        <v>14481</v>
      </c>
      <c r="O82" s="768" t="s">
        <v>120</v>
      </c>
      <c r="P82" s="769">
        <v>20</v>
      </c>
      <c r="Q82" s="791">
        <v>25</v>
      </c>
      <c r="R82" s="105">
        <v>25</v>
      </c>
    </row>
    <row r="83" spans="1:19" ht="13.5" thickBot="1" x14ac:dyDescent="0.25">
      <c r="A83" s="862"/>
      <c r="B83" s="864"/>
      <c r="C83" s="866"/>
      <c r="D83" s="868"/>
      <c r="E83" s="870"/>
      <c r="F83" s="872"/>
      <c r="G83" s="39" t="s">
        <v>14</v>
      </c>
      <c r="H83" s="324">
        <f>H82</f>
        <v>14481</v>
      </c>
      <c r="I83" s="300">
        <f>+I82</f>
        <v>50</v>
      </c>
      <c r="J83" s="244">
        <f>+J82</f>
        <v>50</v>
      </c>
      <c r="K83" s="244"/>
      <c r="L83" s="230"/>
      <c r="M83" s="384">
        <f>SUM(M82:M82)</f>
        <v>14481</v>
      </c>
      <c r="N83" s="385">
        <f>SUM(N82:N82)</f>
        <v>14481</v>
      </c>
      <c r="O83" s="106"/>
      <c r="P83" s="107"/>
      <c r="Q83" s="50"/>
      <c r="R83" s="51"/>
    </row>
    <row r="84" spans="1:19" ht="13.5" thickBot="1" x14ac:dyDescent="0.25">
      <c r="A84" s="129" t="s">
        <v>11</v>
      </c>
      <c r="B84" s="147" t="s">
        <v>24</v>
      </c>
      <c r="C84" s="832" t="s">
        <v>19</v>
      </c>
      <c r="D84" s="832"/>
      <c r="E84" s="832"/>
      <c r="F84" s="832"/>
      <c r="G84" s="832"/>
      <c r="H84" s="325">
        <f>H83+H81</f>
        <v>684749</v>
      </c>
      <c r="I84" s="221">
        <f>I81+I83+I77</f>
        <v>2464</v>
      </c>
      <c r="J84" s="284">
        <f>J81+J83+J77</f>
        <v>2364</v>
      </c>
      <c r="K84" s="284">
        <f>K81+K83+K77</f>
        <v>0</v>
      </c>
      <c r="L84" s="284">
        <f>L81+L83+L77</f>
        <v>100</v>
      </c>
      <c r="M84" s="386">
        <f>M81+M83</f>
        <v>390987</v>
      </c>
      <c r="N84" s="386">
        <f>N81+N83</f>
        <v>390987</v>
      </c>
      <c r="O84" s="113"/>
      <c r="P84" s="114"/>
      <c r="Q84" s="114"/>
      <c r="R84" s="115"/>
    </row>
    <row r="85" spans="1:19" ht="13.5" thickBot="1" x14ac:dyDescent="0.25">
      <c r="A85" s="129" t="s">
        <v>11</v>
      </c>
      <c r="B85" s="833" t="s">
        <v>32</v>
      </c>
      <c r="C85" s="834"/>
      <c r="D85" s="834"/>
      <c r="E85" s="834"/>
      <c r="F85" s="834"/>
      <c r="G85" s="834"/>
      <c r="H85" s="344">
        <f>H84+H78+H40+H18</f>
        <v>6519936</v>
      </c>
      <c r="I85" s="286">
        <f>+J85+L85</f>
        <v>307931</v>
      </c>
      <c r="J85" s="285">
        <f>+J18+J40+J84+J78</f>
        <v>149859</v>
      </c>
      <c r="K85" s="286">
        <f>+K18+K40+K84</f>
        <v>0</v>
      </c>
      <c r="L85" s="287">
        <f>+L18+L40+L84+L78</f>
        <v>158072</v>
      </c>
      <c r="M85" s="387">
        <f>+M18+M40+M84+M78</f>
        <v>19051046</v>
      </c>
      <c r="N85" s="387">
        <f>+N18+N40+N84+N78</f>
        <v>6478076</v>
      </c>
      <c r="O85" s="116"/>
      <c r="P85" s="117"/>
      <c r="Q85" s="117"/>
      <c r="R85" s="118"/>
    </row>
    <row r="86" spans="1:19" ht="13.5" thickBot="1" x14ac:dyDescent="0.25">
      <c r="A86" s="157" t="s">
        <v>33</v>
      </c>
      <c r="B86" s="835" t="s">
        <v>34</v>
      </c>
      <c r="C86" s="836"/>
      <c r="D86" s="836"/>
      <c r="E86" s="836"/>
      <c r="F86" s="836"/>
      <c r="G86" s="836"/>
      <c r="H86" s="345">
        <f>H85</f>
        <v>6519936</v>
      </c>
      <c r="I86" s="289">
        <f>+I85</f>
        <v>307931</v>
      </c>
      <c r="J86" s="288">
        <f>+J85</f>
        <v>149859</v>
      </c>
      <c r="K86" s="289">
        <f>+K85</f>
        <v>0</v>
      </c>
      <c r="L86" s="290">
        <f>+L85</f>
        <v>158072</v>
      </c>
      <c r="M86" s="388">
        <f>M85</f>
        <v>19051046</v>
      </c>
      <c r="N86" s="388">
        <f>N85</f>
        <v>6478076</v>
      </c>
      <c r="O86" s="119"/>
      <c r="P86" s="120"/>
      <c r="Q86" s="120"/>
      <c r="R86" s="121"/>
    </row>
    <row r="87" spans="1:19" x14ac:dyDescent="0.2">
      <c r="A87" s="210"/>
      <c r="B87" s="578"/>
      <c r="C87" s="211"/>
      <c r="D87" s="211"/>
      <c r="E87" s="211"/>
      <c r="F87" s="211"/>
      <c r="G87" s="211"/>
      <c r="H87" s="346"/>
      <c r="I87" s="291"/>
      <c r="J87" s="291"/>
      <c r="K87" s="291"/>
      <c r="L87" s="291"/>
      <c r="M87" s="389"/>
      <c r="N87" s="389"/>
      <c r="O87" s="212"/>
      <c r="P87" s="213"/>
      <c r="Q87" s="213"/>
      <c r="R87" s="213"/>
      <c r="S87" s="214"/>
    </row>
    <row r="88" spans="1:19" ht="15" thickBot="1" x14ac:dyDescent="0.25">
      <c r="A88" s="158"/>
      <c r="B88" s="775"/>
      <c r="C88" s="159"/>
      <c r="D88" s="837" t="s">
        <v>35</v>
      </c>
      <c r="E88" s="837"/>
      <c r="F88" s="837"/>
      <c r="G88" s="837"/>
      <c r="H88" s="837"/>
      <c r="I88" s="837"/>
      <c r="J88" s="837"/>
      <c r="K88" s="837"/>
      <c r="L88" s="837"/>
      <c r="M88" s="837"/>
      <c r="N88" s="837"/>
      <c r="O88" s="99"/>
      <c r="P88" s="95"/>
      <c r="Q88" s="95"/>
      <c r="R88" s="95"/>
    </row>
    <row r="89" spans="1:19" ht="36.75" thickBot="1" x14ac:dyDescent="0.25">
      <c r="A89" s="847" t="s">
        <v>36</v>
      </c>
      <c r="B89" s="848"/>
      <c r="C89" s="848"/>
      <c r="D89" s="848"/>
      <c r="E89" s="848"/>
      <c r="F89" s="848"/>
      <c r="G89" s="849"/>
      <c r="H89" s="347" t="s">
        <v>114</v>
      </c>
      <c r="I89" s="838" t="s">
        <v>114</v>
      </c>
      <c r="J89" s="839"/>
      <c r="K89" s="839"/>
      <c r="L89" s="840"/>
      <c r="M89" s="390" t="s">
        <v>115</v>
      </c>
      <c r="N89" s="391" t="s">
        <v>116</v>
      </c>
      <c r="O89" s="21"/>
      <c r="P89" s="789"/>
      <c r="Q89" s="857"/>
      <c r="R89" s="857"/>
    </row>
    <row r="90" spans="1:19" x14ac:dyDescent="0.2">
      <c r="A90" s="844" t="s">
        <v>37</v>
      </c>
      <c r="B90" s="845"/>
      <c r="C90" s="845"/>
      <c r="D90" s="845"/>
      <c r="E90" s="845"/>
      <c r="F90" s="845"/>
      <c r="G90" s="846"/>
      <c r="H90" s="348">
        <f ca="1">SUM(H91:H95)</f>
        <v>6336027</v>
      </c>
      <c r="I90" s="858">
        <f>SUM(I91:L95)</f>
        <v>164767</v>
      </c>
      <c r="J90" s="859"/>
      <c r="K90" s="859"/>
      <c r="L90" s="860"/>
      <c r="M90" s="392">
        <f>SUM(M91:M95)</f>
        <v>7488024</v>
      </c>
      <c r="N90" s="393">
        <f>SUM(N91:N95)</f>
        <v>5307402</v>
      </c>
      <c r="O90" s="100"/>
      <c r="P90" s="795"/>
      <c r="Q90" s="828"/>
      <c r="R90" s="828"/>
    </row>
    <row r="91" spans="1:19" x14ac:dyDescent="0.2">
      <c r="A91" s="841" t="s">
        <v>38</v>
      </c>
      <c r="B91" s="842"/>
      <c r="C91" s="842"/>
      <c r="D91" s="842"/>
      <c r="E91" s="842"/>
      <c r="F91" s="842"/>
      <c r="G91" s="843"/>
      <c r="H91" s="349">
        <f ca="1">SUMIF(G12:H82,"sb",H12:H82)</f>
        <v>5091874</v>
      </c>
      <c r="I91" s="829">
        <f>SUMIF(G12:G83,"sb",I12:I83)</f>
        <v>45752</v>
      </c>
      <c r="J91" s="830"/>
      <c r="K91" s="830"/>
      <c r="L91" s="831"/>
      <c r="M91" s="394">
        <f>SUMIF(G12:G83,"sb",M12:M83)</f>
        <v>5327547</v>
      </c>
      <c r="N91" s="395">
        <f>SUMIF(G12:G83,"sb",N12:N83)</f>
        <v>4976019</v>
      </c>
      <c r="O91" s="102"/>
      <c r="P91" s="796"/>
      <c r="Q91" s="816"/>
      <c r="R91" s="816"/>
    </row>
    <row r="92" spans="1:19" ht="12.75" customHeight="1" x14ac:dyDescent="0.2">
      <c r="A92" s="819" t="s">
        <v>39</v>
      </c>
      <c r="B92" s="820"/>
      <c r="C92" s="820"/>
      <c r="D92" s="820"/>
      <c r="E92" s="820"/>
      <c r="F92" s="820"/>
      <c r="G92" s="821"/>
      <c r="H92" s="350">
        <f>SUMIF(G12:G82,"sb(sp)",H12:H82)</f>
        <v>281617</v>
      </c>
      <c r="I92" s="813">
        <f>SUMIF(G12:G81,"sb(sp)",I12:I81)</f>
        <v>770</v>
      </c>
      <c r="J92" s="814"/>
      <c r="K92" s="814"/>
      <c r="L92" s="815"/>
      <c r="M92" s="396">
        <f>SUMIF(G18:G81,G21,M18:M81)</f>
        <v>223036</v>
      </c>
      <c r="N92" s="360">
        <f>SUMIF(G18:G81,G21,N18:N81)</f>
        <v>223036</v>
      </c>
      <c r="O92" s="102"/>
      <c r="P92" s="796"/>
      <c r="Q92" s="816"/>
      <c r="R92" s="816"/>
    </row>
    <row r="93" spans="1:19" ht="12.75" customHeight="1" x14ac:dyDescent="0.2">
      <c r="A93" s="825" t="s">
        <v>139</v>
      </c>
      <c r="B93" s="826"/>
      <c r="C93" s="826"/>
      <c r="D93" s="826"/>
      <c r="E93" s="826"/>
      <c r="F93" s="826"/>
      <c r="G93" s="827"/>
      <c r="H93" s="350">
        <f>SUMIF(G12:G82,"SB(SPL)",H12:H82)</f>
        <v>68414</v>
      </c>
      <c r="I93" s="792"/>
      <c r="J93" s="793"/>
      <c r="K93" s="793"/>
      <c r="L93" s="793"/>
      <c r="M93" s="396"/>
      <c r="N93" s="360"/>
      <c r="O93" s="102"/>
      <c r="P93" s="796"/>
      <c r="Q93" s="796"/>
      <c r="R93" s="796"/>
    </row>
    <row r="94" spans="1:19" x14ac:dyDescent="0.2">
      <c r="A94" s="819" t="s">
        <v>40</v>
      </c>
      <c r="B94" s="820"/>
      <c r="C94" s="820"/>
      <c r="D94" s="820"/>
      <c r="E94" s="820"/>
      <c r="F94" s="820"/>
      <c r="G94" s="821"/>
      <c r="H94" s="350">
        <f>SUMIF(G12:G82,"sb(p)",H12:H82)</f>
        <v>435531</v>
      </c>
      <c r="I94" s="817">
        <f>SUMIF(G12:G81,"sb(p)",I12:I81)</f>
        <v>0</v>
      </c>
      <c r="J94" s="818"/>
      <c r="K94" s="818"/>
      <c r="L94" s="818"/>
      <c r="M94" s="397">
        <f>SUMIF(G12:G81,"sb(p)",M12:M81)</f>
        <v>1062789</v>
      </c>
      <c r="N94" s="368">
        <f>SUMIF(G18:G81,"sb(p)",N18:N81)</f>
        <v>108347</v>
      </c>
      <c r="O94" s="102"/>
      <c r="P94" s="796"/>
      <c r="Q94" s="816"/>
      <c r="R94" s="816"/>
    </row>
    <row r="95" spans="1:19" ht="16.5" customHeight="1" x14ac:dyDescent="0.2">
      <c r="A95" s="819" t="s">
        <v>41</v>
      </c>
      <c r="B95" s="820"/>
      <c r="C95" s="820"/>
      <c r="D95" s="820"/>
      <c r="E95" s="820"/>
      <c r="F95" s="820"/>
      <c r="G95" s="821"/>
      <c r="H95" s="350">
        <f>SUMIF(G12:G82,"sb(vb)",H12:H82)</f>
        <v>458591</v>
      </c>
      <c r="I95" s="807">
        <f>SUMIF(G12:G81,"sb(vb)",I12:I81)</f>
        <v>118245</v>
      </c>
      <c r="J95" s="808"/>
      <c r="K95" s="808"/>
      <c r="L95" s="809"/>
      <c r="M95" s="397">
        <f>SUMIF(G18:G81,G54,M18:M81)</f>
        <v>874652</v>
      </c>
      <c r="N95" s="368">
        <f>SUMIF(G18:G81,"sb(vb)",N18:N81)</f>
        <v>0</v>
      </c>
      <c r="O95" s="102"/>
      <c r="P95" s="796"/>
      <c r="Q95" s="796"/>
      <c r="R95" s="796"/>
    </row>
    <row r="96" spans="1:19" x14ac:dyDescent="0.2">
      <c r="A96" s="822" t="s">
        <v>42</v>
      </c>
      <c r="B96" s="823"/>
      <c r="C96" s="823"/>
      <c r="D96" s="823"/>
      <c r="E96" s="823"/>
      <c r="F96" s="823"/>
      <c r="G96" s="824"/>
      <c r="H96" s="351">
        <f>SUM(H97:H99)</f>
        <v>183909</v>
      </c>
      <c r="I96" s="810">
        <f>SUM(I97:L99)</f>
        <v>9600</v>
      </c>
      <c r="J96" s="811"/>
      <c r="K96" s="811"/>
      <c r="L96" s="812"/>
      <c r="M96" s="398">
        <f>SUM(M97:M99)</f>
        <v>11563022</v>
      </c>
      <c r="N96" s="399">
        <f>SUM(N97:N99)</f>
        <v>1170674</v>
      </c>
      <c r="O96" s="100"/>
      <c r="P96" s="795"/>
      <c r="Q96" s="828"/>
      <c r="R96" s="828"/>
    </row>
    <row r="97" spans="1:18" x14ac:dyDescent="0.2">
      <c r="A97" s="841" t="s">
        <v>43</v>
      </c>
      <c r="B97" s="842"/>
      <c r="C97" s="842"/>
      <c r="D97" s="842"/>
      <c r="E97" s="842"/>
      <c r="F97" s="842"/>
      <c r="G97" s="843"/>
      <c r="H97" s="349">
        <f>SUMIF(G12:G82,"es",H12:H82)</f>
        <v>0</v>
      </c>
      <c r="I97" s="813">
        <f>SUMIF(G12:G81,"es",I12:I81)</f>
        <v>9000</v>
      </c>
      <c r="J97" s="814"/>
      <c r="K97" s="814"/>
      <c r="L97" s="815"/>
      <c r="M97" s="396">
        <f>SUMIF(G18:G81,"es",M18:M81)</f>
        <v>11128592</v>
      </c>
      <c r="N97" s="360">
        <f>SUMIF(G18:G81,"es",N18:N81)</f>
        <v>972110</v>
      </c>
      <c r="O97" s="102"/>
      <c r="P97" s="796"/>
      <c r="Q97" s="816"/>
      <c r="R97" s="816"/>
    </row>
    <row r="98" spans="1:18" x14ac:dyDescent="0.2">
      <c r="A98" s="841" t="s">
        <v>86</v>
      </c>
      <c r="B98" s="842"/>
      <c r="C98" s="842"/>
      <c r="D98" s="842"/>
      <c r="E98" s="842"/>
      <c r="F98" s="842"/>
      <c r="G98" s="843"/>
      <c r="H98" s="349">
        <f>SUMIF(G12:G82,"lrvb",H12:H82)</f>
        <v>0</v>
      </c>
      <c r="I98" s="813"/>
      <c r="J98" s="814"/>
      <c r="K98" s="814"/>
      <c r="L98" s="815"/>
      <c r="M98" s="396"/>
      <c r="N98" s="360">
        <f>SUMIF(G12:G81,"lrvb",N12:N81)</f>
        <v>198564</v>
      </c>
      <c r="O98" s="102"/>
      <c r="P98" s="796"/>
      <c r="Q98" s="796"/>
      <c r="R98" s="796"/>
    </row>
    <row r="99" spans="1:18" x14ac:dyDescent="0.2">
      <c r="A99" s="841" t="s">
        <v>44</v>
      </c>
      <c r="B99" s="842"/>
      <c r="C99" s="842"/>
      <c r="D99" s="842"/>
      <c r="E99" s="842"/>
      <c r="F99" s="842"/>
      <c r="G99" s="843"/>
      <c r="H99" s="349">
        <f>SUMIF(G12:G82,"kt",H12:H82)</f>
        <v>183909</v>
      </c>
      <c r="I99" s="813">
        <f>SUMIF(G12:G81,"kt",I12:I81)</f>
        <v>600</v>
      </c>
      <c r="J99" s="814"/>
      <c r="K99" s="814"/>
      <c r="L99" s="815"/>
      <c r="M99" s="396">
        <f>SUMIF(G12:G81,"kt",M12:M81)</f>
        <v>434430</v>
      </c>
      <c r="N99" s="360">
        <f>SUMIF(G18:G81,"kt",N18:N81)</f>
        <v>0</v>
      </c>
      <c r="O99" s="102"/>
      <c r="P99" s="796"/>
      <c r="Q99" s="796"/>
      <c r="R99" s="796"/>
    </row>
    <row r="100" spans="1:18" ht="13.5" thickBot="1" x14ac:dyDescent="0.25">
      <c r="A100" s="854" t="s">
        <v>14</v>
      </c>
      <c r="B100" s="855"/>
      <c r="C100" s="855"/>
      <c r="D100" s="855"/>
      <c r="E100" s="855"/>
      <c r="F100" s="855"/>
      <c r="G100" s="856"/>
      <c r="H100" s="352">
        <f ca="1">H96+H90</f>
        <v>6519936</v>
      </c>
      <c r="I100" s="850">
        <f>+I90+I96</f>
        <v>174367</v>
      </c>
      <c r="J100" s="851"/>
      <c r="K100" s="851"/>
      <c r="L100" s="852"/>
      <c r="M100" s="336">
        <f>M96+M90</f>
        <v>19051046</v>
      </c>
      <c r="N100" s="384">
        <f>N96+N90</f>
        <v>6478076</v>
      </c>
      <c r="O100" s="101"/>
      <c r="P100" s="794"/>
      <c r="Q100" s="853"/>
      <c r="R100" s="853"/>
    </row>
    <row r="102" spans="1:18" x14ac:dyDescent="0.2">
      <c r="O102" s="317"/>
    </row>
    <row r="114" spans="8:14" x14ac:dyDescent="0.2">
      <c r="H114" s="1"/>
      <c r="I114" s="1"/>
      <c r="J114" s="1"/>
      <c r="K114" s="1"/>
      <c r="L114" s="1"/>
      <c r="M114" s="1"/>
      <c r="N114" s="1"/>
    </row>
    <row r="115" spans="8:14" x14ac:dyDescent="0.2">
      <c r="H115" s="1"/>
      <c r="I115" s="1"/>
      <c r="J115" s="1"/>
      <c r="K115" s="1"/>
      <c r="L115" s="1"/>
      <c r="M115" s="1"/>
      <c r="N115" s="1"/>
    </row>
  </sheetData>
  <mergeCells count="137">
    <mergeCell ref="A16:A17"/>
    <mergeCell ref="B16:B17"/>
    <mergeCell ref="D16:D17"/>
    <mergeCell ref="O5:R5"/>
    <mergeCell ref="O6:O7"/>
    <mergeCell ref="P6:R6"/>
    <mergeCell ref="A8:R8"/>
    <mergeCell ref="A9:R9"/>
    <mergeCell ref="B10:R10"/>
    <mergeCell ref="C11:R11"/>
    <mergeCell ref="A12:A13"/>
    <mergeCell ref="B12:B13"/>
    <mergeCell ref="C12:C13"/>
    <mergeCell ref="D12:D13"/>
    <mergeCell ref="E12:E13"/>
    <mergeCell ref="F12:F13"/>
    <mergeCell ref="O12:O13"/>
    <mergeCell ref="A14:A15"/>
    <mergeCell ref="D14:D15"/>
    <mergeCell ref="O16:O17"/>
    <mergeCell ref="P16:P17"/>
    <mergeCell ref="Q16:Q17"/>
    <mergeCell ref="R16:R17"/>
    <mergeCell ref="B14:B15"/>
    <mergeCell ref="P4:R4"/>
    <mergeCell ref="A5:A7"/>
    <mergeCell ref="B5:B7"/>
    <mergeCell ref="C5:C7"/>
    <mergeCell ref="D5:D7"/>
    <mergeCell ref="E5:E7"/>
    <mergeCell ref="F5:F7"/>
    <mergeCell ref="H5:H7"/>
    <mergeCell ref="A1:R1"/>
    <mergeCell ref="A2:R2"/>
    <mergeCell ref="A3:R3"/>
    <mergeCell ref="C14:C15"/>
    <mergeCell ref="G5:G7"/>
    <mergeCell ref="I5:L7"/>
    <mergeCell ref="M5:M7"/>
    <mergeCell ref="N5:N7"/>
    <mergeCell ref="C18:G18"/>
    <mergeCell ref="O18:R18"/>
    <mergeCell ref="F16:F17"/>
    <mergeCell ref="C16:C17"/>
    <mergeCell ref="E16:E17"/>
    <mergeCell ref="E14:E15"/>
    <mergeCell ref="F14:F15"/>
    <mergeCell ref="R56:R57"/>
    <mergeCell ref="E32:E35"/>
    <mergeCell ref="D38:D39"/>
    <mergeCell ref="O38:O39"/>
    <mergeCell ref="D36:D37"/>
    <mergeCell ref="O40:R40"/>
    <mergeCell ref="C41:R41"/>
    <mergeCell ref="O20:O21"/>
    <mergeCell ref="C19:R19"/>
    <mergeCell ref="O47:O48"/>
    <mergeCell ref="E52:G52"/>
    <mergeCell ref="D53:D57"/>
    <mergeCell ref="O56:O57"/>
    <mergeCell ref="O49:O51"/>
    <mergeCell ref="D47:D48"/>
    <mergeCell ref="D49:D51"/>
    <mergeCell ref="F47:F51"/>
    <mergeCell ref="D29:D31"/>
    <mergeCell ref="D20:D23"/>
    <mergeCell ref="O22:O23"/>
    <mergeCell ref="C40:G40"/>
    <mergeCell ref="C63:C67"/>
    <mergeCell ref="D63:D67"/>
    <mergeCell ref="F63:F67"/>
    <mergeCell ref="E64:E67"/>
    <mergeCell ref="D68:D69"/>
    <mergeCell ref="E68:E69"/>
    <mergeCell ref="P56:P57"/>
    <mergeCell ref="Q56:Q57"/>
    <mergeCell ref="C58:C62"/>
    <mergeCell ref="D58:D62"/>
    <mergeCell ref="F58:F62"/>
    <mergeCell ref="E59:E62"/>
    <mergeCell ref="E55:E57"/>
    <mergeCell ref="B76:B77"/>
    <mergeCell ref="C76:C77"/>
    <mergeCell ref="D76:D77"/>
    <mergeCell ref="E76:E77"/>
    <mergeCell ref="F76:F77"/>
    <mergeCell ref="O76:O77"/>
    <mergeCell ref="C78:G78"/>
    <mergeCell ref="O78:R78"/>
    <mergeCell ref="C79:R79"/>
    <mergeCell ref="Q89:R89"/>
    <mergeCell ref="I90:L90"/>
    <mergeCell ref="A82:A83"/>
    <mergeCell ref="B82:B83"/>
    <mergeCell ref="C82:C83"/>
    <mergeCell ref="D82:D83"/>
    <mergeCell ref="E82:E83"/>
    <mergeCell ref="F82:F83"/>
    <mergeCell ref="D80:D81"/>
    <mergeCell ref="O80:O81"/>
    <mergeCell ref="Q80:Q81"/>
    <mergeCell ref="R80:R81"/>
    <mergeCell ref="I99:L99"/>
    <mergeCell ref="I100:L100"/>
    <mergeCell ref="Q100:R100"/>
    <mergeCell ref="Q96:R96"/>
    <mergeCell ref="I97:L97"/>
    <mergeCell ref="Q97:R97"/>
    <mergeCell ref="I98:L98"/>
    <mergeCell ref="A97:G97"/>
    <mergeCell ref="A98:G98"/>
    <mergeCell ref="A99:G99"/>
    <mergeCell ref="A100:G100"/>
    <mergeCell ref="D74:D75"/>
    <mergeCell ref="O74:O75"/>
    <mergeCell ref="I95:L95"/>
    <mergeCell ref="I96:L96"/>
    <mergeCell ref="I92:L92"/>
    <mergeCell ref="Q92:R92"/>
    <mergeCell ref="I94:L94"/>
    <mergeCell ref="Q94:R94"/>
    <mergeCell ref="A95:G95"/>
    <mergeCell ref="A94:G94"/>
    <mergeCell ref="A92:G92"/>
    <mergeCell ref="A96:G96"/>
    <mergeCell ref="A93:G93"/>
    <mergeCell ref="Q90:R90"/>
    <mergeCell ref="I91:L91"/>
    <mergeCell ref="Q91:R91"/>
    <mergeCell ref="C84:G84"/>
    <mergeCell ref="B85:G85"/>
    <mergeCell ref="B86:G86"/>
    <mergeCell ref="D88:N88"/>
    <mergeCell ref="I89:L89"/>
    <mergeCell ref="A91:G91"/>
    <mergeCell ref="A90:G90"/>
    <mergeCell ref="A89:G89"/>
  </mergeCells>
  <printOptions horizontalCentered="1"/>
  <pageMargins left="0.78740157480314965" right="0.19685039370078741" top="0.78740157480314965" bottom="0.78740157480314965" header="0.31496062992125984" footer="0.31496062992125984"/>
  <pageSetup paperSize="9" scale="73" orientation="portrait" r:id="rId1"/>
  <rowBreaks count="2" manualBreakCount="2">
    <brk id="44" max="17" man="1"/>
    <brk id="86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1"/>
  <sheetViews>
    <sheetView zoomScale="110" zoomScaleNormal="110" zoomScaleSheetLayoutView="100" workbookViewId="0"/>
  </sheetViews>
  <sheetFormatPr defaultRowHeight="12.75" x14ac:dyDescent="0.2"/>
  <cols>
    <col min="1" max="3" width="3" style="556" customWidth="1"/>
    <col min="4" max="4" width="31.28515625" style="1" customWidth="1"/>
    <col min="5" max="6" width="3.140625" style="1" customWidth="1"/>
    <col min="7" max="7" width="8.28515625" style="1" customWidth="1"/>
    <col min="8" max="8" width="10.140625" style="424" customWidth="1"/>
    <col min="9" max="9" width="11.28515625" style="424" customWidth="1"/>
    <col min="10" max="10" width="10.140625" style="426" customWidth="1"/>
    <col min="11" max="12" width="10.28515625" style="1" bestFit="1" customWidth="1"/>
    <col min="13" max="16384" width="9.140625" style="1"/>
  </cols>
  <sheetData>
    <row r="1" spans="1:13" ht="17.25" customHeight="1" x14ac:dyDescent="0.2">
      <c r="L1" s="1057" t="s">
        <v>146</v>
      </c>
      <c r="M1" s="1057"/>
    </row>
    <row r="2" spans="1:13" ht="12.75" customHeight="1" x14ac:dyDescent="0.2">
      <c r="A2" s="1002" t="s">
        <v>130</v>
      </c>
      <c r="B2" s="1002"/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1002"/>
    </row>
    <row r="3" spans="1:13" ht="12.75" customHeight="1" x14ac:dyDescent="0.2">
      <c r="A3" s="1003" t="s">
        <v>54</v>
      </c>
      <c r="B3" s="1003"/>
      <c r="C3" s="1003"/>
      <c r="D3" s="1003"/>
      <c r="E3" s="1003"/>
      <c r="F3" s="1003"/>
      <c r="G3" s="1003"/>
      <c r="H3" s="1003"/>
      <c r="I3" s="1003"/>
      <c r="J3" s="1003"/>
      <c r="K3" s="1003"/>
      <c r="L3" s="1003"/>
      <c r="M3" s="1003"/>
    </row>
    <row r="4" spans="1:13" x14ac:dyDescent="0.2">
      <c r="A4" s="1004" t="s">
        <v>45</v>
      </c>
      <c r="B4" s="1004"/>
      <c r="C4" s="1004"/>
      <c r="D4" s="1004"/>
      <c r="E4" s="1004"/>
      <c r="F4" s="1004"/>
      <c r="G4" s="1004"/>
      <c r="H4" s="1004"/>
      <c r="I4" s="1004"/>
      <c r="J4" s="1004"/>
      <c r="K4" s="1004"/>
      <c r="L4" s="1004"/>
      <c r="M4" s="1004"/>
    </row>
    <row r="5" spans="1:13" ht="13.5" thickBot="1" x14ac:dyDescent="0.25">
      <c r="A5" s="659"/>
      <c r="B5" s="659"/>
      <c r="C5" s="659"/>
      <c r="D5" s="659"/>
      <c r="E5" s="659"/>
      <c r="F5" s="659"/>
      <c r="G5" s="659"/>
      <c r="H5" s="319"/>
      <c r="I5" s="319"/>
      <c r="J5" s="319"/>
      <c r="K5" s="659"/>
    </row>
    <row r="6" spans="1:13" ht="12.75" customHeight="1" x14ac:dyDescent="0.2">
      <c r="A6" s="984" t="s">
        <v>0</v>
      </c>
      <c r="B6" s="987" t="s">
        <v>1</v>
      </c>
      <c r="C6" s="987" t="s">
        <v>2</v>
      </c>
      <c r="D6" s="990" t="s">
        <v>3</v>
      </c>
      <c r="E6" s="993" t="s">
        <v>4</v>
      </c>
      <c r="F6" s="996" t="s">
        <v>5</v>
      </c>
      <c r="G6" s="958" t="s">
        <v>6</v>
      </c>
      <c r="H6" s="999" t="s">
        <v>113</v>
      </c>
      <c r="I6" s="999" t="s">
        <v>137</v>
      </c>
      <c r="J6" s="970" t="s">
        <v>132</v>
      </c>
      <c r="K6" s="999" t="s">
        <v>148</v>
      </c>
      <c r="L6" s="999" t="s">
        <v>149</v>
      </c>
      <c r="M6" s="970" t="s">
        <v>132</v>
      </c>
    </row>
    <row r="7" spans="1:13" x14ac:dyDescent="0.2">
      <c r="A7" s="985"/>
      <c r="B7" s="988"/>
      <c r="C7" s="988"/>
      <c r="D7" s="991"/>
      <c r="E7" s="994"/>
      <c r="F7" s="997"/>
      <c r="G7" s="959"/>
      <c r="H7" s="1000"/>
      <c r="I7" s="1000"/>
      <c r="J7" s="971"/>
      <c r="K7" s="1000"/>
      <c r="L7" s="1000"/>
      <c r="M7" s="971"/>
    </row>
    <row r="8" spans="1:13" ht="116.25" customHeight="1" thickBot="1" x14ac:dyDescent="0.25">
      <c r="A8" s="986"/>
      <c r="B8" s="989"/>
      <c r="C8" s="989"/>
      <c r="D8" s="992"/>
      <c r="E8" s="995"/>
      <c r="F8" s="998"/>
      <c r="G8" s="960"/>
      <c r="H8" s="1001"/>
      <c r="I8" s="1001"/>
      <c r="J8" s="972"/>
      <c r="K8" s="1001"/>
      <c r="L8" s="1001"/>
      <c r="M8" s="972"/>
    </row>
    <row r="9" spans="1:13" ht="13.5" customHeight="1" x14ac:dyDescent="0.2">
      <c r="A9" s="1064" t="s">
        <v>9</v>
      </c>
      <c r="B9" s="1065"/>
      <c r="C9" s="1065"/>
      <c r="D9" s="1065"/>
      <c r="E9" s="1065"/>
      <c r="F9" s="1065"/>
      <c r="G9" s="1065"/>
      <c r="H9" s="1065"/>
      <c r="I9" s="1065"/>
      <c r="J9" s="1065"/>
      <c r="K9" s="1065"/>
      <c r="L9" s="1065"/>
      <c r="M9" s="1066"/>
    </row>
    <row r="10" spans="1:13" ht="13.5" customHeight="1" x14ac:dyDescent="0.2">
      <c r="A10" s="1067" t="s">
        <v>10</v>
      </c>
      <c r="B10" s="1068"/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9"/>
    </row>
    <row r="11" spans="1:13" ht="14.25" customHeight="1" thickBot="1" x14ac:dyDescent="0.25">
      <c r="A11" s="681" t="s">
        <v>11</v>
      </c>
      <c r="B11" s="1037" t="s">
        <v>51</v>
      </c>
      <c r="C11" s="1038"/>
      <c r="D11" s="1038"/>
      <c r="E11" s="1038"/>
      <c r="F11" s="1038"/>
      <c r="G11" s="1038"/>
      <c r="H11" s="1038"/>
      <c r="I11" s="1038"/>
      <c r="J11" s="1038"/>
      <c r="K11" s="1038"/>
      <c r="L11" s="1038"/>
      <c r="M11" s="1039"/>
    </row>
    <row r="12" spans="1:13" ht="13.5" customHeight="1" thickBot="1" x14ac:dyDescent="0.25">
      <c r="A12" s="680" t="s">
        <v>11</v>
      </c>
      <c r="B12" s="131" t="s">
        <v>11</v>
      </c>
      <c r="C12" s="1034" t="s">
        <v>60</v>
      </c>
      <c r="D12" s="1035"/>
      <c r="E12" s="1035"/>
      <c r="F12" s="1035"/>
      <c r="G12" s="1035"/>
      <c r="H12" s="1035"/>
      <c r="I12" s="1035"/>
      <c r="J12" s="1035"/>
      <c r="K12" s="1035"/>
      <c r="L12" s="1035"/>
      <c r="M12" s="1036"/>
    </row>
    <row r="13" spans="1:13" ht="31.5" customHeight="1" x14ac:dyDescent="0.2">
      <c r="A13" s="861" t="s">
        <v>11</v>
      </c>
      <c r="B13" s="863" t="s">
        <v>11</v>
      </c>
      <c r="C13" s="956" t="s">
        <v>11</v>
      </c>
      <c r="D13" s="1005" t="s">
        <v>53</v>
      </c>
      <c r="E13" s="979" t="s">
        <v>75</v>
      </c>
      <c r="F13" s="981" t="s">
        <v>12</v>
      </c>
      <c r="G13" s="22" t="s">
        <v>13</v>
      </c>
      <c r="H13" s="501">
        <f>150/3.4528*1000</f>
        <v>43443</v>
      </c>
      <c r="I13" s="463">
        <f>150/3.4528*1000</f>
        <v>43443</v>
      </c>
      <c r="J13" s="355"/>
      <c r="K13" s="682">
        <f>40/3.4528*1000</f>
        <v>11585</v>
      </c>
      <c r="L13" s="686">
        <f>40/3.4528*1000</f>
        <v>11585</v>
      </c>
      <c r="M13" s="355"/>
    </row>
    <row r="14" spans="1:13" ht="13.5" thickBot="1" x14ac:dyDescent="0.25">
      <c r="A14" s="862"/>
      <c r="B14" s="864"/>
      <c r="C14" s="957"/>
      <c r="D14" s="1006"/>
      <c r="E14" s="980"/>
      <c r="F14" s="982"/>
      <c r="G14" s="37" t="s">
        <v>14</v>
      </c>
      <c r="H14" s="502">
        <f>H13</f>
        <v>43443</v>
      </c>
      <c r="I14" s="464">
        <f>I13</f>
        <v>43443</v>
      </c>
      <c r="J14" s="354">
        <f>+J13</f>
        <v>0</v>
      </c>
      <c r="K14" s="683">
        <f>+K13</f>
        <v>11585</v>
      </c>
      <c r="L14" s="492">
        <f>+L13</f>
        <v>11585</v>
      </c>
      <c r="M14" s="354"/>
    </row>
    <row r="15" spans="1:13" ht="30.75" customHeight="1" x14ac:dyDescent="0.2">
      <c r="A15" s="861" t="s">
        <v>11</v>
      </c>
      <c r="B15" s="863" t="s">
        <v>11</v>
      </c>
      <c r="C15" s="956" t="s">
        <v>15</v>
      </c>
      <c r="D15" s="1005" t="s">
        <v>63</v>
      </c>
      <c r="E15" s="979"/>
      <c r="F15" s="981" t="s">
        <v>12</v>
      </c>
      <c r="G15" s="26" t="s">
        <v>13</v>
      </c>
      <c r="H15" s="503">
        <f>10/3.4528*1000</f>
        <v>2896</v>
      </c>
      <c r="I15" s="465">
        <f>10/3.4528*1000</f>
        <v>2896</v>
      </c>
      <c r="J15" s="355"/>
      <c r="K15" s="682">
        <f>13/3.4528*1000</f>
        <v>3765</v>
      </c>
      <c r="L15" s="686">
        <f>13/3.4528*1000</f>
        <v>3765</v>
      </c>
      <c r="M15" s="355"/>
    </row>
    <row r="16" spans="1:13" ht="13.5" thickBot="1" x14ac:dyDescent="0.25">
      <c r="A16" s="862"/>
      <c r="B16" s="864"/>
      <c r="C16" s="957"/>
      <c r="D16" s="1006"/>
      <c r="E16" s="980"/>
      <c r="F16" s="982"/>
      <c r="G16" s="59" t="s">
        <v>14</v>
      </c>
      <c r="H16" s="504">
        <f>H15</f>
        <v>2896</v>
      </c>
      <c r="I16" s="505">
        <f>I15</f>
        <v>2896</v>
      </c>
      <c r="J16" s="354">
        <f>+J15</f>
        <v>0</v>
      </c>
      <c r="K16" s="684">
        <f>+K15</f>
        <v>3765</v>
      </c>
      <c r="L16" s="687">
        <f>+L15</f>
        <v>3765</v>
      </c>
      <c r="M16" s="354"/>
    </row>
    <row r="17" spans="1:17" ht="29.25" customHeight="1" x14ac:dyDescent="0.2">
      <c r="A17" s="861" t="s">
        <v>11</v>
      </c>
      <c r="B17" s="863" t="s">
        <v>11</v>
      </c>
      <c r="C17" s="956" t="s">
        <v>18</v>
      </c>
      <c r="D17" s="1005" t="s">
        <v>125</v>
      </c>
      <c r="E17" s="977"/>
      <c r="F17" s="871" t="s">
        <v>12</v>
      </c>
      <c r="G17" s="22" t="s">
        <v>13</v>
      </c>
      <c r="H17" s="501">
        <f>23/3.4528*1000</f>
        <v>6661</v>
      </c>
      <c r="I17" s="463">
        <f>23/3.4528*1000</f>
        <v>6661</v>
      </c>
      <c r="J17" s="355"/>
      <c r="K17" s="682">
        <f>30/3.4528*1000</f>
        <v>8689</v>
      </c>
      <c r="L17" s="686">
        <f>30/3.4528*1000</f>
        <v>8689</v>
      </c>
      <c r="M17" s="355"/>
    </row>
    <row r="18" spans="1:17" ht="13.5" thickBot="1" x14ac:dyDescent="0.25">
      <c r="A18" s="862"/>
      <c r="B18" s="864"/>
      <c r="C18" s="957"/>
      <c r="D18" s="1006"/>
      <c r="E18" s="978"/>
      <c r="F18" s="872"/>
      <c r="G18" s="548" t="s">
        <v>14</v>
      </c>
      <c r="H18" s="381">
        <f>H17</f>
        <v>6661</v>
      </c>
      <c r="I18" s="461">
        <f>I17</f>
        <v>6661</v>
      </c>
      <c r="J18" s="354">
        <f>+J17</f>
        <v>0</v>
      </c>
      <c r="K18" s="683">
        <f>+K17</f>
        <v>8689</v>
      </c>
      <c r="L18" s="492">
        <f>+L17</f>
        <v>8689</v>
      </c>
      <c r="M18" s="354"/>
    </row>
    <row r="19" spans="1:17" ht="13.5" thickBot="1" x14ac:dyDescent="0.25">
      <c r="A19" s="129" t="s">
        <v>11</v>
      </c>
      <c r="B19" s="130" t="s">
        <v>11</v>
      </c>
      <c r="C19" s="955" t="s">
        <v>19</v>
      </c>
      <c r="D19" s="832"/>
      <c r="E19" s="832"/>
      <c r="F19" s="832"/>
      <c r="G19" s="973"/>
      <c r="H19" s="469">
        <f>H18+H16+H14</f>
        <v>53000</v>
      </c>
      <c r="I19" s="466">
        <f>I18+I16+I14</f>
        <v>53000</v>
      </c>
      <c r="J19" s="610">
        <f t="shared" ref="J19" si="0">J18+J16+J14</f>
        <v>0</v>
      </c>
      <c r="K19" s="685">
        <f>K18+K16+K14</f>
        <v>24039</v>
      </c>
      <c r="L19" s="688">
        <f>L18+L16+L14</f>
        <v>24039</v>
      </c>
      <c r="M19" s="610"/>
    </row>
    <row r="20" spans="1:17" ht="13.5" customHeight="1" thickBot="1" x14ac:dyDescent="0.25">
      <c r="A20" s="656" t="s">
        <v>11</v>
      </c>
      <c r="B20" s="557" t="s">
        <v>15</v>
      </c>
      <c r="C20" s="935" t="s">
        <v>50</v>
      </c>
      <c r="D20" s="937"/>
      <c r="E20" s="937"/>
      <c r="F20" s="937"/>
      <c r="G20" s="937"/>
      <c r="H20" s="937"/>
      <c r="I20" s="937"/>
      <c r="J20" s="937"/>
      <c r="K20" s="937"/>
      <c r="L20" s="937"/>
      <c r="M20" s="938"/>
    </row>
    <row r="21" spans="1:17" ht="12.75" customHeight="1" x14ac:dyDescent="0.2">
      <c r="A21" s="132" t="s">
        <v>11</v>
      </c>
      <c r="B21" s="657" t="s">
        <v>15</v>
      </c>
      <c r="C21" s="664" t="s">
        <v>11</v>
      </c>
      <c r="D21" s="950" t="s">
        <v>47</v>
      </c>
      <c r="E21" s="27"/>
      <c r="F21" s="36">
        <v>2</v>
      </c>
      <c r="G21" s="651" t="s">
        <v>13</v>
      </c>
      <c r="H21" s="673">
        <f>3316845+26183+7699</f>
        <v>3350727</v>
      </c>
      <c r="I21" s="490">
        <f>3316845+26183+7699</f>
        <v>3350727</v>
      </c>
      <c r="J21" s="674">
        <f>I21-H21</f>
        <v>0</v>
      </c>
      <c r="K21" s="689">
        <f>11397.5/3.4528*1000</f>
        <v>3300944</v>
      </c>
      <c r="L21" s="747">
        <f>11397.5/3.4528*1000</f>
        <v>3300944</v>
      </c>
      <c r="M21" s="695"/>
    </row>
    <row r="22" spans="1:17" x14ac:dyDescent="0.2">
      <c r="A22" s="133"/>
      <c r="B22" s="134"/>
      <c r="C22" s="179"/>
      <c r="D22" s="951"/>
      <c r="E22" s="28"/>
      <c r="F22" s="29"/>
      <c r="G22" s="64" t="s">
        <v>21</v>
      </c>
      <c r="H22" s="668">
        <v>240443</v>
      </c>
      <c r="I22" s="754">
        <f>240443+25220+1473+14481</f>
        <v>281617</v>
      </c>
      <c r="J22" s="755">
        <f>I22-H22</f>
        <v>41174</v>
      </c>
      <c r="K22" s="690">
        <f>770.1/3.4528*1000</f>
        <v>223036</v>
      </c>
      <c r="L22" s="748">
        <f>770.1/3.4528*1000</f>
        <v>223036</v>
      </c>
      <c r="M22" s="458"/>
    </row>
    <row r="23" spans="1:17" x14ac:dyDescent="0.2">
      <c r="A23" s="133"/>
      <c r="B23" s="134"/>
      <c r="C23" s="179"/>
      <c r="D23" s="951"/>
      <c r="E23" s="28"/>
      <c r="F23" s="29"/>
      <c r="G23" s="33" t="s">
        <v>138</v>
      </c>
      <c r="H23" s="669">
        <v>68414</v>
      </c>
      <c r="I23" s="489">
        <v>68414</v>
      </c>
      <c r="J23" s="536">
        <f>I23-H23</f>
        <v>0</v>
      </c>
      <c r="K23" s="669"/>
      <c r="L23" s="691"/>
      <c r="M23" s="696"/>
    </row>
    <row r="24" spans="1:17" x14ac:dyDescent="0.2">
      <c r="A24" s="133"/>
      <c r="B24" s="134"/>
      <c r="C24" s="179"/>
      <c r="D24" s="952"/>
      <c r="E24" s="28"/>
      <c r="F24" s="29"/>
      <c r="G24" s="33" t="s">
        <v>28</v>
      </c>
      <c r="H24" s="669">
        <v>22423</v>
      </c>
      <c r="I24" s="489">
        <v>22423</v>
      </c>
      <c r="J24" s="536">
        <f>I24-H24</f>
        <v>0</v>
      </c>
      <c r="K24" s="669"/>
      <c r="L24" s="691"/>
      <c r="M24" s="696"/>
    </row>
    <row r="25" spans="1:17" ht="16.5" customHeight="1" x14ac:dyDescent="0.2">
      <c r="A25" s="133"/>
      <c r="B25" s="134"/>
      <c r="C25" s="179"/>
      <c r="D25" s="402" t="s">
        <v>55</v>
      </c>
      <c r="E25" s="28"/>
      <c r="F25" s="29"/>
      <c r="G25" s="4"/>
      <c r="H25" s="670"/>
      <c r="I25" s="631"/>
      <c r="J25" s="632"/>
      <c r="K25" s="670"/>
      <c r="L25" s="692"/>
      <c r="M25" s="196"/>
    </row>
    <row r="26" spans="1:17" ht="16.5" customHeight="1" x14ac:dyDescent="0.2">
      <c r="A26" s="133"/>
      <c r="B26" s="134"/>
      <c r="C26" s="179"/>
      <c r="D26" s="402" t="s">
        <v>56</v>
      </c>
      <c r="E26" s="28"/>
      <c r="F26" s="29"/>
      <c r="G26" s="4"/>
      <c r="H26" s="670"/>
      <c r="I26" s="631"/>
      <c r="J26" s="632"/>
      <c r="K26" s="670"/>
      <c r="L26" s="692"/>
      <c r="M26" s="196"/>
    </row>
    <row r="27" spans="1:17" ht="29.25" customHeight="1" x14ac:dyDescent="0.2">
      <c r="A27" s="133"/>
      <c r="B27" s="134"/>
      <c r="C27" s="179"/>
      <c r="D27" s="402" t="s">
        <v>57</v>
      </c>
      <c r="E27" s="28"/>
      <c r="F27" s="29"/>
      <c r="G27" s="23"/>
      <c r="H27" s="671"/>
      <c r="I27" s="470"/>
      <c r="J27" s="467"/>
      <c r="K27" s="671"/>
      <c r="L27" s="693"/>
      <c r="M27" s="697"/>
    </row>
    <row r="28" spans="1:17" ht="16.5" customHeight="1" x14ac:dyDescent="0.2">
      <c r="A28" s="133"/>
      <c r="B28" s="134"/>
      <c r="C28" s="179"/>
      <c r="D28" s="402" t="s">
        <v>58</v>
      </c>
      <c r="E28" s="28"/>
      <c r="F28" s="29"/>
      <c r="G28" s="23"/>
      <c r="H28" s="671"/>
      <c r="I28" s="470"/>
      <c r="J28" s="467"/>
      <c r="K28" s="671"/>
      <c r="L28" s="693"/>
      <c r="M28" s="697"/>
    </row>
    <row r="29" spans="1:17" ht="29.25" customHeight="1" x14ac:dyDescent="0.2">
      <c r="A29" s="133"/>
      <c r="B29" s="134"/>
      <c r="C29" s="653"/>
      <c r="D29" s="194" t="s">
        <v>92</v>
      </c>
      <c r="E29" s="187"/>
      <c r="F29" s="29"/>
      <c r="G29" s="23"/>
      <c r="H29" s="671"/>
      <c r="I29" s="470"/>
      <c r="J29" s="467"/>
      <c r="K29" s="671"/>
      <c r="L29" s="693"/>
      <c r="M29" s="697"/>
    </row>
    <row r="30" spans="1:17" ht="28.5" customHeight="1" x14ac:dyDescent="0.2">
      <c r="A30" s="133"/>
      <c r="B30" s="134"/>
      <c r="C30" s="179"/>
      <c r="D30" s="949" t="s">
        <v>22</v>
      </c>
      <c r="E30" s="28"/>
      <c r="F30" s="29"/>
      <c r="G30" s="65"/>
      <c r="H30" s="672"/>
      <c r="I30" s="471"/>
      <c r="J30" s="467"/>
      <c r="K30" s="672"/>
      <c r="L30" s="694"/>
      <c r="M30" s="697"/>
    </row>
    <row r="31" spans="1:17" ht="13.5" thickBot="1" x14ac:dyDescent="0.25">
      <c r="A31" s="135"/>
      <c r="B31" s="658"/>
      <c r="C31" s="665"/>
      <c r="D31" s="868"/>
      <c r="E31" s="30"/>
      <c r="F31" s="31"/>
      <c r="G31" s="38" t="s">
        <v>14</v>
      </c>
      <c r="H31" s="472">
        <f>SUM(H21:H30)</f>
        <v>3682007</v>
      </c>
      <c r="I31" s="472">
        <f>SUM(I21:I30)</f>
        <v>3723181</v>
      </c>
      <c r="J31" s="366">
        <f>SUM(J21:J30)</f>
        <v>41174</v>
      </c>
      <c r="K31" s="338">
        <f>SUM(K21:K29)</f>
        <v>3523980</v>
      </c>
      <c r="L31" s="461">
        <f>SUM(L21:L30)</f>
        <v>3523980</v>
      </c>
      <c r="M31" s="698"/>
      <c r="Q31" s="4"/>
    </row>
    <row r="32" spans="1:17" ht="27.75" customHeight="1" x14ac:dyDescent="0.2">
      <c r="A32" s="132" t="s">
        <v>11</v>
      </c>
      <c r="B32" s="657" t="s">
        <v>15</v>
      </c>
      <c r="C32" s="664" t="s">
        <v>15</v>
      </c>
      <c r="D32" s="188" t="s">
        <v>23</v>
      </c>
      <c r="E32" s="921" t="s">
        <v>75</v>
      </c>
      <c r="F32" s="551" t="s">
        <v>12</v>
      </c>
      <c r="G32" s="22" t="s">
        <v>13</v>
      </c>
      <c r="H32" s="675">
        <f>1094.4/3.4528*1000+10000</f>
        <v>326960</v>
      </c>
      <c r="I32" s="463">
        <f>1094.4/3.4528*1000+10000</f>
        <v>326960</v>
      </c>
      <c r="J32" s="423">
        <f>I32-H32</f>
        <v>0</v>
      </c>
      <c r="K32" s="327">
        <f>1116/3.4528*1000</f>
        <v>323216</v>
      </c>
      <c r="L32" s="705">
        <f>1116/3.4528*1000</f>
        <v>323216</v>
      </c>
      <c r="M32" s="699"/>
    </row>
    <row r="33" spans="1:16" ht="27.75" customHeight="1" x14ac:dyDescent="0.2">
      <c r="A33" s="133"/>
      <c r="B33" s="134"/>
      <c r="C33" s="179"/>
      <c r="D33" s="417" t="s">
        <v>131</v>
      </c>
      <c r="E33" s="922"/>
      <c r="F33" s="552"/>
      <c r="G33" s="23"/>
      <c r="H33" s="671"/>
      <c r="I33" s="470"/>
      <c r="J33" s="409"/>
      <c r="K33" s="704"/>
      <c r="L33" s="706"/>
      <c r="M33" s="700"/>
    </row>
    <row r="34" spans="1:16" ht="17.25" customHeight="1" x14ac:dyDescent="0.2">
      <c r="A34" s="133"/>
      <c r="B34" s="134"/>
      <c r="C34" s="179"/>
      <c r="D34" s="189" t="s">
        <v>127</v>
      </c>
      <c r="E34" s="922"/>
      <c r="F34" s="122"/>
      <c r="G34" s="23"/>
      <c r="H34" s="671"/>
      <c r="I34" s="470"/>
      <c r="J34" s="365"/>
      <c r="K34" s="326"/>
      <c r="L34" s="707"/>
      <c r="M34" s="701"/>
    </row>
    <row r="35" spans="1:16" ht="28.5" customHeight="1" x14ac:dyDescent="0.2">
      <c r="A35" s="133"/>
      <c r="B35" s="134"/>
      <c r="C35" s="179"/>
      <c r="D35" s="189" t="s">
        <v>126</v>
      </c>
      <c r="E35" s="922"/>
      <c r="F35" s="122"/>
      <c r="G35" s="23"/>
      <c r="H35" s="671"/>
      <c r="I35" s="470"/>
      <c r="J35" s="365"/>
      <c r="K35" s="326"/>
      <c r="L35" s="707"/>
      <c r="M35" s="701"/>
    </row>
    <row r="36" spans="1:16" ht="30.75" customHeight="1" x14ac:dyDescent="0.2">
      <c r="A36" s="133"/>
      <c r="B36" s="134"/>
      <c r="C36" s="179"/>
      <c r="D36" s="924" t="s">
        <v>76</v>
      </c>
      <c r="E36" s="55"/>
      <c r="F36" s="122"/>
      <c r="G36" s="23"/>
      <c r="H36" s="671"/>
      <c r="I36" s="470"/>
      <c r="J36" s="365"/>
      <c r="K36" s="326"/>
      <c r="L36" s="707"/>
      <c r="M36" s="701"/>
    </row>
    <row r="37" spans="1:16" ht="13.5" thickBot="1" x14ac:dyDescent="0.25">
      <c r="A37" s="135"/>
      <c r="B37" s="658"/>
      <c r="C37" s="665"/>
      <c r="D37" s="927"/>
      <c r="E37" s="67"/>
      <c r="F37" s="123"/>
      <c r="G37" s="39" t="s">
        <v>14</v>
      </c>
      <c r="H37" s="461">
        <f t="shared" ref="H37" si="1">SUM(H32:H36)</f>
        <v>326960</v>
      </c>
      <c r="I37" s="461">
        <f t="shared" ref="I37:J37" si="2">SUM(I32:I36)</f>
        <v>326960</v>
      </c>
      <c r="J37" s="366">
        <f t="shared" si="2"/>
        <v>0</v>
      </c>
      <c r="K37" s="338">
        <f>SUM(K32:K36)</f>
        <v>323216</v>
      </c>
      <c r="L37" s="461">
        <f>SUM(L32:L36)</f>
        <v>323216</v>
      </c>
      <c r="M37" s="698"/>
    </row>
    <row r="38" spans="1:16" ht="28.5" customHeight="1" x14ac:dyDescent="0.2">
      <c r="A38" s="128" t="s">
        <v>11</v>
      </c>
      <c r="B38" s="134" t="s">
        <v>15</v>
      </c>
      <c r="C38" s="558" t="s">
        <v>18</v>
      </c>
      <c r="D38" s="923" t="s">
        <v>48</v>
      </c>
      <c r="E38" s="24"/>
      <c r="F38" s="551" t="s">
        <v>12</v>
      </c>
      <c r="G38" s="22" t="s">
        <v>13</v>
      </c>
      <c r="H38" s="675">
        <f>1344.7/3.4528*1000-100273</f>
        <v>289179</v>
      </c>
      <c r="I38" s="463">
        <f>1344.7/3.4528*1000-100273</f>
        <v>289179</v>
      </c>
      <c r="J38" s="676">
        <f>I38-H38</f>
        <v>0</v>
      </c>
      <c r="K38" s="327">
        <f>1344.7/3.4528*1000</f>
        <v>389452</v>
      </c>
      <c r="L38" s="463">
        <f>1344.7/3.4528*1000</f>
        <v>389452</v>
      </c>
      <c r="M38" s="702"/>
    </row>
    <row r="39" spans="1:16" ht="13.5" thickBot="1" x14ac:dyDescent="0.25">
      <c r="A39" s="128"/>
      <c r="B39" s="134"/>
      <c r="C39" s="558"/>
      <c r="D39" s="924"/>
      <c r="E39" s="24"/>
      <c r="F39" s="552"/>
      <c r="G39" s="37" t="s">
        <v>14</v>
      </c>
      <c r="H39" s="461">
        <f>H38</f>
        <v>289179</v>
      </c>
      <c r="I39" s="461">
        <f>I38</f>
        <v>289179</v>
      </c>
      <c r="J39" s="366">
        <f>+J38</f>
        <v>0</v>
      </c>
      <c r="K39" s="338">
        <f>+K38</f>
        <v>389452</v>
      </c>
      <c r="L39" s="461">
        <f>+L38</f>
        <v>389452</v>
      </c>
      <c r="M39" s="698"/>
    </row>
    <row r="40" spans="1:16" ht="13.5" thickBot="1" x14ac:dyDescent="0.25">
      <c r="A40" s="129" t="s">
        <v>11</v>
      </c>
      <c r="B40" s="131" t="s">
        <v>15</v>
      </c>
      <c r="C40" s="955" t="s">
        <v>19</v>
      </c>
      <c r="D40" s="832"/>
      <c r="E40" s="832"/>
      <c r="F40" s="832"/>
      <c r="G40" s="832"/>
      <c r="H40" s="386">
        <f t="shared" ref="H40:M40" si="3">H39+H37+H31</f>
        <v>4298146</v>
      </c>
      <c r="I40" s="466">
        <f t="shared" si="3"/>
        <v>4339320</v>
      </c>
      <c r="J40" s="468">
        <f t="shared" si="3"/>
        <v>41174</v>
      </c>
      <c r="K40" s="386">
        <f t="shared" si="3"/>
        <v>4236648</v>
      </c>
      <c r="L40" s="466">
        <f t="shared" si="3"/>
        <v>4236648</v>
      </c>
      <c r="M40" s="703">
        <f t="shared" si="3"/>
        <v>0</v>
      </c>
    </row>
    <row r="41" spans="1:16" ht="13.5" customHeight="1" thickBot="1" x14ac:dyDescent="0.25">
      <c r="A41" s="148" t="s">
        <v>11</v>
      </c>
      <c r="B41" s="728" t="s">
        <v>18</v>
      </c>
      <c r="C41" s="1046" t="s">
        <v>26</v>
      </c>
      <c r="D41" s="931"/>
      <c r="E41" s="931"/>
      <c r="F41" s="931"/>
      <c r="G41" s="931"/>
      <c r="H41" s="931"/>
      <c r="I41" s="931"/>
      <c r="J41" s="931"/>
      <c r="K41" s="931"/>
      <c r="L41" s="931"/>
      <c r="M41" s="933"/>
    </row>
    <row r="42" spans="1:16" ht="15" customHeight="1" x14ac:dyDescent="0.2">
      <c r="A42" s="559" t="s">
        <v>11</v>
      </c>
      <c r="B42" s="560" t="s">
        <v>18</v>
      </c>
      <c r="C42" s="531" t="s">
        <v>11</v>
      </c>
      <c r="D42" s="199" t="s">
        <v>105</v>
      </c>
      <c r="E42" s="513"/>
      <c r="F42" s="756" t="s">
        <v>16</v>
      </c>
      <c r="G42" s="20"/>
      <c r="H42" s="329"/>
      <c r="I42" s="463"/>
      <c r="J42" s="474"/>
      <c r="K42" s="726"/>
      <c r="L42" s="719"/>
      <c r="M42" s="727"/>
    </row>
    <row r="43" spans="1:16" ht="15" customHeight="1" x14ac:dyDescent="0.2">
      <c r="A43" s="561"/>
      <c r="B43" s="562"/>
      <c r="C43" s="532"/>
      <c r="D43" s="1043" t="s">
        <v>96</v>
      </c>
      <c r="E43" s="514"/>
      <c r="F43" s="757"/>
      <c r="G43" s="201" t="s">
        <v>13</v>
      </c>
      <c r="H43" s="330">
        <f>500/3.4528*1000</f>
        <v>144810</v>
      </c>
      <c r="I43" s="678">
        <f>500/3.4528*1000-10353</f>
        <v>134457</v>
      </c>
      <c r="J43" s="614">
        <f>I43-H43</f>
        <v>-10353</v>
      </c>
      <c r="K43" s="711">
        <f>1308/3.4528*1000</f>
        <v>378823</v>
      </c>
      <c r="L43" s="720">
        <f>1308/3.4528*1000</f>
        <v>378823</v>
      </c>
      <c r="M43" s="614"/>
    </row>
    <row r="44" spans="1:16" ht="15" customHeight="1" x14ac:dyDescent="0.2">
      <c r="A44" s="561"/>
      <c r="B44" s="562"/>
      <c r="C44" s="532"/>
      <c r="D44" s="1044"/>
      <c r="E44" s="514"/>
      <c r="F44" s="757"/>
      <c r="G44" s="202" t="s">
        <v>17</v>
      </c>
      <c r="H44" s="331">
        <f>600/3.4528*1000</f>
        <v>173772</v>
      </c>
      <c r="I44" s="485">
        <f>600/3.4528*1000</f>
        <v>173772</v>
      </c>
      <c r="J44" s="476"/>
      <c r="K44" s="709"/>
      <c r="L44" s="485"/>
      <c r="M44" s="476"/>
      <c r="P44" s="4"/>
    </row>
    <row r="45" spans="1:16" ht="15" customHeight="1" x14ac:dyDescent="0.2">
      <c r="A45" s="561"/>
      <c r="B45" s="562"/>
      <c r="C45" s="532"/>
      <c r="D45" s="1045"/>
      <c r="E45" s="514"/>
      <c r="F45" s="522"/>
      <c r="G45" s="203" t="s">
        <v>14</v>
      </c>
      <c r="H45" s="332">
        <f>SUM(H43:H44)</f>
        <v>318582</v>
      </c>
      <c r="I45" s="464">
        <f>SUM(I43:I44)</f>
        <v>308229</v>
      </c>
      <c r="J45" s="477">
        <f>SUM(J42:J44)</f>
        <v>-10353</v>
      </c>
      <c r="K45" s="712">
        <f>SUM(K42:K44)</f>
        <v>378823</v>
      </c>
      <c r="L45" s="721">
        <f>SUM(L43:L44)</f>
        <v>378823</v>
      </c>
      <c r="M45" s="477"/>
      <c r="N45" s="4"/>
    </row>
    <row r="46" spans="1:16" ht="17.25" customHeight="1" x14ac:dyDescent="0.2">
      <c r="A46" s="563"/>
      <c r="B46" s="564"/>
      <c r="C46" s="759"/>
      <c r="D46" s="1040" t="s">
        <v>141</v>
      </c>
      <c r="E46" s="197"/>
      <c r="F46" s="593" t="s">
        <v>27</v>
      </c>
      <c r="G46" s="69" t="s">
        <v>13</v>
      </c>
      <c r="H46" s="523">
        <f>500/3.4528*1000-28962</f>
        <v>115848</v>
      </c>
      <c r="I46" s="678">
        <f>86886-27329-5000</f>
        <v>54557</v>
      </c>
      <c r="J46" s="729">
        <f>I46-H46</f>
        <v>-61291</v>
      </c>
      <c r="K46" s="730">
        <v>86886</v>
      </c>
      <c r="L46" s="722">
        <f>252094+27329+5000</f>
        <v>284423</v>
      </c>
      <c r="M46" s="729">
        <f>L46-K46</f>
        <v>197537</v>
      </c>
    </row>
    <row r="47" spans="1:16" ht="24" customHeight="1" x14ac:dyDescent="0.2">
      <c r="A47" s="760"/>
      <c r="B47" s="761"/>
      <c r="C47" s="762"/>
      <c r="D47" s="1041"/>
      <c r="E47" s="763"/>
      <c r="F47" s="758"/>
      <c r="G47" s="603" t="s">
        <v>14</v>
      </c>
      <c r="H47" s="604">
        <f>H46</f>
        <v>115848</v>
      </c>
      <c r="I47" s="604">
        <f>I46</f>
        <v>54557</v>
      </c>
      <c r="J47" s="605">
        <f t="shared" ref="J47" si="4">SUM(J46:J46)</f>
        <v>-61291</v>
      </c>
      <c r="K47" s="764">
        <f>SUM(K46:K46)</f>
        <v>86886</v>
      </c>
      <c r="L47" s="765">
        <f>SUM(L46:L46)</f>
        <v>284423</v>
      </c>
      <c r="M47" s="605">
        <f>SUM(M46)</f>
        <v>197537</v>
      </c>
    </row>
    <row r="48" spans="1:16" ht="14.25" customHeight="1" x14ac:dyDescent="0.2">
      <c r="A48" s="563"/>
      <c r="B48" s="564"/>
      <c r="C48" s="667"/>
      <c r="D48" s="1042" t="s">
        <v>140</v>
      </c>
      <c r="E48" s="197"/>
      <c r="F48" s="663"/>
      <c r="G48" s="538" t="s">
        <v>13</v>
      </c>
      <c r="H48" s="525">
        <v>28962</v>
      </c>
      <c r="I48" s="751">
        <v>57924</v>
      </c>
      <c r="J48" s="752">
        <f>I48-H48</f>
        <v>28962</v>
      </c>
      <c r="K48" s="328">
        <v>28962</v>
      </c>
      <c r="L48" s="751">
        <v>0</v>
      </c>
      <c r="M48" s="752">
        <f>L48-K48</f>
        <v>-28962</v>
      </c>
    </row>
    <row r="49" spans="1:17" x14ac:dyDescent="0.2">
      <c r="A49" s="563"/>
      <c r="B49" s="564"/>
      <c r="C49" s="667"/>
      <c r="D49" s="1042"/>
      <c r="E49" s="197"/>
      <c r="F49" s="663"/>
      <c r="G49" s="510" t="s">
        <v>28</v>
      </c>
      <c r="H49" s="525">
        <v>115848</v>
      </c>
      <c r="I49" s="473">
        <v>115848</v>
      </c>
      <c r="J49" s="555">
        <f>I49-H49</f>
        <v>0</v>
      </c>
      <c r="K49" s="328">
        <v>115848</v>
      </c>
      <c r="L49" s="473">
        <v>115848</v>
      </c>
      <c r="M49" s="555"/>
    </row>
    <row r="50" spans="1:17" x14ac:dyDescent="0.2">
      <c r="A50" s="565"/>
      <c r="B50" s="566"/>
      <c r="C50" s="567"/>
      <c r="D50" s="1042"/>
      <c r="E50" s="198"/>
      <c r="F50" s="663"/>
      <c r="G50" s="204" t="s">
        <v>14</v>
      </c>
      <c r="H50" s="486">
        <f t="shared" ref="H50:M50" si="5">SUM(H48:H49)</f>
        <v>144810</v>
      </c>
      <c r="I50" s="486">
        <f t="shared" si="5"/>
        <v>173772</v>
      </c>
      <c r="J50" s="611">
        <f t="shared" si="5"/>
        <v>28962</v>
      </c>
      <c r="K50" s="714">
        <f t="shared" si="5"/>
        <v>144810</v>
      </c>
      <c r="L50" s="486">
        <f t="shared" si="5"/>
        <v>115848</v>
      </c>
      <c r="M50" s="717">
        <f t="shared" si="5"/>
        <v>-28962</v>
      </c>
    </row>
    <row r="51" spans="1:17" ht="13.5" thickBot="1" x14ac:dyDescent="0.25">
      <c r="A51" s="568"/>
      <c r="B51" s="569"/>
      <c r="C51" s="570"/>
      <c r="D51" s="509"/>
      <c r="E51" s="940" t="s">
        <v>112</v>
      </c>
      <c r="F51" s="941"/>
      <c r="G51" s="942"/>
      <c r="H51" s="487">
        <f>H47+H45+H50</f>
        <v>579240</v>
      </c>
      <c r="I51" s="487">
        <f>I47+I45+I50</f>
        <v>536558</v>
      </c>
      <c r="J51" s="612">
        <f>J47+J45+J50</f>
        <v>-42682</v>
      </c>
      <c r="K51" s="715">
        <f>K47+K45+K50</f>
        <v>610519</v>
      </c>
      <c r="L51" s="487">
        <f>L47+L45+L50</f>
        <v>779094</v>
      </c>
      <c r="M51" s="718">
        <f>M50+M47+M45</f>
        <v>168575</v>
      </c>
    </row>
    <row r="52" spans="1:17" ht="15.75" customHeight="1" x14ac:dyDescent="0.2">
      <c r="A52" s="563" t="s">
        <v>11</v>
      </c>
      <c r="B52" s="564" t="s">
        <v>18</v>
      </c>
      <c r="C52" s="667" t="s">
        <v>15</v>
      </c>
      <c r="D52" s="943" t="s">
        <v>91</v>
      </c>
      <c r="E52" s="180" t="s">
        <v>82</v>
      </c>
      <c r="F52" s="32" t="s">
        <v>27</v>
      </c>
      <c r="G52" s="45" t="s">
        <v>30</v>
      </c>
      <c r="H52" s="337">
        <v>435531</v>
      </c>
      <c r="I52" s="465">
        <v>435531</v>
      </c>
      <c r="J52" s="534">
        <f>I52-H52</f>
        <v>0</v>
      </c>
      <c r="K52" s="716">
        <v>1062789</v>
      </c>
      <c r="L52" s="724">
        <v>1062789</v>
      </c>
      <c r="M52" s="534"/>
      <c r="Q52" s="4"/>
    </row>
    <row r="53" spans="1:17" x14ac:dyDescent="0.2">
      <c r="A53" s="565"/>
      <c r="B53" s="566"/>
      <c r="C53" s="567"/>
      <c r="D53" s="943"/>
      <c r="E53" s="641"/>
      <c r="F53" s="32"/>
      <c r="G53" s="23" t="s">
        <v>17</v>
      </c>
      <c r="H53" s="591">
        <v>10137</v>
      </c>
      <c r="I53" s="470">
        <v>10137</v>
      </c>
      <c r="J53" s="652"/>
      <c r="K53" s="335">
        <v>434430</v>
      </c>
      <c r="L53" s="452">
        <v>434430</v>
      </c>
      <c r="M53" s="590"/>
    </row>
    <row r="54" spans="1:17" x14ac:dyDescent="0.2">
      <c r="A54" s="565"/>
      <c r="B54" s="566"/>
      <c r="C54" s="567"/>
      <c r="D54" s="943"/>
      <c r="E54" s="641"/>
      <c r="F54" s="32"/>
      <c r="G54" s="592" t="s">
        <v>28</v>
      </c>
      <c r="H54" s="335">
        <v>320320</v>
      </c>
      <c r="I54" s="484">
        <v>320320</v>
      </c>
      <c r="J54" s="590">
        <f>I54-H54</f>
        <v>0</v>
      </c>
      <c r="K54" s="326">
        <v>758804</v>
      </c>
      <c r="L54" s="725">
        <v>758804</v>
      </c>
      <c r="M54" s="590"/>
      <c r="P54" s="4"/>
    </row>
    <row r="55" spans="1:17" x14ac:dyDescent="0.2">
      <c r="A55" s="565"/>
      <c r="B55" s="566"/>
      <c r="C55" s="567"/>
      <c r="D55" s="943"/>
      <c r="E55" s="641"/>
      <c r="F55" s="32"/>
      <c r="G55" s="708" t="s">
        <v>25</v>
      </c>
      <c r="H55" s="709"/>
      <c r="I55" s="485"/>
      <c r="J55" s="710"/>
      <c r="K55" s="335">
        <v>11128592</v>
      </c>
      <c r="L55" s="452">
        <v>11128592</v>
      </c>
      <c r="M55" s="710"/>
    </row>
    <row r="56" spans="1:17" ht="13.5" thickBot="1" x14ac:dyDescent="0.25">
      <c r="A56" s="568"/>
      <c r="B56" s="569"/>
      <c r="C56" s="571"/>
      <c r="D56" s="874"/>
      <c r="E56" s="76"/>
      <c r="F56" s="66"/>
      <c r="G56" s="63" t="s">
        <v>14</v>
      </c>
      <c r="H56" s="336">
        <f>SUM(H52:H54)</f>
        <v>765988</v>
      </c>
      <c r="I56" s="488">
        <f>SUM(I52:I54)</f>
        <v>765988</v>
      </c>
      <c r="J56" s="480">
        <f>SUM(J52:J54)</f>
        <v>0</v>
      </c>
      <c r="K56" s="336">
        <f>SUM(K52:K55)</f>
        <v>13384615</v>
      </c>
      <c r="L56" s="488">
        <f>SUM(L52:L55)</f>
        <v>13384615</v>
      </c>
      <c r="M56" s="480"/>
    </row>
    <row r="57" spans="1:17" ht="27" customHeight="1" x14ac:dyDescent="0.2">
      <c r="A57" s="559" t="s">
        <v>11</v>
      </c>
      <c r="B57" s="560" t="s">
        <v>18</v>
      </c>
      <c r="C57" s="1054" t="s">
        <v>18</v>
      </c>
      <c r="D57" s="900" t="s">
        <v>128</v>
      </c>
      <c r="E57" s="427" t="s">
        <v>82</v>
      </c>
      <c r="F57" s="903" t="s">
        <v>27</v>
      </c>
      <c r="G57" s="103" t="s">
        <v>13</v>
      </c>
      <c r="H57" s="327">
        <f>57/3.4528*1000</f>
        <v>16508</v>
      </c>
      <c r="I57" s="463">
        <f>57/3.4528*1000</f>
        <v>16508</v>
      </c>
      <c r="J57" s="534"/>
      <c r="K57" s="731">
        <f>672.5/3.4528*1000</f>
        <v>194769</v>
      </c>
      <c r="L57" s="732">
        <f>672.5/3.4528*1000</f>
        <v>194769</v>
      </c>
      <c r="M57" s="534"/>
      <c r="P57" s="4"/>
    </row>
    <row r="58" spans="1:17" ht="27" customHeight="1" x14ac:dyDescent="0.2">
      <c r="A58" s="561"/>
      <c r="B58" s="562"/>
      <c r="C58" s="1055"/>
      <c r="D58" s="901"/>
      <c r="E58" s="914" t="s">
        <v>85</v>
      </c>
      <c r="F58" s="904"/>
      <c r="G58" s="528"/>
      <c r="H58" s="326"/>
      <c r="I58" s="470"/>
      <c r="J58" s="481"/>
      <c r="K58" s="326"/>
      <c r="L58" s="470"/>
      <c r="M58" s="481"/>
    </row>
    <row r="59" spans="1:17" ht="27" customHeight="1" x14ac:dyDescent="0.2">
      <c r="A59" s="561"/>
      <c r="B59" s="562"/>
      <c r="C59" s="1055"/>
      <c r="D59" s="901"/>
      <c r="E59" s="915"/>
      <c r="F59" s="904"/>
      <c r="G59" s="77"/>
      <c r="H59" s="326"/>
      <c r="I59" s="470"/>
      <c r="J59" s="481"/>
      <c r="K59" s="326"/>
      <c r="L59" s="470"/>
      <c r="M59" s="481"/>
    </row>
    <row r="60" spans="1:17" ht="13.5" thickBot="1" x14ac:dyDescent="0.25">
      <c r="A60" s="572"/>
      <c r="B60" s="573"/>
      <c r="C60" s="1056"/>
      <c r="D60" s="902"/>
      <c r="E60" s="916"/>
      <c r="F60" s="905"/>
      <c r="G60" s="548" t="s">
        <v>14</v>
      </c>
      <c r="H60" s="338">
        <f>SUM(H57:H59)</f>
        <v>16508</v>
      </c>
      <c r="I60" s="461">
        <f>SUM(I57:I59)</f>
        <v>16508</v>
      </c>
      <c r="J60" s="366">
        <f>SUM(J57:J59)</f>
        <v>0</v>
      </c>
      <c r="K60" s="338">
        <f>SUM(K57:K59)</f>
        <v>194769</v>
      </c>
      <c r="L60" s="461">
        <f>SUM(L57:L59)</f>
        <v>194769</v>
      </c>
      <c r="M60" s="366"/>
    </row>
    <row r="61" spans="1:17" ht="15.75" customHeight="1" x14ac:dyDescent="0.2">
      <c r="A61" s="559" t="s">
        <v>11</v>
      </c>
      <c r="B61" s="560" t="s">
        <v>18</v>
      </c>
      <c r="C61" s="1054" t="s">
        <v>24</v>
      </c>
      <c r="D61" s="900" t="s">
        <v>81</v>
      </c>
      <c r="E61" s="427" t="s">
        <v>82</v>
      </c>
      <c r="F61" s="903" t="s">
        <v>27</v>
      </c>
      <c r="G61" s="103" t="s">
        <v>13</v>
      </c>
      <c r="H61" s="327">
        <f>30/3.4528*1000</f>
        <v>8689</v>
      </c>
      <c r="I61" s="463">
        <f>30/3.4528*1000</f>
        <v>8689</v>
      </c>
      <c r="J61" s="534"/>
      <c r="K61" s="731">
        <f>121.2/3.4528*1000</f>
        <v>35102</v>
      </c>
      <c r="L61" s="732">
        <f>121.2/3.4528*1000</f>
        <v>35102</v>
      </c>
      <c r="M61" s="534"/>
    </row>
    <row r="62" spans="1:17" ht="15.75" customHeight="1" x14ac:dyDescent="0.2">
      <c r="A62" s="561"/>
      <c r="B62" s="562"/>
      <c r="C62" s="1055"/>
      <c r="D62" s="901"/>
      <c r="E62" s="906" t="s">
        <v>84</v>
      </c>
      <c r="F62" s="904"/>
      <c r="G62" s="528"/>
      <c r="H62" s="326"/>
      <c r="I62" s="470"/>
      <c r="J62" s="481"/>
      <c r="K62" s="326"/>
      <c r="L62" s="470"/>
      <c r="M62" s="481"/>
    </row>
    <row r="63" spans="1:17" ht="15.75" customHeight="1" x14ac:dyDescent="0.2">
      <c r="A63" s="561"/>
      <c r="B63" s="562"/>
      <c r="C63" s="1055"/>
      <c r="D63" s="901"/>
      <c r="E63" s="907"/>
      <c r="F63" s="904"/>
      <c r="G63" s="77"/>
      <c r="H63" s="326"/>
      <c r="I63" s="470"/>
      <c r="J63" s="481"/>
      <c r="K63" s="326"/>
      <c r="L63" s="470"/>
      <c r="M63" s="481"/>
    </row>
    <row r="64" spans="1:17" ht="13.5" thickBot="1" x14ac:dyDescent="0.25">
      <c r="A64" s="572"/>
      <c r="B64" s="573"/>
      <c r="C64" s="1056"/>
      <c r="D64" s="902"/>
      <c r="E64" s="908"/>
      <c r="F64" s="905"/>
      <c r="G64" s="548" t="s">
        <v>14</v>
      </c>
      <c r="H64" s="338">
        <f>SUM(H61:H63)</f>
        <v>8689</v>
      </c>
      <c r="I64" s="461">
        <f>SUM(I61:I63)</f>
        <v>8689</v>
      </c>
      <c r="J64" s="366">
        <f>SUM(J61:J63)</f>
        <v>0</v>
      </c>
      <c r="K64" s="338">
        <f>SUM(K61:K63)</f>
        <v>35102</v>
      </c>
      <c r="L64" s="461">
        <f>SUM(L61:L63)</f>
        <v>35102</v>
      </c>
      <c r="M64" s="366"/>
    </row>
    <row r="65" spans="1:17" ht="42.75" customHeight="1" x14ac:dyDescent="0.2">
      <c r="A65" s="563" t="s">
        <v>11</v>
      </c>
      <c r="B65" s="564" t="s">
        <v>18</v>
      </c>
      <c r="C65" s="667" t="s">
        <v>46</v>
      </c>
      <c r="D65" s="909" t="s">
        <v>99</v>
      </c>
      <c r="E65" s="911" t="s">
        <v>98</v>
      </c>
      <c r="F65" s="53" t="s">
        <v>12</v>
      </c>
      <c r="G65" s="33" t="s">
        <v>13</v>
      </c>
      <c r="H65" s="339">
        <f>20/3.4528*1000</f>
        <v>5792</v>
      </c>
      <c r="I65" s="489">
        <f>20/3.4528*1000</f>
        <v>5792</v>
      </c>
      <c r="J65" s="482"/>
      <c r="K65" s="733">
        <f>20/3.4528*1000</f>
        <v>5792</v>
      </c>
      <c r="L65" s="737">
        <f>20/3.4528*1000</f>
        <v>5792</v>
      </c>
      <c r="M65" s="482"/>
    </row>
    <row r="66" spans="1:17" ht="13.5" thickBot="1" x14ac:dyDescent="0.25">
      <c r="A66" s="565"/>
      <c r="B66" s="566"/>
      <c r="C66" s="567"/>
      <c r="D66" s="910"/>
      <c r="E66" s="912"/>
      <c r="F66" s="53"/>
      <c r="G66" s="63" t="s">
        <v>14</v>
      </c>
      <c r="H66" s="336">
        <f t="shared" ref="H66:J66" si="6">H65</f>
        <v>5792</v>
      </c>
      <c r="I66" s="488">
        <f t="shared" si="6"/>
        <v>5792</v>
      </c>
      <c r="J66" s="480">
        <f t="shared" si="6"/>
        <v>0</v>
      </c>
      <c r="K66" s="734">
        <f>K65</f>
        <v>5792</v>
      </c>
      <c r="L66" s="472">
        <f>L65</f>
        <v>5792</v>
      </c>
      <c r="M66" s="480"/>
    </row>
    <row r="67" spans="1:17" ht="41.25" customHeight="1" x14ac:dyDescent="0.2">
      <c r="A67" s="574" t="s">
        <v>11</v>
      </c>
      <c r="B67" s="575" t="s">
        <v>18</v>
      </c>
      <c r="C67" s="666" t="s">
        <v>97</v>
      </c>
      <c r="D67" s="190" t="s">
        <v>29</v>
      </c>
      <c r="E67" s="56"/>
      <c r="F67" s="52" t="s">
        <v>16</v>
      </c>
      <c r="G67" s="432" t="s">
        <v>13</v>
      </c>
      <c r="H67" s="497">
        <v>81296</v>
      </c>
      <c r="I67" s="615">
        <f>81296-125-88-713</f>
        <v>80370</v>
      </c>
      <c r="J67" s="677">
        <f>I67-H67</f>
        <v>-926</v>
      </c>
      <c r="K67" s="731"/>
      <c r="L67" s="732"/>
      <c r="M67" s="677"/>
    </row>
    <row r="68" spans="1:17" ht="30" customHeight="1" x14ac:dyDescent="0.2">
      <c r="A68" s="565"/>
      <c r="B68" s="566"/>
      <c r="C68" s="608"/>
      <c r="D68" s="679" t="s">
        <v>129</v>
      </c>
      <c r="E68" s="57"/>
      <c r="F68" s="53"/>
      <c r="G68" s="65"/>
      <c r="H68" s="498"/>
      <c r="I68" s="471"/>
      <c r="J68" s="654"/>
      <c r="K68" s="704"/>
      <c r="L68" s="738"/>
      <c r="M68" s="654"/>
    </row>
    <row r="69" spans="1:17" ht="30.75" customHeight="1" x14ac:dyDescent="0.2">
      <c r="A69" s="565"/>
      <c r="B69" s="566"/>
      <c r="C69" s="608"/>
      <c r="D69" s="662" t="s">
        <v>79</v>
      </c>
      <c r="E69" s="57"/>
      <c r="F69" s="53"/>
      <c r="G69" s="438"/>
      <c r="H69" s="498"/>
      <c r="I69" s="471"/>
      <c r="J69" s="609"/>
      <c r="K69" s="735"/>
      <c r="L69" s="739"/>
      <c r="M69" s="609"/>
    </row>
    <row r="70" spans="1:17" ht="56.25" customHeight="1" x14ac:dyDescent="0.2">
      <c r="A70" s="565"/>
      <c r="B70" s="566"/>
      <c r="C70" s="608"/>
      <c r="D70" s="679" t="s">
        <v>80</v>
      </c>
      <c r="E70" s="57"/>
      <c r="F70" s="53"/>
      <c r="G70" s="65"/>
      <c r="H70" s="498"/>
      <c r="I70" s="471"/>
      <c r="J70" s="609"/>
      <c r="K70" s="735"/>
      <c r="L70" s="739"/>
      <c r="M70" s="609"/>
      <c r="N70" s="4"/>
      <c r="O70" s="4"/>
    </row>
    <row r="71" spans="1:17" ht="18" customHeight="1" x14ac:dyDescent="0.2">
      <c r="A71" s="565"/>
      <c r="B71" s="566"/>
      <c r="C71" s="567"/>
      <c r="D71" s="1040" t="s">
        <v>147</v>
      </c>
      <c r="E71" s="57"/>
      <c r="F71" s="53"/>
      <c r="G71" s="438"/>
      <c r="H71" s="498"/>
      <c r="I71" s="471"/>
      <c r="J71" s="609"/>
      <c r="K71" s="735"/>
      <c r="L71" s="739"/>
      <c r="M71" s="609"/>
      <c r="N71" s="4"/>
      <c r="O71" s="4"/>
    </row>
    <row r="72" spans="1:17" ht="13.5" thickBot="1" x14ac:dyDescent="0.25">
      <c r="A72" s="565"/>
      <c r="B72" s="566"/>
      <c r="C72" s="567"/>
      <c r="D72" s="1060"/>
      <c r="E72" s="58"/>
      <c r="F72" s="54"/>
      <c r="G72" s="44" t="s">
        <v>14</v>
      </c>
      <c r="H72" s="554">
        <f>SUM(H67:H70)</f>
        <v>81296</v>
      </c>
      <c r="I72" s="488">
        <f>SUM(I67:I70)</f>
        <v>80370</v>
      </c>
      <c r="J72" s="480">
        <f>SUM(J67:J70)</f>
        <v>-926</v>
      </c>
      <c r="K72" s="713">
        <f>SUM(K68:K70)</f>
        <v>0</v>
      </c>
      <c r="L72" s="723">
        <f>SUM(L68:L70)</f>
        <v>0</v>
      </c>
      <c r="M72" s="480"/>
    </row>
    <row r="73" spans="1:17" ht="18.75" customHeight="1" x14ac:dyDescent="0.2">
      <c r="A73" s="132" t="s">
        <v>11</v>
      </c>
      <c r="B73" s="863" t="s">
        <v>18</v>
      </c>
      <c r="C73" s="880" t="s">
        <v>104</v>
      </c>
      <c r="D73" s="882" t="s">
        <v>106</v>
      </c>
      <c r="E73" s="884"/>
      <c r="F73" s="886" t="s">
        <v>12</v>
      </c>
      <c r="G73" s="217" t="s">
        <v>13</v>
      </c>
      <c r="H73" s="499">
        <f>100/3.4528*1000</f>
        <v>28962</v>
      </c>
      <c r="I73" s="491">
        <f>100/3.4528*1000</f>
        <v>28962</v>
      </c>
      <c r="J73" s="483"/>
      <c r="K73" s="736">
        <v>0</v>
      </c>
      <c r="L73" s="740">
        <v>0</v>
      </c>
      <c r="M73" s="483"/>
    </row>
    <row r="74" spans="1:17" ht="13.5" thickBot="1" x14ac:dyDescent="0.25">
      <c r="A74" s="135"/>
      <c r="B74" s="864"/>
      <c r="C74" s="881"/>
      <c r="D74" s="883"/>
      <c r="E74" s="885"/>
      <c r="F74" s="887"/>
      <c r="G74" s="313" t="s">
        <v>14</v>
      </c>
      <c r="H74" s="500">
        <f>H73</f>
        <v>28962</v>
      </c>
      <c r="I74" s="492">
        <f>I73</f>
        <v>28962</v>
      </c>
      <c r="J74" s="354">
        <f t="shared" ref="J74:L74" si="7">SUM(J73:J73)</f>
        <v>0</v>
      </c>
      <c r="K74" s="683">
        <f t="shared" si="7"/>
        <v>0</v>
      </c>
      <c r="L74" s="492">
        <f t="shared" si="7"/>
        <v>0</v>
      </c>
      <c r="M74" s="354"/>
      <c r="Q74" s="4"/>
    </row>
    <row r="75" spans="1:17" ht="13.5" thickBot="1" x14ac:dyDescent="0.25">
      <c r="A75" s="129" t="s">
        <v>11</v>
      </c>
      <c r="B75" s="147" t="s">
        <v>18</v>
      </c>
      <c r="C75" s="832" t="s">
        <v>19</v>
      </c>
      <c r="D75" s="832"/>
      <c r="E75" s="832"/>
      <c r="F75" s="832"/>
      <c r="G75" s="832"/>
      <c r="H75" s="469">
        <f>H72+H66+H64+H60+H56+H51+H74</f>
        <v>1486475</v>
      </c>
      <c r="I75" s="466">
        <f>I72+I66+I64+I60+I56+I51+I74</f>
        <v>1442867</v>
      </c>
      <c r="J75" s="613">
        <f>J72+J66+J60+J64+J56+J51</f>
        <v>-43608</v>
      </c>
      <c r="K75" s="383">
        <f>K72+K66+K60+K64+K56+K51</f>
        <v>14230797</v>
      </c>
      <c r="L75" s="741">
        <f>L72+L66+L60+L64+L56+L51</f>
        <v>14399372</v>
      </c>
      <c r="M75" s="613">
        <f>M74+M72+M66+M64+M60+M56+M51</f>
        <v>168575</v>
      </c>
    </row>
    <row r="76" spans="1:17" ht="13.5" customHeight="1" thickBot="1" x14ac:dyDescent="0.25">
      <c r="A76" s="156" t="s">
        <v>11</v>
      </c>
      <c r="B76" s="131" t="s">
        <v>24</v>
      </c>
      <c r="C76" s="935" t="s">
        <v>52</v>
      </c>
      <c r="D76" s="937"/>
      <c r="E76" s="937"/>
      <c r="F76" s="937"/>
      <c r="G76" s="937"/>
      <c r="H76" s="937"/>
      <c r="I76" s="937"/>
      <c r="J76" s="937"/>
      <c r="K76" s="937"/>
      <c r="L76" s="937"/>
      <c r="M76" s="938"/>
    </row>
    <row r="77" spans="1:17" ht="29.25" customHeight="1" x14ac:dyDescent="0.2">
      <c r="A77" s="132" t="s">
        <v>11</v>
      </c>
      <c r="B77" s="657" t="s">
        <v>24</v>
      </c>
      <c r="C77" s="664" t="s">
        <v>11</v>
      </c>
      <c r="D77" s="873" t="s">
        <v>49</v>
      </c>
      <c r="E77" s="19"/>
      <c r="F77" s="660" t="s">
        <v>12</v>
      </c>
      <c r="G77" s="216" t="s">
        <v>13</v>
      </c>
      <c r="H77" s="342">
        <f>2314.3/3.4528*1000</f>
        <v>670268</v>
      </c>
      <c r="I77" s="490">
        <f>2314.3/3.4528*1000</f>
        <v>670268</v>
      </c>
      <c r="J77" s="363"/>
      <c r="K77" s="689">
        <f>1300/3.4528*1000</f>
        <v>376506</v>
      </c>
      <c r="L77" s="744">
        <f>1300/3.4528*1000</f>
        <v>376506</v>
      </c>
      <c r="M77" s="363"/>
    </row>
    <row r="78" spans="1:17" ht="13.5" thickBot="1" x14ac:dyDescent="0.25">
      <c r="A78" s="135"/>
      <c r="B78" s="658"/>
      <c r="C78" s="665"/>
      <c r="D78" s="874"/>
      <c r="E78" s="404"/>
      <c r="F78" s="661"/>
      <c r="G78" s="405" t="s">
        <v>14</v>
      </c>
      <c r="H78" s="384">
        <f t="shared" ref="H78:J78" si="8">H77</f>
        <v>670268</v>
      </c>
      <c r="I78" s="488">
        <f t="shared" si="8"/>
        <v>670268</v>
      </c>
      <c r="J78" s="385">
        <f t="shared" si="8"/>
        <v>0</v>
      </c>
      <c r="K78" s="336">
        <f>K77</f>
        <v>376506</v>
      </c>
      <c r="L78" s="488">
        <f>L77</f>
        <v>376506</v>
      </c>
      <c r="M78" s="385"/>
    </row>
    <row r="79" spans="1:17" ht="42" customHeight="1" x14ac:dyDescent="0.2">
      <c r="A79" s="861" t="s">
        <v>11</v>
      </c>
      <c r="B79" s="863" t="s">
        <v>24</v>
      </c>
      <c r="C79" s="865" t="s">
        <v>15</v>
      </c>
      <c r="D79" s="867" t="s">
        <v>31</v>
      </c>
      <c r="E79" s="869"/>
      <c r="F79" s="871" t="s">
        <v>12</v>
      </c>
      <c r="G79" s="103" t="s">
        <v>13</v>
      </c>
      <c r="H79" s="320">
        <f>50/3.4528*1000</f>
        <v>14481</v>
      </c>
      <c r="I79" s="463">
        <f>50/3.4528*1000</f>
        <v>14481</v>
      </c>
      <c r="J79" s="363"/>
      <c r="K79" s="689">
        <f>50/3.4528*1000</f>
        <v>14481</v>
      </c>
      <c r="L79" s="744">
        <f>50/3.4528*1000</f>
        <v>14481</v>
      </c>
      <c r="M79" s="363"/>
    </row>
    <row r="80" spans="1:17" ht="13.5" thickBot="1" x14ac:dyDescent="0.25">
      <c r="A80" s="862"/>
      <c r="B80" s="864"/>
      <c r="C80" s="866"/>
      <c r="D80" s="868"/>
      <c r="E80" s="870"/>
      <c r="F80" s="872"/>
      <c r="G80" s="39" t="s">
        <v>14</v>
      </c>
      <c r="H80" s="324">
        <f>H79</f>
        <v>14481</v>
      </c>
      <c r="I80" s="461">
        <f>I79</f>
        <v>14481</v>
      </c>
      <c r="J80" s="385">
        <f>SUM(J79:J79)</f>
        <v>0</v>
      </c>
      <c r="K80" s="336">
        <f>SUM(K79:K79)</f>
        <v>14481</v>
      </c>
      <c r="L80" s="488">
        <f>SUM(L79:L79)</f>
        <v>14481</v>
      </c>
      <c r="M80" s="385"/>
    </row>
    <row r="81" spans="1:13" ht="13.5" thickBot="1" x14ac:dyDescent="0.25">
      <c r="A81" s="129" t="s">
        <v>11</v>
      </c>
      <c r="B81" s="147" t="s">
        <v>24</v>
      </c>
      <c r="C81" s="832" t="s">
        <v>19</v>
      </c>
      <c r="D81" s="832"/>
      <c r="E81" s="832"/>
      <c r="F81" s="832"/>
      <c r="G81" s="832"/>
      <c r="H81" s="325">
        <f>H80+H78</f>
        <v>684749</v>
      </c>
      <c r="I81" s="466">
        <f>I80+I78</f>
        <v>684749</v>
      </c>
      <c r="J81" s="468">
        <f>J78+J80</f>
        <v>0</v>
      </c>
      <c r="K81" s="386">
        <f>K78+K80</f>
        <v>390987</v>
      </c>
      <c r="L81" s="466">
        <f>L78+L80</f>
        <v>390987</v>
      </c>
      <c r="M81" s="468">
        <f>M78+M80</f>
        <v>0</v>
      </c>
    </row>
    <row r="82" spans="1:13" ht="13.5" thickBot="1" x14ac:dyDescent="0.25">
      <c r="A82" s="129" t="s">
        <v>11</v>
      </c>
      <c r="B82" s="833" t="s">
        <v>32</v>
      </c>
      <c r="C82" s="834"/>
      <c r="D82" s="834"/>
      <c r="E82" s="834"/>
      <c r="F82" s="834"/>
      <c r="G82" s="834"/>
      <c r="H82" s="344">
        <f>H81+H75+H40+H19</f>
        <v>6522370</v>
      </c>
      <c r="I82" s="495">
        <f>I81+I75+I40+I19</f>
        <v>6519936</v>
      </c>
      <c r="J82" s="493">
        <f>+J19+J40+J81+J75</f>
        <v>-2434</v>
      </c>
      <c r="K82" s="742">
        <f>+K19+K40+K81+K75</f>
        <v>18882471</v>
      </c>
      <c r="L82" s="745">
        <f>+L19+L40+L81+L75</f>
        <v>19051046</v>
      </c>
      <c r="M82" s="493">
        <f>+M19+M40+M81+M75</f>
        <v>168575</v>
      </c>
    </row>
    <row r="83" spans="1:13" ht="13.5" thickBot="1" x14ac:dyDescent="0.25">
      <c r="A83" s="576" t="s">
        <v>33</v>
      </c>
      <c r="B83" s="835" t="s">
        <v>34</v>
      </c>
      <c r="C83" s="836"/>
      <c r="D83" s="836"/>
      <c r="E83" s="836"/>
      <c r="F83" s="836"/>
      <c r="G83" s="836"/>
      <c r="H83" s="345">
        <f t="shared" ref="H83:J83" si="9">H82</f>
        <v>6522370</v>
      </c>
      <c r="I83" s="496">
        <f t="shared" si="9"/>
        <v>6519936</v>
      </c>
      <c r="J83" s="494">
        <f t="shared" si="9"/>
        <v>-2434</v>
      </c>
      <c r="K83" s="743">
        <f>K82</f>
        <v>18882471</v>
      </c>
      <c r="L83" s="746">
        <f>L82</f>
        <v>19051046</v>
      </c>
      <c r="M83" s="494">
        <f t="shared" ref="M83" si="10">M82</f>
        <v>168575</v>
      </c>
    </row>
    <row r="84" spans="1:13" x14ac:dyDescent="0.2">
      <c r="A84" s="577"/>
      <c r="B84" s="578"/>
      <c r="C84" s="578"/>
      <c r="D84" s="211"/>
      <c r="E84" s="211"/>
      <c r="F84" s="211"/>
      <c r="G84" s="211"/>
      <c r="H84" s="346"/>
      <c r="I84" s="346"/>
      <c r="J84" s="389"/>
      <c r="K84" s="214"/>
    </row>
    <row r="85" spans="1:13" ht="15" customHeight="1" thickBot="1" x14ac:dyDescent="0.25">
      <c r="A85" s="1033" t="s">
        <v>35</v>
      </c>
      <c r="B85" s="1033"/>
      <c r="C85" s="1033"/>
      <c r="D85" s="1033"/>
      <c r="E85" s="1033"/>
      <c r="F85" s="1033"/>
      <c r="G85" s="1033"/>
      <c r="H85" s="1033"/>
      <c r="I85" s="1033"/>
      <c r="J85" s="1033"/>
      <c r="K85" s="1033"/>
      <c r="L85" s="1033"/>
      <c r="M85" s="1033"/>
    </row>
    <row r="86" spans="1:13" ht="51.75" customHeight="1" x14ac:dyDescent="0.2">
      <c r="A86" s="1058" t="s">
        <v>36</v>
      </c>
      <c r="B86" s="1059"/>
      <c r="C86" s="1059"/>
      <c r="D86" s="1059"/>
      <c r="E86" s="1059"/>
      <c r="F86" s="1059"/>
      <c r="G86" s="1059"/>
      <c r="H86" s="454" t="s">
        <v>114</v>
      </c>
      <c r="I86" s="454" t="s">
        <v>136</v>
      </c>
      <c r="J86" s="455" t="s">
        <v>132</v>
      </c>
      <c r="K86" s="454" t="s">
        <v>150</v>
      </c>
      <c r="L86" s="454" t="s">
        <v>151</v>
      </c>
      <c r="M86" s="455" t="s">
        <v>132</v>
      </c>
    </row>
    <row r="87" spans="1:13" x14ac:dyDescent="0.2">
      <c r="A87" s="1050" t="s">
        <v>37</v>
      </c>
      <c r="B87" s="1051"/>
      <c r="C87" s="1051"/>
      <c r="D87" s="1051"/>
      <c r="E87" s="1051"/>
      <c r="F87" s="1051"/>
      <c r="G87" s="1052"/>
      <c r="H87" s="451">
        <f t="shared" ref="H87:M87" ca="1" si="11">SUM(H88:H92)</f>
        <v>6338461</v>
      </c>
      <c r="I87" s="451">
        <f t="shared" si="11"/>
        <v>6336027</v>
      </c>
      <c r="J87" s="456">
        <f t="shared" si="11"/>
        <v>-2434</v>
      </c>
      <c r="K87" s="451">
        <f t="shared" si="11"/>
        <v>7319449</v>
      </c>
      <c r="L87" s="451">
        <f t="shared" si="11"/>
        <v>7488024</v>
      </c>
      <c r="M87" s="456">
        <f t="shared" si="11"/>
        <v>168575</v>
      </c>
    </row>
    <row r="88" spans="1:13" x14ac:dyDescent="0.2">
      <c r="A88" s="841" t="s">
        <v>38</v>
      </c>
      <c r="B88" s="842"/>
      <c r="C88" s="842"/>
      <c r="D88" s="842"/>
      <c r="E88" s="842"/>
      <c r="F88" s="842"/>
      <c r="G88" s="1053"/>
      <c r="H88" s="452">
        <f ca="1">SUMIF(G13:H79,"sb",H13:H79)</f>
        <v>5135482</v>
      </c>
      <c r="I88" s="452">
        <f>SUMIF(G13:G79,"sb",I13:I79)</f>
        <v>5091874</v>
      </c>
      <c r="J88" s="457">
        <f>SUMIF(G13:G80,"sb",J13:J80)</f>
        <v>-43608</v>
      </c>
      <c r="K88" s="452">
        <f>SUMIF(G13:G79,"sb",K13:K79)</f>
        <v>5158972</v>
      </c>
      <c r="L88" s="452">
        <f>SUMIF(G13:G79,"sb",L13:L79)</f>
        <v>5327547</v>
      </c>
      <c r="M88" s="750">
        <f>L88-K88</f>
        <v>168575</v>
      </c>
    </row>
    <row r="89" spans="1:13" ht="12.75" customHeight="1" x14ac:dyDescent="0.2">
      <c r="A89" s="819" t="s">
        <v>39</v>
      </c>
      <c r="B89" s="820"/>
      <c r="C89" s="820"/>
      <c r="D89" s="820"/>
      <c r="E89" s="820"/>
      <c r="F89" s="820"/>
      <c r="G89" s="1049"/>
      <c r="H89" s="453">
        <f>SUMIF(G13:G79,"sb(sp)",H13:H79)</f>
        <v>240443</v>
      </c>
      <c r="I89" s="453">
        <f>SUMIF(G13:G79,"sb(sp)",I13:I79)</f>
        <v>281617</v>
      </c>
      <c r="J89" s="458">
        <f>SUMIF(G19:G78,G22,J19:J78)</f>
        <v>41174</v>
      </c>
      <c r="K89" s="453">
        <f>SUMIF(G13:G79,"sb(sp)",K13:K79)</f>
        <v>223036</v>
      </c>
      <c r="L89" s="453">
        <f>SUMIF(G13:G79,"sb(sp)",L13:L79)</f>
        <v>223036</v>
      </c>
      <c r="M89" s="458"/>
    </row>
    <row r="90" spans="1:13" x14ac:dyDescent="0.2">
      <c r="A90" s="819" t="s">
        <v>40</v>
      </c>
      <c r="B90" s="820"/>
      <c r="C90" s="820"/>
      <c r="D90" s="820"/>
      <c r="E90" s="820"/>
      <c r="F90" s="820"/>
      <c r="G90" s="1049"/>
      <c r="H90" s="453">
        <f>SUMIF(G13:G79,"sb(p)",H13:H79)</f>
        <v>435531</v>
      </c>
      <c r="I90" s="453">
        <f>SUMIF(G13:G79,"sb(p)",I13:I79)</f>
        <v>435531</v>
      </c>
      <c r="J90" s="459">
        <f>SUMIF(G13:G78,"sb(p)",J13:J78)</f>
        <v>0</v>
      </c>
      <c r="K90" s="453">
        <f>SUMIF(G13:G79,"sb(p)",K13:K79)</f>
        <v>1062789</v>
      </c>
      <c r="L90" s="453">
        <f>SUMIF(G13:G79,"sb(p)",L13:L79)</f>
        <v>1062789</v>
      </c>
      <c r="M90" s="459">
        <f>SUMIF(J13:J78,"sb(p)",M13:M78)</f>
        <v>0</v>
      </c>
    </row>
    <row r="91" spans="1:13" x14ac:dyDescent="0.2">
      <c r="A91" s="825" t="s">
        <v>139</v>
      </c>
      <c r="B91" s="826"/>
      <c r="C91" s="826"/>
      <c r="D91" s="826"/>
      <c r="E91" s="826"/>
      <c r="F91" s="826"/>
      <c r="G91" s="1070"/>
      <c r="H91" s="453">
        <f>SUMIF(G13:G79,"SB(SPL)",H13:H79)</f>
        <v>68414</v>
      </c>
      <c r="I91" s="453">
        <f>SUMIF(G13:G79,"SB(SPL)",I13:I79)</f>
        <v>68414</v>
      </c>
      <c r="J91" s="533">
        <f>SUMIF(G13:G79,"SB(SPL)",J13:J79)</f>
        <v>0</v>
      </c>
      <c r="K91" s="453">
        <f>SUMIF(G13:G79,"SB(SPL)",K13:K79)</f>
        <v>0</v>
      </c>
      <c r="L91" s="453">
        <f>SUMIF(G13:G79,"SB(SPL)",L13:L79)</f>
        <v>0</v>
      </c>
      <c r="M91" s="533">
        <f>SUMIF(J13:J79,"SB(SPL)",M13:M79)</f>
        <v>0</v>
      </c>
    </row>
    <row r="92" spans="1:13" ht="16.5" customHeight="1" x14ac:dyDescent="0.2">
      <c r="A92" s="819" t="s">
        <v>41</v>
      </c>
      <c r="B92" s="820"/>
      <c r="C92" s="820"/>
      <c r="D92" s="820"/>
      <c r="E92" s="820"/>
      <c r="F92" s="820"/>
      <c r="G92" s="1049"/>
      <c r="H92" s="453">
        <f>SUMIF(G13:G79,"sb(vb)",H13:H79)</f>
        <v>458591</v>
      </c>
      <c r="I92" s="453">
        <f>SUMIF(G13:G79,"sb(vb)",I13:I79)</f>
        <v>458591</v>
      </c>
      <c r="J92" s="459">
        <f>I92-H92</f>
        <v>0</v>
      </c>
      <c r="K92" s="453">
        <f>SUMIF(G13:G79,"sb(vb)",K13:K79)</f>
        <v>874652</v>
      </c>
      <c r="L92" s="453">
        <f>SUMIF(G13:G79,"sb(vb)",L13:L79)</f>
        <v>874652</v>
      </c>
      <c r="M92" s="459">
        <f>L92-K92</f>
        <v>0</v>
      </c>
    </row>
    <row r="93" spans="1:13" x14ac:dyDescent="0.2">
      <c r="A93" s="822" t="s">
        <v>42</v>
      </c>
      <c r="B93" s="823"/>
      <c r="C93" s="823"/>
      <c r="D93" s="823"/>
      <c r="E93" s="823"/>
      <c r="F93" s="823"/>
      <c r="G93" s="823"/>
      <c r="H93" s="451">
        <f>SUM(H94:H94)</f>
        <v>183909</v>
      </c>
      <c r="I93" s="451">
        <f>SUM(I94:I94)</f>
        <v>183909</v>
      </c>
      <c r="J93" s="460">
        <f>SUM(J94:J94)</f>
        <v>0</v>
      </c>
      <c r="K93" s="451">
        <f>SUM(K94:K95)</f>
        <v>11563022</v>
      </c>
      <c r="L93" s="451">
        <f>SUM(L94:L95)</f>
        <v>11563022</v>
      </c>
      <c r="M93" s="460">
        <f>SUM(M94:M94)</f>
        <v>0</v>
      </c>
    </row>
    <row r="94" spans="1:13" x14ac:dyDescent="0.2">
      <c r="A94" s="841" t="s">
        <v>44</v>
      </c>
      <c r="B94" s="842"/>
      <c r="C94" s="842"/>
      <c r="D94" s="842"/>
      <c r="E94" s="842"/>
      <c r="F94" s="842"/>
      <c r="G94" s="1053"/>
      <c r="H94" s="452">
        <f>SUMIF(G13:G79,"kt",H13:H79)</f>
        <v>183909</v>
      </c>
      <c r="I94" s="452">
        <f>SUMIF(G13:G79,"kt",I13:I79)</f>
        <v>183909</v>
      </c>
      <c r="J94" s="458">
        <f>SUMIF(G13:G78,"kt",J13:J78)</f>
        <v>0</v>
      </c>
      <c r="K94" s="452">
        <f>SUMIF(G13:G79,"kt",K13:K79)</f>
        <v>434430</v>
      </c>
      <c r="L94" s="452">
        <f>SUMIF(G13:G79,"kt",L13:L79)</f>
        <v>434430</v>
      </c>
      <c r="M94" s="458">
        <f>SUMIF(J13:J78,"kt",M13:M78)</f>
        <v>0</v>
      </c>
    </row>
    <row r="95" spans="1:13" x14ac:dyDescent="0.2">
      <c r="A95" s="1061" t="s">
        <v>152</v>
      </c>
      <c r="B95" s="1062"/>
      <c r="C95" s="1062"/>
      <c r="D95" s="1062"/>
      <c r="E95" s="1062"/>
      <c r="F95" s="1062"/>
      <c r="G95" s="1063"/>
      <c r="H95" s="749"/>
      <c r="I95" s="749"/>
      <c r="J95" s="696"/>
      <c r="K95" s="749">
        <f>SUMIF(G13:G79,"es",K13:K79)</f>
        <v>11128592</v>
      </c>
      <c r="L95" s="749">
        <f>SUMIF(G13:G79,"es",L13:L79)</f>
        <v>11128592</v>
      </c>
      <c r="M95" s="696"/>
    </row>
    <row r="96" spans="1:13" ht="13.5" thickBot="1" x14ac:dyDescent="0.25">
      <c r="A96" s="1047" t="s">
        <v>14</v>
      </c>
      <c r="B96" s="1048"/>
      <c r="C96" s="1048"/>
      <c r="D96" s="1048"/>
      <c r="E96" s="1048"/>
      <c r="F96" s="1048"/>
      <c r="G96" s="1048"/>
      <c r="H96" s="461">
        <f t="shared" ref="H96:M96" ca="1" si="12">H93+H87</f>
        <v>6522370</v>
      </c>
      <c r="I96" s="461">
        <f t="shared" si="12"/>
        <v>6519936</v>
      </c>
      <c r="J96" s="462">
        <f t="shared" si="12"/>
        <v>-2434</v>
      </c>
      <c r="K96" s="461">
        <f t="shared" si="12"/>
        <v>18882471</v>
      </c>
      <c r="L96" s="461">
        <f t="shared" si="12"/>
        <v>19051046</v>
      </c>
      <c r="M96" s="462">
        <f t="shared" si="12"/>
        <v>168575</v>
      </c>
    </row>
    <row r="110" spans="8:10" x14ac:dyDescent="0.2">
      <c r="H110" s="1"/>
      <c r="I110" s="1"/>
      <c r="J110" s="1"/>
    </row>
    <row r="111" spans="8:10" x14ac:dyDescent="0.2">
      <c r="H111" s="1"/>
      <c r="I111" s="1"/>
      <c r="J111" s="1"/>
    </row>
  </sheetData>
  <mergeCells count="93">
    <mergeCell ref="A95:G95"/>
    <mergeCell ref="K6:K8"/>
    <mergeCell ref="L6:L8"/>
    <mergeCell ref="M6:M8"/>
    <mergeCell ref="A9:M9"/>
    <mergeCell ref="A10:M10"/>
    <mergeCell ref="A91:G91"/>
    <mergeCell ref="A94:G94"/>
    <mergeCell ref="F57:F60"/>
    <mergeCell ref="E58:E60"/>
    <mergeCell ref="C61:C64"/>
    <mergeCell ref="D61:D64"/>
    <mergeCell ref="F61:F64"/>
    <mergeCell ref="E62:E64"/>
    <mergeCell ref="E32:E35"/>
    <mergeCell ref="D52:D56"/>
    <mergeCell ref="L1:M1"/>
    <mergeCell ref="A86:G86"/>
    <mergeCell ref="A79:A80"/>
    <mergeCell ref="B79:B80"/>
    <mergeCell ref="C79:C80"/>
    <mergeCell ref="D79:D80"/>
    <mergeCell ref="E79:E80"/>
    <mergeCell ref="F79:F80"/>
    <mergeCell ref="D77:D78"/>
    <mergeCell ref="D65:D66"/>
    <mergeCell ref="E65:E66"/>
    <mergeCell ref="D71:D72"/>
    <mergeCell ref="C73:C74"/>
    <mergeCell ref="D73:D74"/>
    <mergeCell ref="D57:D60"/>
    <mergeCell ref="C76:M76"/>
    <mergeCell ref="A96:G96"/>
    <mergeCell ref="I6:I8"/>
    <mergeCell ref="A92:G92"/>
    <mergeCell ref="A93:G93"/>
    <mergeCell ref="A89:G89"/>
    <mergeCell ref="A90:G90"/>
    <mergeCell ref="A87:G87"/>
    <mergeCell ref="A88:G88"/>
    <mergeCell ref="C81:G81"/>
    <mergeCell ref="B82:G82"/>
    <mergeCell ref="B83:G83"/>
    <mergeCell ref="B73:B74"/>
    <mergeCell ref="E73:E74"/>
    <mergeCell ref="F73:F74"/>
    <mergeCell ref="C75:G75"/>
    <mergeCell ref="C57:C60"/>
    <mergeCell ref="E51:G51"/>
    <mergeCell ref="D46:D47"/>
    <mergeCell ref="D48:D50"/>
    <mergeCell ref="D38:D39"/>
    <mergeCell ref="C40:G40"/>
    <mergeCell ref="D43:D45"/>
    <mergeCell ref="C41:M41"/>
    <mergeCell ref="D17:D18"/>
    <mergeCell ref="E17:E18"/>
    <mergeCell ref="D30:D31"/>
    <mergeCell ref="D36:D37"/>
    <mergeCell ref="C19:G19"/>
    <mergeCell ref="D21:D24"/>
    <mergeCell ref="C20:M20"/>
    <mergeCell ref="A2:M2"/>
    <mergeCell ref="A3:M3"/>
    <mergeCell ref="D15:D16"/>
    <mergeCell ref="E15:E16"/>
    <mergeCell ref="F15:F16"/>
    <mergeCell ref="C13:C14"/>
    <mergeCell ref="D13:D14"/>
    <mergeCell ref="E13:E14"/>
    <mergeCell ref="F13:F14"/>
    <mergeCell ref="A13:A14"/>
    <mergeCell ref="B13:B14"/>
    <mergeCell ref="A15:A16"/>
    <mergeCell ref="B15:B16"/>
    <mergeCell ref="C15:C16"/>
    <mergeCell ref="A4:M4"/>
    <mergeCell ref="A85:M85"/>
    <mergeCell ref="C12:M12"/>
    <mergeCell ref="A6:A8"/>
    <mergeCell ref="B6:B8"/>
    <mergeCell ref="C6:C8"/>
    <mergeCell ref="D6:D8"/>
    <mergeCell ref="E6:E8"/>
    <mergeCell ref="G6:G8"/>
    <mergeCell ref="H6:H8"/>
    <mergeCell ref="J6:J8"/>
    <mergeCell ref="F6:F8"/>
    <mergeCell ref="B11:M11"/>
    <mergeCell ref="F17:F18"/>
    <mergeCell ref="A17:A18"/>
    <mergeCell ref="B17:B18"/>
    <mergeCell ref="C17:C18"/>
  </mergeCells>
  <printOptions horizontalCentered="1"/>
  <pageMargins left="0" right="0" top="0.39370078740157483" bottom="0.39370078740157483" header="0.31496062992125984" footer="0.31496062992125984"/>
  <pageSetup paperSize="9" scale="85" orientation="portrait" r:id="rId1"/>
  <rowBreaks count="2" manualBreakCount="2">
    <brk id="47" max="12" man="1"/>
    <brk id="84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Asignavimu valdytoju kodai</vt:lpstr>
      <vt:lpstr>11 programa</vt:lpstr>
      <vt:lpstr>Lyginamasis variantas</vt:lpstr>
      <vt:lpstr>'11 programa'!Print_Area</vt:lpstr>
      <vt:lpstr>'Lyginamasis variantas'!Print_Area</vt:lpstr>
      <vt:lpstr>'11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Virginija Palaimiene</cp:lastModifiedBy>
  <cp:lastPrinted>2015-10-29T07:53:41Z</cp:lastPrinted>
  <dcterms:created xsi:type="dcterms:W3CDTF">2013-09-20T07:05:01Z</dcterms:created>
  <dcterms:modified xsi:type="dcterms:W3CDTF">2015-11-02T09:42:24Z</dcterms:modified>
</cp:coreProperties>
</file>