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T2-322\"/>
    </mc:Choice>
  </mc:AlternateContent>
  <bookViews>
    <workbookView xWindow="0" yWindow="1275" windowWidth="19200" windowHeight="10620" tabRatio="723" firstSheet="3" activeTab="3"/>
  </bookViews>
  <sheets>
    <sheet name="2014-2016 SVP" sheetId="32" state="hidden" r:id="rId1"/>
    <sheet name="Asignavimu valdytojų kodai" sheetId="35" state="hidden" r:id="rId2"/>
    <sheet name="10 pr. Lt" sheetId="38" state="hidden" r:id="rId3"/>
    <sheet name="10 programa " sheetId="37" r:id="rId4"/>
    <sheet name="Lyginamasis variantas" sheetId="41" state="hidden" r:id="rId5"/>
    <sheet name="Isakymo lyginamasis" sheetId="43" state="hidden" r:id="rId6"/>
  </sheets>
  <definedNames>
    <definedName name="_xlnm.Print_Area" localSheetId="2">'10 pr. Lt'!$A$1:$R$161</definedName>
    <definedName name="_xlnm.Print_Area" localSheetId="3">'10 programa '!$A$1:$N$159</definedName>
    <definedName name="_xlnm.Print_Area" localSheetId="0">'2014-2016 SVP'!$A$1:$R$170</definedName>
    <definedName name="_xlnm.Print_Area" localSheetId="5">'Isakymo lyginamasis'!$A$1:$R$163</definedName>
    <definedName name="_xlnm.Print_Area" localSheetId="4">'Lyginamasis variantas'!$A$1:$J$151</definedName>
    <definedName name="_xlnm.Print_Titles" localSheetId="2">'10 pr. Lt'!$5:$7</definedName>
    <definedName name="_xlnm.Print_Titles" localSheetId="3">'10 programa '!$5:$7</definedName>
    <definedName name="_xlnm.Print_Titles" localSheetId="0">'2014-2016 SVP'!$5:$7</definedName>
    <definedName name="_xlnm.Print_Titles" localSheetId="5">'Isakymo lyginamasis'!$5:$7</definedName>
    <definedName name="_xlnm.Print_Titles" localSheetId="4">'Lyginamasis variantas'!$6:$8</definedName>
  </definedNames>
  <calcPr calcId="152511" fullPrecision="0"/>
</workbook>
</file>

<file path=xl/calcChain.xml><?xml version="1.0" encoding="utf-8"?>
<calcChain xmlns="http://schemas.openxmlformats.org/spreadsheetml/2006/main">
  <c r="I36" i="37" l="1"/>
  <c r="J30" i="41"/>
  <c r="H55" i="41" l="1"/>
  <c r="H34" i="41"/>
  <c r="H15" i="41"/>
  <c r="H13" i="41"/>
  <c r="H28" i="41" l="1"/>
  <c r="I112" i="41" l="1"/>
  <c r="J112" i="41" s="1"/>
  <c r="I55" i="41"/>
  <c r="I61" i="37" l="1"/>
  <c r="H61" i="37" l="1"/>
  <c r="M116" i="37" l="1"/>
  <c r="N116" i="37"/>
  <c r="L116" i="37"/>
  <c r="H116" i="37" l="1"/>
  <c r="L40" i="37" l="1"/>
  <c r="H40" i="37"/>
  <c r="I34" i="41"/>
  <c r="H14" i="37" l="1"/>
  <c r="H12" i="37" l="1"/>
  <c r="H116" i="41" l="1"/>
  <c r="H105" i="41"/>
  <c r="H99" i="37" l="1"/>
  <c r="I93" i="41"/>
  <c r="H35" i="37"/>
  <c r="I28" i="41" l="1"/>
  <c r="H122" i="37" l="1"/>
  <c r="I122" i="37"/>
  <c r="I116" i="41"/>
  <c r="H110" i="37" l="1"/>
  <c r="I105" i="41"/>
  <c r="H72" i="41"/>
  <c r="H158" i="37" l="1"/>
  <c r="I12" i="37" l="1"/>
  <c r="J109" i="41"/>
  <c r="J111" i="41" s="1"/>
  <c r="H126" i="41" l="1"/>
  <c r="H125" i="41"/>
  <c r="H102" i="41"/>
  <c r="H88" i="41"/>
  <c r="H84" i="41"/>
  <c r="H87" i="41" s="1"/>
  <c r="H70" i="41"/>
  <c r="H67" i="41"/>
  <c r="H68" i="41" s="1"/>
  <c r="H64" i="41"/>
  <c r="I88" i="41" l="1"/>
  <c r="I84" i="41"/>
  <c r="I126" i="41" l="1"/>
  <c r="H132" i="37"/>
  <c r="J100" i="41" l="1"/>
  <c r="H107" i="37" l="1"/>
  <c r="I102" i="41"/>
  <c r="J63" i="41"/>
  <c r="I72" i="41"/>
  <c r="J71" i="41"/>
  <c r="J72" i="41" s="1"/>
  <c r="H78" i="37"/>
  <c r="H81" i="41" l="1"/>
  <c r="I81" i="41"/>
  <c r="J79" i="41"/>
  <c r="J81" i="41" s="1"/>
  <c r="H70" i="37" l="1"/>
  <c r="H71" i="37" s="1"/>
  <c r="I109" i="37" l="1"/>
  <c r="I79" i="37"/>
  <c r="J157" i="37" l="1"/>
  <c r="I103" i="37"/>
  <c r="I106" i="37" s="1"/>
  <c r="H103" i="37"/>
  <c r="H106" i="37" s="1"/>
  <c r="J98" i="41"/>
  <c r="I97" i="41"/>
  <c r="I101" i="41" s="1"/>
  <c r="H97" i="41"/>
  <c r="H101" i="41" s="1"/>
  <c r="J55" i="41"/>
  <c r="J56" i="41" l="1"/>
  <c r="J113" i="41" l="1"/>
  <c r="J114" i="41" s="1"/>
  <c r="I67" i="41"/>
  <c r="J88" i="41" l="1"/>
  <c r="J89" i="41" s="1"/>
  <c r="I104" i="41" l="1"/>
  <c r="H109" i="37"/>
  <c r="I70" i="41"/>
  <c r="J69" i="41"/>
  <c r="H76" i="37"/>
  <c r="J70" i="41" l="1"/>
  <c r="J67" i="41" l="1"/>
  <c r="I76" i="41"/>
  <c r="J109" i="37" l="1"/>
  <c r="I131" i="41"/>
  <c r="H131" i="41"/>
  <c r="I111" i="41"/>
  <c r="H111" i="41"/>
  <c r="I96" i="37"/>
  <c r="I91" i="41"/>
  <c r="H91" i="41"/>
  <c r="I78" i="41"/>
  <c r="I82" i="41" s="1"/>
  <c r="H78" i="41"/>
  <c r="H82" i="41" s="1"/>
  <c r="J103" i="41"/>
  <c r="J102" i="41"/>
  <c r="H146" i="41" l="1"/>
  <c r="H147" i="41"/>
  <c r="H145" i="41"/>
  <c r="H143" i="41"/>
  <c r="H142" i="41"/>
  <c r="H104" i="41"/>
  <c r="H93" i="41"/>
  <c r="H89" i="41"/>
  <c r="H48" i="41"/>
  <c r="H46" i="41"/>
  <c r="H47" i="41" s="1"/>
  <c r="H45" i="41"/>
  <c r="H42" i="41"/>
  <c r="H43" i="41" s="1"/>
  <c r="H38" i="41"/>
  <c r="H39" i="41" s="1"/>
  <c r="H36" i="41"/>
  <c r="H37" i="41" s="1"/>
  <c r="H35" i="41"/>
  <c r="H33" i="41"/>
  <c r="H29" i="41"/>
  <c r="H31" i="41" l="1"/>
  <c r="J29" i="41"/>
  <c r="J31" i="41" s="1"/>
  <c r="H50" i="41"/>
  <c r="J48" i="41"/>
  <c r="J50" i="41" s="1"/>
  <c r="H40" i="41"/>
  <c r="H95" i="41"/>
  <c r="J93" i="41"/>
  <c r="J95" i="41" s="1"/>
  <c r="H144" i="41"/>
  <c r="I154" i="37"/>
  <c r="I153" i="37"/>
  <c r="I152" i="37"/>
  <c r="I150" i="37"/>
  <c r="I149" i="37"/>
  <c r="H150" i="37" l="1"/>
  <c r="I143" i="41"/>
  <c r="J17" i="41" l="1"/>
  <c r="J143" i="41" s="1"/>
  <c r="H154" i="37" l="1"/>
  <c r="I147" i="41"/>
  <c r="J104" i="41"/>
  <c r="J154" i="37"/>
  <c r="J147" i="41" l="1"/>
  <c r="J150" i="41"/>
  <c r="J86" i="41" l="1"/>
  <c r="J149" i="41" s="1"/>
  <c r="J148" i="41" s="1"/>
  <c r="H153" i="37" l="1"/>
  <c r="I146" i="41"/>
  <c r="J146" i="41" s="1"/>
  <c r="J16" i="41"/>
  <c r="J117" i="41" l="1"/>
  <c r="J85" i="41"/>
  <c r="J66" i="41"/>
  <c r="J68" i="41" s="1"/>
  <c r="I68" i="41"/>
  <c r="J79" i="37"/>
  <c r="H74" i="37" l="1"/>
  <c r="I83" i="37" l="1"/>
  <c r="J12" i="37"/>
  <c r="I145" i="41"/>
  <c r="I35" i="37" l="1"/>
  <c r="J145" i="41"/>
  <c r="I132" i="41" l="1"/>
  <c r="I133" i="41" s="1"/>
  <c r="I128" i="41"/>
  <c r="I129" i="41" s="1"/>
  <c r="I127" i="41"/>
  <c r="I113" i="41"/>
  <c r="I114" i="41" s="1"/>
  <c r="I106" i="41"/>
  <c r="I95" i="41"/>
  <c r="I89" i="41"/>
  <c r="I87" i="41"/>
  <c r="I64" i="41"/>
  <c r="I65" i="41" s="1"/>
  <c r="I73" i="41" s="1"/>
  <c r="I56" i="41"/>
  <c r="I53" i="41"/>
  <c r="I54" i="41" s="1"/>
  <c r="I52" i="41"/>
  <c r="I50" i="41"/>
  <c r="I46" i="41"/>
  <c r="I47" i="41" s="1"/>
  <c r="I45" i="41"/>
  <c r="I42" i="41"/>
  <c r="I43" i="41" s="1"/>
  <c r="I38" i="41"/>
  <c r="I39" i="41" s="1"/>
  <c r="I36" i="41"/>
  <c r="I141" i="41" s="1"/>
  <c r="I35" i="41"/>
  <c r="I33" i="41"/>
  <c r="I31" i="41"/>
  <c r="I142" i="41"/>
  <c r="I149" i="41" l="1"/>
  <c r="I92" i="41"/>
  <c r="I107" i="41" s="1"/>
  <c r="J116" i="41"/>
  <c r="J125" i="41" s="1"/>
  <c r="I125" i="41"/>
  <c r="I57" i="41"/>
  <c r="I150" i="41"/>
  <c r="I144" i="41"/>
  <c r="I37" i="41"/>
  <c r="I40" i="41" s="1"/>
  <c r="I134" i="41" l="1"/>
  <c r="I148" i="41"/>
  <c r="I140" i="41"/>
  <c r="I58" i="41"/>
  <c r="I151" i="41" l="1"/>
  <c r="I135" i="41"/>
  <c r="I136" i="41" s="1"/>
  <c r="J13" i="41" l="1"/>
  <c r="H131" i="37" l="1"/>
  <c r="N159" i="43" l="1"/>
  <c r="M159" i="43"/>
  <c r="I159" i="43"/>
  <c r="H159" i="43"/>
  <c r="L148" i="43"/>
  <c r="N146" i="43"/>
  <c r="N148" i="43" s="1"/>
  <c r="M146" i="43"/>
  <c r="M148" i="43" s="1"/>
  <c r="I146" i="43"/>
  <c r="H146" i="43"/>
  <c r="H148" i="43" s="1"/>
  <c r="L145" i="43"/>
  <c r="K145" i="43"/>
  <c r="J145" i="43"/>
  <c r="I145" i="43"/>
  <c r="M143" i="43"/>
  <c r="M145" i="43" s="1"/>
  <c r="J142" i="43"/>
  <c r="N141" i="43"/>
  <c r="N142" i="43" s="1"/>
  <c r="M141" i="43"/>
  <c r="M142" i="43" s="1"/>
  <c r="I141" i="43"/>
  <c r="H141" i="43"/>
  <c r="H142" i="43" s="1"/>
  <c r="L140" i="43"/>
  <c r="I140" i="43" s="1"/>
  <c r="N139" i="43"/>
  <c r="N140" i="43" s="1"/>
  <c r="M139" i="43"/>
  <c r="M140" i="43" s="1"/>
  <c r="I139" i="43"/>
  <c r="H139" i="43"/>
  <c r="H140" i="43" s="1"/>
  <c r="L138" i="43"/>
  <c r="K138" i="43"/>
  <c r="J138" i="43"/>
  <c r="N129" i="43"/>
  <c r="N138" i="43" s="1"/>
  <c r="M129" i="43"/>
  <c r="M138" i="43" s="1"/>
  <c r="I129" i="43"/>
  <c r="I138" i="43" s="1"/>
  <c r="H129" i="43"/>
  <c r="H138" i="43" s="1"/>
  <c r="L127" i="43"/>
  <c r="K127" i="43"/>
  <c r="J126" i="43"/>
  <c r="N124" i="43"/>
  <c r="N126" i="43" s="1"/>
  <c r="M124" i="43"/>
  <c r="M126" i="43" s="1"/>
  <c r="I124" i="43"/>
  <c r="I126" i="43" s="1"/>
  <c r="H124" i="43"/>
  <c r="H126" i="43" s="1"/>
  <c r="H123" i="43"/>
  <c r="N122" i="43"/>
  <c r="N123" i="43" s="1"/>
  <c r="M122" i="43"/>
  <c r="M123" i="43" s="1"/>
  <c r="J122" i="43"/>
  <c r="J123" i="43" s="1"/>
  <c r="I123" i="43" s="1"/>
  <c r="I122" i="43"/>
  <c r="L119" i="43"/>
  <c r="I119" i="43" s="1"/>
  <c r="I118" i="43"/>
  <c r="H118" i="43"/>
  <c r="H119" i="43" s="1"/>
  <c r="L117" i="43"/>
  <c r="K117" i="43"/>
  <c r="J117" i="43"/>
  <c r="M115" i="43"/>
  <c r="M162" i="43" s="1"/>
  <c r="I115" i="43"/>
  <c r="I162" i="43" s="1"/>
  <c r="H115" i="43"/>
  <c r="H162" i="43" s="1"/>
  <c r="L113" i="43"/>
  <c r="M111" i="43"/>
  <c r="M113" i="43" s="1"/>
  <c r="I111" i="43"/>
  <c r="I113" i="43" s="1"/>
  <c r="H111" i="43"/>
  <c r="H113" i="43" s="1"/>
  <c r="J110" i="43"/>
  <c r="I108" i="43"/>
  <c r="I110" i="43" s="1"/>
  <c r="H108" i="43"/>
  <c r="H110" i="43" s="1"/>
  <c r="N105" i="43"/>
  <c r="N106" i="43" s="1"/>
  <c r="N107" i="43" s="1"/>
  <c r="M105" i="43"/>
  <c r="M106" i="43" s="1"/>
  <c r="M107" i="43" s="1"/>
  <c r="L104" i="43"/>
  <c r="I103" i="43"/>
  <c r="I104" i="43" s="1"/>
  <c r="H103" i="43"/>
  <c r="H104" i="43" s="1"/>
  <c r="L102" i="43"/>
  <c r="L107" i="43" s="1"/>
  <c r="I107" i="43" s="1"/>
  <c r="I98" i="43"/>
  <c r="I102" i="43" s="1"/>
  <c r="H98" i="43"/>
  <c r="H102" i="43" s="1"/>
  <c r="L96" i="43"/>
  <c r="H96" i="43"/>
  <c r="N95" i="43"/>
  <c r="N96" i="43" s="1"/>
  <c r="M95" i="43"/>
  <c r="M161" i="43" s="1"/>
  <c r="M94" i="43"/>
  <c r="N93" i="43"/>
  <c r="M92" i="43"/>
  <c r="I91" i="43"/>
  <c r="H91" i="43"/>
  <c r="N89" i="43"/>
  <c r="M88" i="43"/>
  <c r="I88" i="43"/>
  <c r="H88" i="43"/>
  <c r="N86" i="43"/>
  <c r="M85" i="43"/>
  <c r="I85" i="43"/>
  <c r="H85" i="43"/>
  <c r="N83" i="43"/>
  <c r="M82" i="43"/>
  <c r="I82" i="43"/>
  <c r="H82" i="43"/>
  <c r="N80" i="43"/>
  <c r="M79" i="43"/>
  <c r="I79" i="43"/>
  <c r="I96" i="43" s="1"/>
  <c r="H79" i="43"/>
  <c r="K74" i="43"/>
  <c r="K120" i="43" s="1"/>
  <c r="J74" i="43"/>
  <c r="I72" i="43"/>
  <c r="I161" i="43" s="1"/>
  <c r="I160" i="43" s="1"/>
  <c r="H72" i="43"/>
  <c r="H161" i="43" s="1"/>
  <c r="L71" i="43"/>
  <c r="I71" i="43" s="1"/>
  <c r="H71" i="43"/>
  <c r="J65" i="43"/>
  <c r="P64" i="43"/>
  <c r="M64" i="43"/>
  <c r="M65" i="43" s="1"/>
  <c r="I64" i="43"/>
  <c r="I65" i="43" s="1"/>
  <c r="H64" i="43"/>
  <c r="H65" i="43" s="1"/>
  <c r="J63" i="43"/>
  <c r="N62" i="43"/>
  <c r="N63" i="43" s="1"/>
  <c r="M62" i="43"/>
  <c r="M63" i="43" s="1"/>
  <c r="I62" i="43"/>
  <c r="I63" i="43" s="1"/>
  <c r="H62" i="43"/>
  <c r="H63" i="43" s="1"/>
  <c r="K61" i="43"/>
  <c r="J61" i="43"/>
  <c r="N60" i="43"/>
  <c r="N61" i="43" s="1"/>
  <c r="M60" i="43"/>
  <c r="M61" i="43" s="1"/>
  <c r="I60" i="43"/>
  <c r="I61" i="43" s="1"/>
  <c r="H60" i="43"/>
  <c r="H61" i="43" s="1"/>
  <c r="N59" i="43"/>
  <c r="L59" i="43"/>
  <c r="L66" i="43" s="1"/>
  <c r="K59" i="43"/>
  <c r="J59" i="43"/>
  <c r="M57" i="43"/>
  <c r="M59" i="43" s="1"/>
  <c r="I57" i="43"/>
  <c r="I59" i="43" s="1"/>
  <c r="H57" i="43"/>
  <c r="H59" i="43" s="1"/>
  <c r="J56" i="43"/>
  <c r="N55" i="43"/>
  <c r="N56" i="43" s="1"/>
  <c r="M55" i="43"/>
  <c r="M56" i="43" s="1"/>
  <c r="I55" i="43"/>
  <c r="I56" i="43" s="1"/>
  <c r="H55" i="43"/>
  <c r="H56" i="43" s="1"/>
  <c r="K54" i="43"/>
  <c r="J54" i="43"/>
  <c r="J66" i="43" s="1"/>
  <c r="N53" i="43"/>
  <c r="N54" i="43" s="1"/>
  <c r="M53" i="43"/>
  <c r="M54" i="43" s="1"/>
  <c r="I53" i="43"/>
  <c r="I54" i="43" s="1"/>
  <c r="H53" i="43"/>
  <c r="H54" i="43" s="1"/>
  <c r="J52" i="43"/>
  <c r="N51" i="43"/>
  <c r="N52" i="43" s="1"/>
  <c r="M51" i="43"/>
  <c r="M52" i="43" s="1"/>
  <c r="I51" i="43"/>
  <c r="I52" i="43" s="1"/>
  <c r="H51" i="43"/>
  <c r="H52" i="43" s="1"/>
  <c r="L49" i="43"/>
  <c r="J48" i="43"/>
  <c r="N47" i="43"/>
  <c r="N48" i="43" s="1"/>
  <c r="M47" i="43"/>
  <c r="M48" i="43" s="1"/>
  <c r="I47" i="43"/>
  <c r="I48" i="43" s="1"/>
  <c r="H47" i="43"/>
  <c r="H48" i="43" s="1"/>
  <c r="J46" i="43"/>
  <c r="N45" i="43"/>
  <c r="N46" i="43" s="1"/>
  <c r="M45" i="43"/>
  <c r="M46" i="43" s="1"/>
  <c r="I45" i="43"/>
  <c r="I46" i="43" s="1"/>
  <c r="H45" i="43"/>
  <c r="H156" i="43" s="1"/>
  <c r="K44" i="43"/>
  <c r="J44" i="43"/>
  <c r="N43" i="43"/>
  <c r="N44" i="43" s="1"/>
  <c r="M43" i="43"/>
  <c r="M44" i="43" s="1"/>
  <c r="I43" i="43"/>
  <c r="I44" i="43" s="1"/>
  <c r="H43" i="43"/>
  <c r="H44" i="43" s="1"/>
  <c r="K42" i="43"/>
  <c r="J42" i="43"/>
  <c r="N41" i="43"/>
  <c r="N42" i="43" s="1"/>
  <c r="M41" i="43"/>
  <c r="M42" i="43" s="1"/>
  <c r="I41" i="43"/>
  <c r="I42" i="43" s="1"/>
  <c r="H41" i="43"/>
  <c r="H42" i="43" s="1"/>
  <c r="K40" i="43"/>
  <c r="J40" i="43"/>
  <c r="N39" i="43"/>
  <c r="N40" i="43" s="1"/>
  <c r="M39" i="43"/>
  <c r="M40" i="43" s="1"/>
  <c r="I39" i="43"/>
  <c r="I40" i="43" s="1"/>
  <c r="H39" i="43"/>
  <c r="L38" i="43"/>
  <c r="K38" i="43"/>
  <c r="J38" i="43"/>
  <c r="N14" i="43"/>
  <c r="N157" i="43" s="1"/>
  <c r="M14" i="43"/>
  <c r="M157" i="43" s="1"/>
  <c r="I14" i="43"/>
  <c r="I157" i="43" s="1"/>
  <c r="H14" i="43"/>
  <c r="H157" i="43" s="1"/>
  <c r="N13" i="43"/>
  <c r="M13" i="43"/>
  <c r="I13" i="43"/>
  <c r="I158" i="43" s="1"/>
  <c r="H13" i="43"/>
  <c r="N12" i="43"/>
  <c r="M12" i="43"/>
  <c r="I12" i="43"/>
  <c r="H12" i="43"/>
  <c r="H38" i="43" s="1"/>
  <c r="M156" i="43" l="1"/>
  <c r="J149" i="43"/>
  <c r="N156" i="43"/>
  <c r="N158" i="43"/>
  <c r="H158" i="43"/>
  <c r="J49" i="43"/>
  <c r="H74" i="43"/>
  <c r="M96" i="43"/>
  <c r="I117" i="43"/>
  <c r="I156" i="43"/>
  <c r="I155" i="43" s="1"/>
  <c r="I163" i="43" s="1"/>
  <c r="N38" i="43"/>
  <c r="N49" i="43" s="1"/>
  <c r="K49" i="43"/>
  <c r="L67" i="43"/>
  <c r="L74" i="43"/>
  <c r="I74" i="43" s="1"/>
  <c r="H117" i="43"/>
  <c r="M117" i="43"/>
  <c r="H127" i="43"/>
  <c r="J127" i="43"/>
  <c r="K149" i="43"/>
  <c r="L149" i="43"/>
  <c r="L150" i="43" s="1"/>
  <c r="L151" i="43" s="1"/>
  <c r="M158" i="43"/>
  <c r="M155" i="43" s="1"/>
  <c r="M163" i="43" s="1"/>
  <c r="K66" i="43"/>
  <c r="K67" i="43" s="1"/>
  <c r="H107" i="43"/>
  <c r="J120" i="43"/>
  <c r="L120" i="43"/>
  <c r="I127" i="43"/>
  <c r="I142" i="43"/>
  <c r="M38" i="43"/>
  <c r="M49" i="43" s="1"/>
  <c r="M160" i="43"/>
  <c r="J67" i="43"/>
  <c r="I66" i="43"/>
  <c r="M66" i="43"/>
  <c r="N66" i="43"/>
  <c r="H66" i="43"/>
  <c r="H160" i="43"/>
  <c r="H120" i="43"/>
  <c r="N127" i="43"/>
  <c r="N149" i="43"/>
  <c r="M120" i="43"/>
  <c r="K150" i="43"/>
  <c r="H149" i="43"/>
  <c r="H155" i="43"/>
  <c r="H46" i="43"/>
  <c r="N120" i="43"/>
  <c r="I38" i="43"/>
  <c r="I49" i="43" s="1"/>
  <c r="M127" i="43"/>
  <c r="M149" i="43"/>
  <c r="H40" i="43"/>
  <c r="I148" i="43"/>
  <c r="I149" i="43" s="1"/>
  <c r="N161" i="43"/>
  <c r="N160" i="43" s="1"/>
  <c r="N155" i="43" l="1"/>
  <c r="N163" i="43" s="1"/>
  <c r="M150" i="43"/>
  <c r="I67" i="43"/>
  <c r="J150" i="43"/>
  <c r="I150" i="43" s="1"/>
  <c r="I120" i="43"/>
  <c r="H49" i="43"/>
  <c r="N150" i="43"/>
  <c r="N67" i="43"/>
  <c r="H150" i="43"/>
  <c r="H151" i="43"/>
  <c r="H67" i="43"/>
  <c r="K151" i="43"/>
  <c r="M67" i="43"/>
  <c r="M151" i="43" s="1"/>
  <c r="H163" i="43"/>
  <c r="J151" i="43" l="1"/>
  <c r="I151" i="43" s="1"/>
  <c r="N151" i="43"/>
  <c r="J83" i="37" l="1"/>
  <c r="H83" i="37"/>
  <c r="H86" i="37"/>
  <c r="I84" i="37"/>
  <c r="I85" i="37"/>
  <c r="J85" i="37"/>
  <c r="H132" i="41"/>
  <c r="H133" i="41" s="1"/>
  <c r="H128" i="41"/>
  <c r="H129" i="41" s="1"/>
  <c r="H113" i="41"/>
  <c r="H114" i="41" s="1"/>
  <c r="H150" i="41"/>
  <c r="H149" i="41"/>
  <c r="H62" i="41"/>
  <c r="H56" i="41"/>
  <c r="H53" i="41"/>
  <c r="I156" i="37" l="1"/>
  <c r="I158" i="37"/>
  <c r="J86" i="37"/>
  <c r="J158" i="37"/>
  <c r="I86" i="37"/>
  <c r="I87" i="37" s="1"/>
  <c r="H106" i="41"/>
  <c r="J105" i="41"/>
  <c r="J106" i="41" s="1"/>
  <c r="J65" i="41"/>
  <c r="J73" i="41" s="1"/>
  <c r="H65" i="41"/>
  <c r="H73" i="41" s="1"/>
  <c r="H92" i="41"/>
  <c r="J84" i="41"/>
  <c r="J87" i="41" s="1"/>
  <c r="J92" i="41" s="1"/>
  <c r="H127" i="41"/>
  <c r="H134" i="41" s="1"/>
  <c r="J126" i="41"/>
  <c r="J127" i="41" s="1"/>
  <c r="J134" i="41" s="1"/>
  <c r="H54" i="41"/>
  <c r="H141" i="41"/>
  <c r="J87" i="37"/>
  <c r="J14" i="41"/>
  <c r="J34" i="41"/>
  <c r="J35" i="41" s="1"/>
  <c r="J32" i="41"/>
  <c r="J33" i="41" s="1"/>
  <c r="J44" i="41"/>
  <c r="J45" i="41" s="1"/>
  <c r="H52" i="41"/>
  <c r="J51" i="41"/>
  <c r="J52" i="41" s="1"/>
  <c r="J142" i="41"/>
  <c r="J15" i="41"/>
  <c r="H87" i="37"/>
  <c r="H148" i="41"/>
  <c r="J144" i="41"/>
  <c r="H57" i="41" l="1"/>
  <c r="H107" i="41"/>
  <c r="J141" i="41"/>
  <c r="J140" i="41" s="1"/>
  <c r="J151" i="41" s="1"/>
  <c r="H140" i="41"/>
  <c r="H151" i="41" s="1"/>
  <c r="J28" i="41"/>
  <c r="J40" i="41" s="1"/>
  <c r="J57" i="41"/>
  <c r="J76" i="41"/>
  <c r="J78" i="41" s="1"/>
  <c r="J82" i="41" s="1"/>
  <c r="J107" i="41" s="1"/>
  <c r="H58" i="41"/>
  <c r="J58" i="41" l="1"/>
  <c r="H135" i="41"/>
  <c r="H136" i="41" s="1"/>
  <c r="J135" i="41" l="1"/>
  <c r="J136" i="41" s="1"/>
  <c r="H93" i="37" l="1"/>
  <c r="H52" i="37"/>
  <c r="H48" i="37"/>
  <c r="N144" i="38" l="1"/>
  <c r="M144" i="38"/>
  <c r="M141" i="38"/>
  <c r="N139" i="38"/>
  <c r="M139" i="38"/>
  <c r="N137" i="38"/>
  <c r="M137" i="38"/>
  <c r="N127" i="38"/>
  <c r="M127" i="38"/>
  <c r="N122" i="38"/>
  <c r="M122" i="38"/>
  <c r="N120" i="38"/>
  <c r="M120" i="38"/>
  <c r="M113" i="38"/>
  <c r="M109" i="38"/>
  <c r="N103" i="38"/>
  <c r="M103" i="38"/>
  <c r="N93" i="38"/>
  <c r="M93" i="38"/>
  <c r="M92" i="38"/>
  <c r="N91" i="38"/>
  <c r="M90" i="38"/>
  <c r="N87" i="38"/>
  <c r="M86" i="38"/>
  <c r="N84" i="38"/>
  <c r="M83" i="38"/>
  <c r="N81" i="38"/>
  <c r="M80" i="38"/>
  <c r="N78" i="38"/>
  <c r="M77" i="38"/>
  <c r="M65" i="38"/>
  <c r="N63" i="38"/>
  <c r="M63" i="38"/>
  <c r="N61" i="38"/>
  <c r="M61" i="38"/>
  <c r="M58" i="38"/>
  <c r="N56" i="38"/>
  <c r="M56" i="38"/>
  <c r="N54" i="38"/>
  <c r="M54" i="38"/>
  <c r="N52" i="38"/>
  <c r="M52" i="38"/>
  <c r="N48" i="38"/>
  <c r="M48" i="38"/>
  <c r="N46" i="38"/>
  <c r="M46" i="38"/>
  <c r="N44" i="38"/>
  <c r="M44" i="38"/>
  <c r="N42" i="38"/>
  <c r="M42" i="38"/>
  <c r="N40" i="38"/>
  <c r="M40" i="38"/>
  <c r="N14" i="38"/>
  <c r="M14" i="38"/>
  <c r="M39" i="38" s="1"/>
  <c r="N157" i="38" l="1"/>
  <c r="I157" i="38"/>
  <c r="H157" i="38"/>
  <c r="L146" i="38"/>
  <c r="N146" i="38"/>
  <c r="M146" i="38"/>
  <c r="I144" i="38"/>
  <c r="H144" i="38"/>
  <c r="H146" i="38" s="1"/>
  <c r="L143" i="38"/>
  <c r="K143" i="38"/>
  <c r="J143" i="38"/>
  <c r="I143" i="38"/>
  <c r="M143" i="38"/>
  <c r="J140" i="38"/>
  <c r="I140" i="38" s="1"/>
  <c r="N140" i="38"/>
  <c r="M140" i="38"/>
  <c r="I139" i="38"/>
  <c r="H139" i="38"/>
  <c r="H140" i="38" s="1"/>
  <c r="L138" i="38"/>
  <c r="I138" i="38" s="1"/>
  <c r="N138" i="38"/>
  <c r="M138" i="38"/>
  <c r="I137" i="38"/>
  <c r="H137" i="38"/>
  <c r="H138" i="38" s="1"/>
  <c r="L136" i="38"/>
  <c r="K136" i="38"/>
  <c r="J136" i="38"/>
  <c r="N136" i="38"/>
  <c r="M136" i="38"/>
  <c r="I127" i="38"/>
  <c r="I136" i="38" s="1"/>
  <c r="H127" i="38"/>
  <c r="H136" i="38" s="1"/>
  <c r="L125" i="38"/>
  <c r="K125" i="38"/>
  <c r="J124" i="38"/>
  <c r="N124" i="38"/>
  <c r="M124" i="38"/>
  <c r="I122" i="38"/>
  <c r="I124" i="38" s="1"/>
  <c r="H122" i="38"/>
  <c r="H124" i="38" s="1"/>
  <c r="H121" i="38"/>
  <c r="N121" i="38"/>
  <c r="M121" i="38"/>
  <c r="J120" i="38"/>
  <c r="J121" i="38" s="1"/>
  <c r="I121" i="38" s="1"/>
  <c r="L117" i="38"/>
  <c r="I117" i="38" s="1"/>
  <c r="I116" i="38"/>
  <c r="H116" i="38"/>
  <c r="H117" i="38" s="1"/>
  <c r="L115" i="38"/>
  <c r="K115" i="38"/>
  <c r="J115" i="38"/>
  <c r="M160" i="38"/>
  <c r="I113" i="38"/>
  <c r="H113" i="38"/>
  <c r="H160" i="38" s="1"/>
  <c r="L111" i="38"/>
  <c r="M111" i="38"/>
  <c r="I109" i="38"/>
  <c r="I111" i="38" s="1"/>
  <c r="H109" i="38"/>
  <c r="H111" i="38" s="1"/>
  <c r="J108" i="38"/>
  <c r="I106" i="38"/>
  <c r="I108" i="38" s="1"/>
  <c r="H106" i="38"/>
  <c r="H108" i="38" s="1"/>
  <c r="N104" i="38"/>
  <c r="N105" i="38" s="1"/>
  <c r="M104" i="38"/>
  <c r="M105" i="38" s="1"/>
  <c r="L102" i="38"/>
  <c r="I101" i="38"/>
  <c r="I102" i="38" s="1"/>
  <c r="H101" i="38"/>
  <c r="H102" i="38" s="1"/>
  <c r="L100" i="38"/>
  <c r="L105" i="38" s="1"/>
  <c r="I105" i="38" s="1"/>
  <c r="I96" i="38"/>
  <c r="I100" i="38" s="1"/>
  <c r="H96" i="38"/>
  <c r="H100" i="38" s="1"/>
  <c r="L94" i="38"/>
  <c r="M159" i="38"/>
  <c r="M157" i="38"/>
  <c r="I89" i="38"/>
  <c r="H89" i="38"/>
  <c r="I86" i="38"/>
  <c r="H86" i="38"/>
  <c r="I83" i="38"/>
  <c r="H83" i="38"/>
  <c r="I80" i="38"/>
  <c r="H80" i="38"/>
  <c r="M94" i="38"/>
  <c r="I77" i="38"/>
  <c r="H77" i="38"/>
  <c r="K75" i="38"/>
  <c r="K118" i="38" s="1"/>
  <c r="J75" i="38"/>
  <c r="I73" i="38"/>
  <c r="I159" i="38" s="1"/>
  <c r="H73" i="38"/>
  <c r="H159" i="38" s="1"/>
  <c r="H158" i="38" s="1"/>
  <c r="L72" i="38"/>
  <c r="I72" i="38" s="1"/>
  <c r="H72" i="38"/>
  <c r="J66" i="38"/>
  <c r="P65" i="38"/>
  <c r="M66" i="38"/>
  <c r="I65" i="38"/>
  <c r="I66" i="38" s="1"/>
  <c r="H65" i="38"/>
  <c r="H66" i="38" s="1"/>
  <c r="M64" i="38"/>
  <c r="J64" i="38"/>
  <c r="N64" i="38"/>
  <c r="I63" i="38"/>
  <c r="I64" i="38" s="1"/>
  <c r="H63" i="38"/>
  <c r="H64" i="38" s="1"/>
  <c r="K62" i="38"/>
  <c r="J62" i="38"/>
  <c r="N62" i="38"/>
  <c r="M62" i="38"/>
  <c r="I61" i="38"/>
  <c r="I62" i="38" s="1"/>
  <c r="H61" i="38"/>
  <c r="H62" i="38" s="1"/>
  <c r="N60" i="38"/>
  <c r="L60" i="38"/>
  <c r="L67" i="38" s="1"/>
  <c r="K60" i="38"/>
  <c r="J60" i="38"/>
  <c r="M60" i="38"/>
  <c r="I58" i="38"/>
  <c r="I60" i="38" s="1"/>
  <c r="H58" i="38"/>
  <c r="H60" i="38" s="1"/>
  <c r="J57" i="38"/>
  <c r="N57" i="38"/>
  <c r="M57" i="38"/>
  <c r="I56" i="38"/>
  <c r="I57" i="38" s="1"/>
  <c r="H56" i="38"/>
  <c r="H57" i="38" s="1"/>
  <c r="K55" i="38"/>
  <c r="J55" i="38"/>
  <c r="N55" i="38"/>
  <c r="M55" i="38"/>
  <c r="I54" i="38"/>
  <c r="I55" i="38" s="1"/>
  <c r="H54" i="38"/>
  <c r="H55" i="38" s="1"/>
  <c r="M53" i="38"/>
  <c r="J53" i="38"/>
  <c r="N53" i="38"/>
  <c r="I52" i="38"/>
  <c r="I53" i="38" s="1"/>
  <c r="H52" i="38"/>
  <c r="H53" i="38" s="1"/>
  <c r="M49" i="38"/>
  <c r="J49" i="38"/>
  <c r="N49" i="38"/>
  <c r="I48" i="38"/>
  <c r="I49" i="38" s="1"/>
  <c r="H48" i="38"/>
  <c r="H49" i="38" s="1"/>
  <c r="J47" i="38"/>
  <c r="N47" i="38"/>
  <c r="M47" i="38"/>
  <c r="I46" i="38"/>
  <c r="I47" i="38" s="1"/>
  <c r="H46" i="38"/>
  <c r="K45" i="38"/>
  <c r="J45" i="38"/>
  <c r="N45" i="38"/>
  <c r="M45" i="38"/>
  <c r="I44" i="38"/>
  <c r="I45" i="38" s="1"/>
  <c r="H44" i="38"/>
  <c r="H45" i="38" s="1"/>
  <c r="K43" i="38"/>
  <c r="J43" i="38"/>
  <c r="N43" i="38"/>
  <c r="M43" i="38"/>
  <c r="I42" i="38"/>
  <c r="I43" i="38" s="1"/>
  <c r="H42" i="38"/>
  <c r="H43" i="38" s="1"/>
  <c r="K41" i="38"/>
  <c r="J41" i="38"/>
  <c r="N41" i="38"/>
  <c r="M41" i="38"/>
  <c r="I40" i="38"/>
  <c r="I41" i="38" s="1"/>
  <c r="H40" i="38"/>
  <c r="L39" i="38"/>
  <c r="L50" i="38" s="1"/>
  <c r="K39" i="38"/>
  <c r="J39" i="38"/>
  <c r="N155" i="38"/>
  <c r="M155" i="38"/>
  <c r="I14" i="38"/>
  <c r="I155" i="38" s="1"/>
  <c r="H14" i="38"/>
  <c r="H155" i="38" s="1"/>
  <c r="N156" i="38"/>
  <c r="M156" i="38"/>
  <c r="I13" i="38"/>
  <c r="H13" i="38"/>
  <c r="N154" i="38"/>
  <c r="M154" i="38"/>
  <c r="I12" i="38"/>
  <c r="H12" i="38"/>
  <c r="H39" i="38" s="1"/>
  <c r="H115" i="38" l="1"/>
  <c r="H75" i="38"/>
  <c r="J50" i="38"/>
  <c r="I156" i="38"/>
  <c r="I94" i="38"/>
  <c r="I115" i="38"/>
  <c r="I160" i="38"/>
  <c r="I158" i="38" s="1"/>
  <c r="H105" i="38"/>
  <c r="I120" i="38"/>
  <c r="H94" i="38"/>
  <c r="N153" i="38"/>
  <c r="M158" i="38"/>
  <c r="M153" i="38"/>
  <c r="I154" i="38"/>
  <c r="I153" i="38" s="1"/>
  <c r="H154" i="38"/>
  <c r="J67" i="38"/>
  <c r="J68" i="38" s="1"/>
  <c r="I68" i="38" s="1"/>
  <c r="L68" i="38"/>
  <c r="L75" i="38"/>
  <c r="I75" i="38" s="1"/>
  <c r="I118" i="38" s="1"/>
  <c r="N159" i="38"/>
  <c r="N158" i="38" s="1"/>
  <c r="N161" i="38" s="1"/>
  <c r="K67" i="38"/>
  <c r="J118" i="38"/>
  <c r="M115" i="38"/>
  <c r="M118" i="38" s="1"/>
  <c r="H125" i="38"/>
  <c r="J125" i="38"/>
  <c r="K147" i="38"/>
  <c r="L147" i="38"/>
  <c r="I125" i="38"/>
  <c r="N39" i="38"/>
  <c r="N50" i="38" s="1"/>
  <c r="K50" i="38"/>
  <c r="J147" i="38"/>
  <c r="J148" i="38" s="1"/>
  <c r="H156" i="38"/>
  <c r="N67" i="38"/>
  <c r="M125" i="38"/>
  <c r="M147" i="38"/>
  <c r="H47" i="38"/>
  <c r="H67" i="38"/>
  <c r="H118" i="38"/>
  <c r="N125" i="38"/>
  <c r="N147" i="38"/>
  <c r="M50" i="38"/>
  <c r="I39" i="38"/>
  <c r="I50" i="38" s="1"/>
  <c r="K148" i="38"/>
  <c r="H147" i="38"/>
  <c r="M67" i="38"/>
  <c r="N94" i="38"/>
  <c r="N118" i="38" s="1"/>
  <c r="H41" i="38"/>
  <c r="I146" i="38"/>
  <c r="I147" i="38" s="1"/>
  <c r="I67" i="38" l="1"/>
  <c r="K68" i="38"/>
  <c r="K149" i="38" s="1"/>
  <c r="I161" i="38"/>
  <c r="M161" i="38"/>
  <c r="H153" i="38"/>
  <c r="H161" i="38" s="1"/>
  <c r="H50" i="38"/>
  <c r="H68" i="38" s="1"/>
  <c r="L118" i="38"/>
  <c r="L148" i="38" s="1"/>
  <c r="L149" i="38" s="1"/>
  <c r="H148" i="38"/>
  <c r="N68" i="38"/>
  <c r="M68" i="38"/>
  <c r="J149" i="38"/>
  <c r="N148" i="38"/>
  <c r="M148" i="38"/>
  <c r="M149" i="38" s="1"/>
  <c r="H149" i="38" l="1"/>
  <c r="N149" i="38"/>
  <c r="I148" i="38"/>
  <c r="I149" i="38"/>
  <c r="J134" i="37" l="1"/>
  <c r="I134" i="37"/>
  <c r="J139" i="37"/>
  <c r="I139" i="37"/>
  <c r="H139" i="37"/>
  <c r="I136" i="37"/>
  <c r="I138" i="37" s="1"/>
  <c r="H134" i="37"/>
  <c r="J132" i="37"/>
  <c r="I132" i="37"/>
  <c r="J122" i="37"/>
  <c r="J116" i="37"/>
  <c r="I116" i="37"/>
  <c r="J114" i="37"/>
  <c r="I114" i="37"/>
  <c r="I157" i="37"/>
  <c r="I155" i="37" s="1"/>
  <c r="J96" i="37" l="1"/>
  <c r="J59" i="37" l="1"/>
  <c r="I59" i="37"/>
  <c r="H59" i="37"/>
  <c r="I54" i="37"/>
  <c r="J52" i="37"/>
  <c r="I52" i="37"/>
  <c r="J48" i="37"/>
  <c r="I48" i="37"/>
  <c r="J44" i="37"/>
  <c r="I44" i="37"/>
  <c r="H44" i="37"/>
  <c r="J42" i="37"/>
  <c r="I42" i="37"/>
  <c r="H42" i="37"/>
  <c r="J40" i="37"/>
  <c r="I40" i="37"/>
  <c r="J36" i="37"/>
  <c r="I151" i="37"/>
  <c r="H37" i="37"/>
  <c r="H157" i="37"/>
  <c r="H156" i="37"/>
  <c r="H152" i="37"/>
  <c r="H149" i="37"/>
  <c r="H148" i="37"/>
  <c r="I148" i="37" l="1"/>
  <c r="I147" i="37" s="1"/>
  <c r="I159" i="37" s="1"/>
  <c r="H151" i="37"/>
  <c r="H147" i="37" s="1"/>
  <c r="H155" i="37"/>
  <c r="H140" i="37"/>
  <c r="H135" i="37"/>
  <c r="H133" i="37"/>
  <c r="I131" i="37"/>
  <c r="J131" i="37"/>
  <c r="H141" i="37" l="1"/>
  <c r="H159" i="37"/>
  <c r="H119" i="37" l="1"/>
  <c r="H115" i="37"/>
  <c r="H111" i="37"/>
  <c r="H101" i="37"/>
  <c r="H95" i="37"/>
  <c r="H79" i="37"/>
  <c r="H62" i="37"/>
  <c r="H60" i="37"/>
  <c r="H58" i="37"/>
  <c r="H56" i="37"/>
  <c r="H53" i="37"/>
  <c r="H51" i="37"/>
  <c r="H49" i="37"/>
  <c r="H45" i="37"/>
  <c r="H43" i="37"/>
  <c r="H41" i="37"/>
  <c r="H39" i="37"/>
  <c r="H120" i="37" l="1"/>
  <c r="H46" i="37"/>
  <c r="H98" i="37"/>
  <c r="H112" i="37" s="1"/>
  <c r="H63" i="37"/>
  <c r="H142" i="37" l="1"/>
  <c r="H64" i="37"/>
  <c r="H143" i="37" l="1"/>
  <c r="J149" i="37"/>
  <c r="J151" i="37"/>
  <c r="J148" i="37"/>
  <c r="J35" i="37" l="1"/>
  <c r="J156" i="37" l="1"/>
  <c r="J155" i="37" s="1"/>
  <c r="J152" i="37"/>
  <c r="J147" i="37" s="1"/>
  <c r="J140" i="37"/>
  <c r="I140" i="37"/>
  <c r="J135" i="37"/>
  <c r="I135" i="37"/>
  <c r="J133" i="37"/>
  <c r="I133" i="37"/>
  <c r="J119" i="37"/>
  <c r="I119" i="37"/>
  <c r="J115" i="37"/>
  <c r="I115" i="37"/>
  <c r="J97" i="37"/>
  <c r="J98" i="37" s="1"/>
  <c r="J112" i="37" s="1"/>
  <c r="I97" i="37"/>
  <c r="I98" i="37" s="1"/>
  <c r="I112" i="37" s="1"/>
  <c r="I62" i="37"/>
  <c r="L61" i="37"/>
  <c r="J60" i="37"/>
  <c r="I60" i="37"/>
  <c r="J58" i="37"/>
  <c r="I58" i="37"/>
  <c r="J56" i="37"/>
  <c r="I56" i="37"/>
  <c r="J53" i="37"/>
  <c r="I53" i="37"/>
  <c r="J51" i="37"/>
  <c r="I51" i="37"/>
  <c r="J49" i="37"/>
  <c r="I49" i="37"/>
  <c r="J45" i="37"/>
  <c r="I45" i="37"/>
  <c r="J43" i="37"/>
  <c r="I43" i="37"/>
  <c r="J41" i="37"/>
  <c r="I41" i="37"/>
  <c r="J39" i="37"/>
  <c r="I39" i="37"/>
  <c r="J37" i="37"/>
  <c r="I37" i="37"/>
  <c r="I63" i="37" l="1"/>
  <c r="I120" i="37"/>
  <c r="I141" i="37"/>
  <c r="I142" i="37" s="1"/>
  <c r="I46" i="37"/>
  <c r="J159" i="37"/>
  <c r="J63" i="37"/>
  <c r="J120" i="37"/>
  <c r="J46" i="37"/>
  <c r="J141" i="37"/>
  <c r="I64" i="37" l="1"/>
  <c r="I143" i="37" s="1"/>
  <c r="J142" i="37"/>
  <c r="J64" i="37"/>
  <c r="J143" i="37" l="1"/>
  <c r="N118" i="32" l="1"/>
  <c r="N119" i="32" s="1"/>
  <c r="M118" i="32"/>
  <c r="J115" i="32"/>
  <c r="J119" i="32" s="1"/>
  <c r="M115" i="32"/>
  <c r="N115" i="32"/>
  <c r="M119" i="32" l="1"/>
  <c r="N149" i="32"/>
  <c r="M149" i="32"/>
  <c r="M167" i="32" l="1"/>
  <c r="N167" i="32"/>
  <c r="N123" i="32"/>
  <c r="J140" i="32" l="1"/>
  <c r="J13" i="32"/>
  <c r="I133" i="32"/>
  <c r="L70" i="32" l="1"/>
  <c r="N101" i="32" l="1"/>
  <c r="N99" i="32"/>
  <c r="M99" i="32"/>
  <c r="M102" i="32" s="1"/>
  <c r="L99" i="32"/>
  <c r="I99" i="32" s="1"/>
  <c r="I97" i="32"/>
  <c r="L96" i="32"/>
  <c r="I95" i="32"/>
  <c r="I93" i="32"/>
  <c r="L92" i="32"/>
  <c r="K92" i="32"/>
  <c r="K96" i="32" s="1"/>
  <c r="K102" i="32" s="1"/>
  <c r="J92" i="32"/>
  <c r="J96" i="32" s="1"/>
  <c r="J102" i="32" s="1"/>
  <c r="I91" i="32"/>
  <c r="I90" i="32"/>
  <c r="I89" i="32"/>
  <c r="I96" i="32" l="1"/>
  <c r="N102" i="32"/>
  <c r="I92" i="32"/>
  <c r="L102" i="32"/>
  <c r="M87" i="32"/>
  <c r="N87" i="32"/>
  <c r="I102" i="32" l="1"/>
  <c r="L86" i="32"/>
  <c r="I86" i="32" s="1"/>
  <c r="I84" i="32"/>
  <c r="L83" i="32"/>
  <c r="I83" i="32" s="1"/>
  <c r="I82" i="32"/>
  <c r="I81" i="32"/>
  <c r="I80" i="32"/>
  <c r="L79" i="32"/>
  <c r="I79" i="32" s="1"/>
  <c r="I78" i="32"/>
  <c r="I77" i="32"/>
  <c r="L75" i="32"/>
  <c r="I75" i="32" s="1"/>
  <c r="I74" i="32"/>
  <c r="I73" i="32"/>
  <c r="L72" i="32"/>
  <c r="I71" i="32"/>
  <c r="K70" i="32"/>
  <c r="J70" i="32"/>
  <c r="I69" i="32"/>
  <c r="I68" i="32"/>
  <c r="L67" i="32"/>
  <c r="K67" i="32"/>
  <c r="J67" i="32"/>
  <c r="I66" i="32"/>
  <c r="I64" i="32"/>
  <c r="I70" i="32" l="1"/>
  <c r="I67" i="32"/>
  <c r="K87" i="32"/>
  <c r="L87" i="32"/>
  <c r="J87" i="32"/>
  <c r="I72" i="32"/>
  <c r="I87" i="32" l="1"/>
  <c r="N161" i="32"/>
  <c r="N160" i="32"/>
  <c r="N159" i="32"/>
  <c r="M165" i="32"/>
  <c r="M163" i="32"/>
  <c r="M162" i="32"/>
  <c r="M161" i="32"/>
  <c r="M160" i="32"/>
  <c r="M159" i="32"/>
  <c r="N140" i="32"/>
  <c r="M140" i="32"/>
  <c r="I132" i="32"/>
  <c r="M121" i="32"/>
  <c r="J111" i="32"/>
  <c r="I107" i="32"/>
  <c r="I111" i="32" s="1"/>
  <c r="I14" i="32"/>
  <c r="I160" i="32" s="1"/>
  <c r="J33" i="32"/>
  <c r="K33" i="32"/>
  <c r="L33" i="32"/>
  <c r="M33" i="32"/>
  <c r="N33" i="32"/>
  <c r="I13" i="32"/>
  <c r="I12" i="32"/>
  <c r="M158" i="32" l="1"/>
  <c r="I33" i="32"/>
  <c r="L118" i="32" l="1"/>
  <c r="L119" i="32" s="1"/>
  <c r="I147" i="32" l="1"/>
  <c r="I53" i="32"/>
  <c r="L52" i="32"/>
  <c r="I52" i="32" s="1"/>
  <c r="I51" i="32"/>
  <c r="I46" i="32"/>
  <c r="I38" i="32"/>
  <c r="I36" i="32"/>
  <c r="I34" i="32"/>
  <c r="I161" i="32" l="1"/>
  <c r="I167" i="32"/>
  <c r="I113" i="32" l="1"/>
  <c r="J58" i="32"/>
  <c r="I58" i="32" s="1"/>
  <c r="I57" i="32"/>
  <c r="J56" i="32"/>
  <c r="I56" i="32" s="1"/>
  <c r="I55" i="32"/>
  <c r="J54" i="32"/>
  <c r="I54" i="32"/>
  <c r="J49" i="32"/>
  <c r="I49" i="32" s="1"/>
  <c r="I48" i="32"/>
  <c r="J47" i="32"/>
  <c r="I47" i="32"/>
  <c r="J45" i="32"/>
  <c r="I45" i="32" s="1"/>
  <c r="I44" i="32"/>
  <c r="I116" i="32" l="1"/>
  <c r="I118" i="32" s="1"/>
  <c r="L146" i="32" l="1"/>
  <c r="J129" i="32" l="1"/>
  <c r="I129" i="32" s="1"/>
  <c r="I128" i="32"/>
  <c r="I104" i="32"/>
  <c r="I114" i="32" l="1"/>
  <c r="I115" i="32" s="1"/>
  <c r="I119" i="32" s="1"/>
  <c r="K130" i="32" l="1"/>
  <c r="L130" i="32"/>
  <c r="N163" i="32" l="1"/>
  <c r="N162" i="32"/>
  <c r="M166" i="32"/>
  <c r="M164" i="32" s="1"/>
  <c r="K59" i="32"/>
  <c r="L59" i="32"/>
  <c r="N56" i="32"/>
  <c r="M56" i="32"/>
  <c r="N152" i="32"/>
  <c r="M152" i="32"/>
  <c r="N146" i="32"/>
  <c r="M146" i="32"/>
  <c r="J146" i="32"/>
  <c r="I146" i="32" s="1"/>
  <c r="I145" i="32"/>
  <c r="N58" i="32"/>
  <c r="M58" i="32"/>
  <c r="M54" i="32"/>
  <c r="N54" i="32"/>
  <c r="N52" i="32"/>
  <c r="M52" i="32"/>
  <c r="N111" i="32"/>
  <c r="N105" i="32"/>
  <c r="M111" i="32"/>
  <c r="M105" i="32"/>
  <c r="J105" i="32"/>
  <c r="J124" i="32" s="1"/>
  <c r="M49" i="32"/>
  <c r="M47" i="32"/>
  <c r="M45" i="32"/>
  <c r="N49" i="32"/>
  <c r="N47" i="32"/>
  <c r="N45" i="32"/>
  <c r="J35" i="32"/>
  <c r="K35" i="32"/>
  <c r="L35" i="32"/>
  <c r="M35" i="32"/>
  <c r="N35" i="32"/>
  <c r="J41" i="32"/>
  <c r="K41" i="32"/>
  <c r="L41" i="32"/>
  <c r="M41" i="32"/>
  <c r="N41" i="32"/>
  <c r="K149" i="32"/>
  <c r="L149" i="32"/>
  <c r="J149" i="32"/>
  <c r="K142" i="32"/>
  <c r="L142" i="32"/>
  <c r="J142" i="32"/>
  <c r="I141" i="32"/>
  <c r="K105" i="32"/>
  <c r="K124" i="32" s="1"/>
  <c r="L105" i="32"/>
  <c r="L124" i="32" s="1"/>
  <c r="K37" i="32"/>
  <c r="L37" i="32"/>
  <c r="J37" i="32"/>
  <c r="J127" i="32"/>
  <c r="J130" i="32" s="1"/>
  <c r="I126" i="32"/>
  <c r="J144" i="32"/>
  <c r="I144" i="32" s="1"/>
  <c r="I143" i="32"/>
  <c r="I140" i="32"/>
  <c r="N166" i="32"/>
  <c r="N165" i="32"/>
  <c r="N164" i="32" s="1"/>
  <c r="N144" i="32"/>
  <c r="M144" i="32"/>
  <c r="N142" i="32"/>
  <c r="M142" i="32"/>
  <c r="N127" i="32"/>
  <c r="M127" i="32"/>
  <c r="N129" i="32"/>
  <c r="M129" i="32"/>
  <c r="N37" i="32"/>
  <c r="M37" i="32"/>
  <c r="I163" i="32"/>
  <c r="N124" i="32" l="1"/>
  <c r="M124" i="32"/>
  <c r="J153" i="32"/>
  <c r="L42" i="32"/>
  <c r="L60" i="32" s="1"/>
  <c r="N42" i="32"/>
  <c r="M42" i="32"/>
  <c r="M153" i="32"/>
  <c r="L153" i="32"/>
  <c r="K42" i="32"/>
  <c r="K60" i="32" s="1"/>
  <c r="N153" i="32"/>
  <c r="J42" i="32"/>
  <c r="J59" i="32"/>
  <c r="K153" i="32"/>
  <c r="M130" i="32"/>
  <c r="N130" i="32"/>
  <c r="N59" i="32"/>
  <c r="I35" i="32"/>
  <c r="I105" i="32"/>
  <c r="I124" i="32" s="1"/>
  <c r="I166" i="32"/>
  <c r="I165" i="32"/>
  <c r="I142" i="32"/>
  <c r="I149" i="32"/>
  <c r="I159" i="32" s="1"/>
  <c r="I127" i="32"/>
  <c r="I130" i="32" s="1"/>
  <c r="I37" i="32"/>
  <c r="I162" i="32"/>
  <c r="M59" i="32"/>
  <c r="I59" i="32"/>
  <c r="N158" i="32"/>
  <c r="I41" i="32"/>
  <c r="N154" i="32" l="1"/>
  <c r="I164" i="32"/>
  <c r="I153" i="32"/>
  <c r="I158" i="32"/>
  <c r="J60" i="32"/>
  <c r="M154" i="32"/>
  <c r="J154" i="32"/>
  <c r="N60" i="32"/>
  <c r="K154" i="32"/>
  <c r="K155" i="32" s="1"/>
  <c r="L154" i="32"/>
  <c r="M60" i="32"/>
  <c r="M168" i="32"/>
  <c r="N168" i="32"/>
  <c r="I42" i="32"/>
  <c r="I60" i="32" s="1"/>
  <c r="M155" i="32" l="1"/>
  <c r="N155" i="32"/>
  <c r="J155" i="32"/>
  <c r="I168" i="32"/>
  <c r="L155" i="32"/>
  <c r="I154" i="32"/>
  <c r="I155" i="32" l="1"/>
</calcChain>
</file>

<file path=xl/sharedStrings.xml><?xml version="1.0" encoding="utf-8"?>
<sst xmlns="http://schemas.openxmlformats.org/spreadsheetml/2006/main" count="1935" uniqueCount="356">
  <si>
    <r>
      <t>Savivaldybės privatizavimo fondo lėšos</t>
    </r>
    <r>
      <rPr>
        <b/>
        <sz val="10"/>
        <rFont val="Times New Roman"/>
        <family val="1"/>
      </rPr>
      <t xml:space="preserve"> PF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</si>
  <si>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</si>
  <si>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>Finansavimo šaltinių suvestinė</t>
  </si>
  <si>
    <t>Finansavimo šaltiniai</t>
  </si>
  <si>
    <t>I</t>
  </si>
  <si>
    <t>LRVB</t>
  </si>
  <si>
    <t>ES</t>
  </si>
  <si>
    <t>PF</t>
  </si>
  <si>
    <t>tūkst. Lt</t>
  </si>
  <si>
    <t>10</t>
  </si>
  <si>
    <t>Iš viso tikslui:</t>
  </si>
  <si>
    <t>Iš viso programai: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</si>
  <si>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</si>
  <si>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</si>
  <si>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</si>
  <si>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</si>
  <si>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</si>
  <si>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</si>
  <si>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</si>
  <si>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</si>
  <si>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</si>
  <si>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09</t>
  </si>
  <si>
    <t>SB</t>
  </si>
  <si>
    <t>Iš viso:</t>
  </si>
  <si>
    <t>02</t>
  </si>
  <si>
    <t>SB(VB)</t>
  </si>
  <si>
    <t>03</t>
  </si>
  <si>
    <t>Iš viso uždaviniui:</t>
  </si>
  <si>
    <t>04</t>
  </si>
  <si>
    <t>05</t>
  </si>
  <si>
    <t>06</t>
  </si>
  <si>
    <t>Pavadinimas</t>
  </si>
  <si>
    <t>Iš jų darbo užmokesčiui</t>
  </si>
  <si>
    <t>SAVIVALDYBĖS  LĖŠOS, IŠ VISO:</t>
  </si>
  <si>
    <t>KITI ŠALTINIAI, IŠ VISO:</t>
  </si>
  <si>
    <t>IŠ VISO: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</si>
  <si>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</si>
  <si>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</si>
  <si>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</si>
  <si>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t>UGDYMO PROCESO UŽTIKRINIMO PROGRAMOS (NR. 10)</t>
  </si>
  <si>
    <t>10 Ugdymo proceso užtikrinimo programa</t>
  </si>
  <si>
    <r>
      <t>03 Strateginis tikslas. Užtikrinti gyventojams aukštą švietimo, kultūros, socialinių, sporto ir sveikatos apsaugos paslaugų kokybę ir prieinamu</t>
    </r>
    <r>
      <rPr>
        <b/>
        <sz val="10"/>
        <rFont val="Times New Roman"/>
        <family val="1"/>
        <charset val="186"/>
      </rPr>
      <t>mą</t>
    </r>
    <r>
      <rPr>
        <b/>
        <sz val="10"/>
        <rFont val="Times New Roman"/>
        <family val="1"/>
      </rPr>
      <t xml:space="preserve"> </t>
    </r>
  </si>
  <si>
    <t xml:space="preserve">Turtui įsigyti ir finansiniams įsipareigojimams vykdyti </t>
  </si>
  <si>
    <t>2</t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</si>
  <si>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</si>
  <si>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t>Edukacinių renginių organizavimas, dalyvavimas respublikiniuose renginiuose, kitų projektų vykdymas</t>
  </si>
  <si>
    <t>Neformaliojo švietimo įstaigų pastatų rekonstrukcija:</t>
  </si>
  <si>
    <t>Renovuoti ugdymo įstaigų pastatus ir patalpas</t>
  </si>
  <si>
    <t>Organizuoti materialinį, ūkinį ir techninį ugdymo įstaigų aptarnavimą</t>
  </si>
  <si>
    <t>Padidinti ikimokyklinio ugdymo paslaugų prieinamumą</t>
  </si>
  <si>
    <t>Ugdymo įstaigų ūkinio aptarnavimo organizavimas:</t>
  </si>
  <si>
    <t>Užtikrinti kokybišką ugdymo proceso organizavimą</t>
  </si>
  <si>
    <t>Patalpų pritaikymas bendrojo ugdymo mokyklų reikmėms:</t>
  </si>
  <si>
    <t>SB(P)</t>
  </si>
  <si>
    <r>
      <t xml:space="preserve">Paskolos lėšos </t>
    </r>
    <r>
      <rPr>
        <b/>
        <sz val="10"/>
        <rFont val="Times New Roman"/>
        <family val="1"/>
      </rPr>
      <t>SB(P)</t>
    </r>
  </si>
  <si>
    <t>07</t>
  </si>
  <si>
    <t>Gerinti ugdymo sąlygas ir aplinką</t>
  </si>
  <si>
    <t>Bendrojo ugdymo mokyklų pastatų modernizavimas:</t>
  </si>
  <si>
    <t>P1</t>
  </si>
  <si>
    <t>Mokinių pavėžėjimo užtikrinimas</t>
  </si>
  <si>
    <t>P12</t>
  </si>
  <si>
    <t>Šilumos tinklų ir karšto vandens tinklų sistemų priežiūra</t>
  </si>
  <si>
    <t>Ryšių kabelių kanalų nuoma</t>
  </si>
  <si>
    <t>Šilumos ir karšto vandens tiekimo sistemų renovacija ir remontas</t>
  </si>
  <si>
    <t>Švietimo įstaigų pastatų apsauga</t>
  </si>
  <si>
    <t>Įstaigų skaičius</t>
  </si>
  <si>
    <t>Mokyklų-darželių sk.</t>
  </si>
  <si>
    <t>Pradinių mokyklų sk.</t>
  </si>
  <si>
    <t>Klaipėdos Liudviko Stulpino  pagrindinės mokyklos pastato Klaipėdoje,  Bandužių g. 4, energetinių charakteristikų gerinimas (pastato šiluminė renovacija)</t>
  </si>
  <si>
    <t>Klaipėdos Adomo Brako dailės mokyklos pastato kapitalinis remontas (šiluminė renovacija)</t>
  </si>
  <si>
    <t>Priešgaisrinių reikalavimų vykdymas švietimo įstaigose</t>
  </si>
  <si>
    <t>Produkto kriterijaus</t>
  </si>
  <si>
    <t>planas</t>
  </si>
  <si>
    <t>2014-ieji metai</t>
  </si>
  <si>
    <t>2015-ieji metai</t>
  </si>
  <si>
    <t>Įstaigų, kuriose atlikti remonto darbai, sk.</t>
  </si>
  <si>
    <t>Eksploatuojamų įstaigų sk.</t>
  </si>
  <si>
    <t>Įstaigų, kuriose likviduoti pažeidimai, sk.</t>
  </si>
  <si>
    <t xml:space="preserve">Įstaigų, kuriose pakeisti langai,  skaičius </t>
  </si>
  <si>
    <t>Kabelio tinklo ilgis, km</t>
  </si>
  <si>
    <t>Tarnyboje aptarnautų asmenų skaičius, tūkst.</t>
  </si>
  <si>
    <t>Vertinta įstaigų, vnt.</t>
  </si>
  <si>
    <t>Organizuota egzaminų, sk.</t>
  </si>
  <si>
    <t xml:space="preserve">Gimnazijų skaičius                                                                       </t>
  </si>
  <si>
    <t>Progimnazijų skaičius</t>
  </si>
  <si>
    <t>Nevalstybinių m-klų sk.</t>
  </si>
  <si>
    <t>Įsigytų technologinių įrengimų skaičius</t>
  </si>
  <si>
    <t>Pakeistų lovyčių skaičius</t>
  </si>
  <si>
    <t>Mokinių, kuriems kompensuojamos pavėžėjimo išlaidos, sk.</t>
  </si>
  <si>
    <t>Švietimo įstaigų paprastasis remontas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</si>
  <si>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mokyklose-darželiuose ir pradinėse mokyklose</t>
    </r>
  </si>
  <si>
    <t>SB(SP)</t>
  </si>
  <si>
    <t>Savivaldybės administracijos direktorius</t>
  </si>
  <si>
    <t>Asignavimų valdytojų kodų klasifikatorius*</t>
  </si>
  <si>
    <t xml:space="preserve">                              Pavadinimas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</si>
  <si>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</si>
  <si>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</si>
  <si>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</si>
  <si>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</si>
  <si>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</si>
  <si>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 m. vasario 24 d. įsakymu Nr. AD1-384.</t>
  </si>
  <si>
    <t>Atlikta pastato šiluminė renovacija.
Užbaigtumas, proc.</t>
  </si>
  <si>
    <t>Veiklos organizavimo užtikrinimas švietimo įstaigose:</t>
  </si>
  <si>
    <t>2014-ųjų metų asignavimų planas</t>
  </si>
  <si>
    <t>2016-ųjų metų lėšų poreikis</t>
  </si>
  <si>
    <t>2016-ieji metai</t>
  </si>
  <si>
    <t>2015 m. planas</t>
  </si>
  <si>
    <t xml:space="preserve">2016 m. planas </t>
  </si>
  <si>
    <t>Ikimokyklinių įstaigų sk.</t>
  </si>
  <si>
    <t xml:space="preserve">Ugdoma vaikų, sk. </t>
  </si>
  <si>
    <t>Sporto mokyklų sk.</t>
  </si>
  <si>
    <t>Mokinių skaičius  mokyklose</t>
  </si>
  <si>
    <t>Finansuota profesinės linkmės ugdymo modulių, sk.</t>
  </si>
  <si>
    <t>Sudaryti sąlygas gauti pedagoginę, psichologinę, metodinę ir kitą ugdymo proceso kokybės gerinimui įtakos turinčią pagalbą</t>
  </si>
  <si>
    <t>Ugdytinių skaičius</t>
  </si>
  <si>
    <t>Kvalifikacinių programų skaičius</t>
  </si>
  <si>
    <t>Vadovų atestavimas, dalyvavimas respublikiniuose mokymuose ir miesto metodinėje veikloje</t>
  </si>
  <si>
    <t>Metodinių būrelių skaičius mieste</t>
  </si>
  <si>
    <t>Atestuotų vadovų sk.</t>
  </si>
  <si>
    <t>Brandos egzaminų administravimas ir vertinimas</t>
  </si>
  <si>
    <t>Nuotolinio mokymo diegimas ir plėtojimas</t>
  </si>
  <si>
    <t>1.4.1.9.</t>
  </si>
  <si>
    <t xml:space="preserve">Pedagoginių darbuotojų tarifinių atlygių koeficientų skirtumams išlyginti, ugdymo prieinamumui ir ugdymo formų įvairovei užtikrinti </t>
  </si>
  <si>
    <t>Suorganizuota renginių, sk.</t>
  </si>
  <si>
    <t>Pritaikytų pastatų sk.</t>
  </si>
  <si>
    <t>1.4.3.3.</t>
  </si>
  <si>
    <t>1.4.3.9.</t>
  </si>
  <si>
    <t>1.4.1.4.</t>
  </si>
  <si>
    <t>Naujų vietų skaičius</t>
  </si>
  <si>
    <t>Elektroninio  mokinio pažymėjimo diegimas ir naudojimo užtikrinimas bendrojo ugdymo, neformaliojo švietimo ir sporto įstaigose</t>
  </si>
  <si>
    <t>1.4.3.10.</t>
  </si>
  <si>
    <t>1.4.1.8.</t>
  </si>
  <si>
    <t>Adomo Brako dailės mokyklos baldų atnaujinimas</t>
  </si>
  <si>
    <t>Atnaujinta baldų, vnt.</t>
  </si>
  <si>
    <t>1.4.3.5.</t>
  </si>
  <si>
    <t>Aptvertų įstaigų teritorijų skaičius</t>
  </si>
  <si>
    <t>Švietimo įstaigų sanitarinių patalpų remontas</t>
  </si>
  <si>
    <t>Įstaigų, kuriose suremontuota sanitarinių patalpų, sk.</t>
  </si>
  <si>
    <t>Dalyvių skaičius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</si>
  <si>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 xml:space="preserve">gimnazijose, progimnazijose, pagrindinio  ir  nevalstybinėse bendrojo ugdymo mokyklose </t>
    </r>
  </si>
  <si>
    <r>
      <t xml:space="preserve">Ugdymo proceso užtikrinimas </t>
    </r>
    <r>
      <rPr>
        <b/>
        <sz val="10"/>
        <rFont val="Times New Roman"/>
        <family val="1"/>
        <charset val="186"/>
      </rPr>
      <t>neformaliojo vaikų švietimo įstaigose</t>
    </r>
  </si>
  <si>
    <r>
      <t xml:space="preserve">BĮ Klaipėdos pedagoginės psichologinės tarnybos </t>
    </r>
    <r>
      <rPr>
        <sz val="10"/>
        <rFont val="Times New Roman"/>
        <family val="1"/>
        <charset val="186"/>
      </rPr>
      <t>veiklos užtikrinimas</t>
    </r>
  </si>
  <si>
    <r>
      <t xml:space="preserve">Klaipėdos regos ugdymo centro </t>
    </r>
    <r>
      <rPr>
        <sz val="10"/>
        <rFont val="Times New Roman"/>
        <family val="1"/>
        <charset val="186"/>
      </rPr>
      <t>veiklos  užtikrinimas</t>
    </r>
  </si>
  <si>
    <r>
      <rPr>
        <sz val="10"/>
        <rFont val="Times New Roman"/>
        <family val="1"/>
        <charset val="186"/>
      </rPr>
      <t>Patalpų (Smiltelės g. 22-1) pritaikymas</t>
    </r>
    <r>
      <rPr>
        <b/>
        <sz val="10"/>
        <rFont val="Times New Roman"/>
        <family val="1"/>
        <charset val="186"/>
      </rPr>
      <t xml:space="preserve"> Moksleivių saviraiškos centro </t>
    </r>
    <r>
      <rPr>
        <sz val="10"/>
        <rFont val="Times New Roman"/>
        <family val="1"/>
        <charset val="186"/>
      </rPr>
      <t>veiklai</t>
    </r>
    <r>
      <rPr>
        <b/>
        <sz val="10"/>
        <rFont val="Times New Roman"/>
        <family val="1"/>
        <charset val="186"/>
      </rPr>
      <t xml:space="preserve"> </t>
    </r>
  </si>
  <si>
    <r>
      <rPr>
        <b/>
        <sz val="10"/>
        <rFont val="Times New Roman"/>
        <family val="1"/>
        <charset val="186"/>
      </rPr>
      <t xml:space="preserve">Vaikiškų lovyčių įsigijimas </t>
    </r>
    <r>
      <rPr>
        <sz val="10"/>
        <rFont val="Times New Roman"/>
        <family val="1"/>
        <charset val="186"/>
      </rPr>
      <t>ikimokyklinėse įstaigose (2014 m.: lopšeliuose-darželiuose „Šermukšnėlė“, „Aušrinė“, „Pagrandukas“, „Pumpurėlis“; „Inkarėlio“, „Versmės“, „Nykštuko“ mokyklose-darželiuose )</t>
    </r>
  </si>
  <si>
    <t>Atnaujintas sporto  aikštynas, vnt.</t>
  </si>
  <si>
    <t>Pastatytas priestatas</t>
  </si>
  <si>
    <t>Parengta analizė (prioritetinis sąrašas)</t>
  </si>
  <si>
    <t xml:space="preserve">Bendrojo ugdymo mokyklų stadionų atnaujinimas </t>
  </si>
  <si>
    <r>
      <rPr>
        <b/>
        <sz val="10"/>
        <rFont val="Times New Roman"/>
        <family val="1"/>
        <charset val="186"/>
      </rPr>
      <t>Neformaliojo</t>
    </r>
    <r>
      <rPr>
        <sz val="10"/>
        <rFont val="Times New Roman"/>
        <family val="1"/>
        <charset val="186"/>
      </rPr>
      <t xml:space="preserve"> vaikų ugdymo proceso užtikrinimas biudžetinėse </t>
    </r>
    <r>
      <rPr>
        <b/>
        <sz val="10"/>
        <rFont val="Times New Roman"/>
        <family val="1"/>
        <charset val="186"/>
      </rPr>
      <t xml:space="preserve">sporto mokyklose </t>
    </r>
  </si>
  <si>
    <t>Sutvarkytų stadionų sk.</t>
  </si>
  <si>
    <r>
      <t xml:space="preserve">Rugsėjo 1-osios šventės organizavimas </t>
    </r>
    <r>
      <rPr>
        <sz val="10"/>
        <rFont val="Times New Roman"/>
        <family val="1"/>
        <charset val="186"/>
      </rPr>
      <t>(masinis renginys „Švyturio“ arenoje)</t>
    </r>
  </si>
  <si>
    <t>Atlikta naujojo pastato šiluminė renovacija, atlikta senojo pastato šiluminė renovacija bei kiti tvarkomieji paveldosaugos darbai.
Užbaigtumas, proc.</t>
  </si>
  <si>
    <t>Atlikti naujojo priestato ir senojo priestato kapitalinio remonto bei tvarkomieji paveldosaugos darbai. Užbaigtumas proc.</t>
  </si>
  <si>
    <t>Įsiskolinimo padengimas, proc.</t>
  </si>
  <si>
    <t>Atlikta pastato šiluminė renovacija, proc.</t>
  </si>
  <si>
    <t>Klaipėdos lopšelio-darželio „Atžalynas“ (Panevėžio g. 3) pastato modernizavimas</t>
  </si>
  <si>
    <t>Atlikta pastato renovacija, proc.</t>
  </si>
  <si>
    <t xml:space="preserve">Parengtas techninis projektas, vnt.
</t>
  </si>
  <si>
    <t>Parengtas techninis projektas, proc.</t>
  </si>
  <si>
    <t>Sporto mokyklų, kuriose vyksta užsiėmimai, sk.</t>
  </si>
  <si>
    <t>Įstaigų, kuriose vyksta užsiėmimai, skaičius</t>
  </si>
  <si>
    <t>Rekonstruotas pastatas (pаkeisti langai, lauko durys, apšiltintas fasadas,                                           perdangos, rekonstruotas stogаs, rekonstruota elektros ir apšvietimo sistema, įrengta žaibosauga ir priešgaisrinė signalizacija. Užbaigtumas, proc:</t>
  </si>
  <si>
    <t>Kt</t>
  </si>
  <si>
    <t>Saugomų įstaigų skaičius</t>
  </si>
  <si>
    <t>Techninio projekto įgyvendinimas, proc.</t>
  </si>
  <si>
    <r>
      <t xml:space="preserve">Patalpų (Molo g. 2) pritaikymas </t>
    </r>
    <r>
      <rPr>
        <b/>
        <sz val="10"/>
        <rFont val="Times New Roman"/>
        <family val="1"/>
        <charset val="186"/>
      </rPr>
      <t>Vaikų laisvalaikio centro</t>
    </r>
    <r>
      <rPr>
        <sz val="10"/>
        <rFont val="Times New Roman"/>
        <family val="1"/>
        <charset val="186"/>
      </rPr>
      <t xml:space="preserve"> veiklai </t>
    </r>
  </si>
  <si>
    <t>Parengta projektų, sk.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</si>
  <si>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</si>
  <si>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 xml:space="preserve">Pagrindinio ugdymo m-klų sk. </t>
  </si>
  <si>
    <t>Klaipėdos „Smeltės“ progimnazijos pastato Klaipėdoje, Reikjaviko g. 17, modernizavimas;</t>
  </si>
  <si>
    <t>Savivaldybei priklausančių patalpų pastate, adresu Kretingos g. 44, modernizavimas;</t>
  </si>
  <si>
    <t>Klaipėdos „Varpo“ gimnazijos pastato šiluminė renovacija;</t>
  </si>
  <si>
    <t>Klaipėdos Vitės pagrindinės mokyklos Švyturio g. 2 pastato modernizavimas;</t>
  </si>
  <si>
    <t>Klaipėdos Adomo Brako dailės mokyklos pastato kapitalinis remontas (šiluminė renovacija);</t>
  </si>
  <si>
    <t>Jaunimo centro pastatų  Klaipėdoje, Puodžių g. 1 renovacija;</t>
  </si>
  <si>
    <t>Švietimo įstaigų paprastasis remontas;</t>
  </si>
  <si>
    <t>Šilumos tinklų ir karšto vandens tinklų sistemų priežiūra;</t>
  </si>
  <si>
    <t>Šilumos ir karšto vandens tiekimo sistemų renovacija ir remontas;</t>
  </si>
  <si>
    <t>Priešgaisrinių reikalavimų vykdymas švietimo įstaigose;</t>
  </si>
  <si>
    <t>Ryšių kabelių kanalų nuoma;</t>
  </si>
  <si>
    <t>Švietimo įstaigų pastatų apsauga;</t>
  </si>
  <si>
    <t>Sudaryti sąlygas ugdytis ir įgyti išsilavinimą pagal įvairias ugdymo programas</t>
  </si>
  <si>
    <r>
      <t>BĮ Klaipėdos pedagogų švietimo ir kultūros centro</t>
    </r>
    <r>
      <rPr>
        <sz val="10"/>
        <rFont val="Times New Roman"/>
        <family val="1"/>
        <charset val="186"/>
      </rPr>
      <t xml:space="preserve"> veiklos užtikrinimas</t>
    </r>
  </si>
  <si>
    <t>Klaipėdos Sendvario pagrindinės mokyklos pastato modernizavimas (atnaujinimas) Tilžės g. 39, Klaipėda;</t>
  </si>
  <si>
    <t>Projekto „Buvusio Rumpiškės dvaro tvarkybos darbai bei pritaikymas visuomenės reikmėms“ įgyvendinimas (Klaipėdos Adomo Brako dailės mokyklos pastato kapitalinio remonto II etapas);</t>
  </si>
  <si>
    <t>Klaipėdos „Medeinės“ mokyklos patalpų ir aplinkos pritaikymas prijungus prie jos „Gubojos“ mokyklą</t>
  </si>
  <si>
    <t>Švietimo įstaigų iškėlimas iš uosto plėtros teritorijos:</t>
  </si>
  <si>
    <r>
      <t xml:space="preserve">Naujų ikimokyklinių grupių įrengimas </t>
    </r>
    <r>
      <rPr>
        <sz val="10"/>
        <rFont val="Times New Roman"/>
        <family val="1"/>
        <charset val="186"/>
      </rPr>
      <t xml:space="preserve">(2014 m.: „Inkarėlio“, „Nykštuko“, „Versmės“ mokyklose-darželiuose, lopšelyje-darželyje „Pumpurėlis“) </t>
    </r>
  </si>
  <si>
    <t>Ikimokyklinio ugdymo įstaigų teritorijų aptvėrimas (2014 m. lopšelio-darželio „Obelėlė“ arba „Radastėlė“)</t>
  </si>
  <si>
    <t xml:space="preserve">Priestato statyba prie lopšelio-darželio „Puriena“ („Aušrinės“ lopšelio-darželio iškėlimas) 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</si>
  <si>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lopšeliuose-darželiuose ir nevalstybinėse ikimokyklinio ugdymo įstaigose</t>
    </r>
  </si>
  <si>
    <t>Ugdoma mokinių, sk. tūkst.</t>
  </si>
  <si>
    <t>Įstaigų, kuriose įdiegtas e. mokinio pažymėjimas ir užtikrintas  sistemos palaikymas, skaičius</t>
  </si>
  <si>
    <t xml:space="preserve">Įrengta grupių 1–3 metų amžiaus vaikams, vnt.             </t>
  </si>
  <si>
    <t>Renovuota ir suremontuota sistemų, sk.</t>
  </si>
  <si>
    <r>
      <t xml:space="preserve">Profesinės linkmės meninio ugdymo programų modulių užtikrinimas Klaipėdos </t>
    </r>
    <r>
      <rPr>
        <b/>
        <sz val="10"/>
        <rFont val="Times New Roman"/>
        <family val="1"/>
        <charset val="186"/>
      </rPr>
      <t>Jeronimo Kačinsko muzikos mokykloje</t>
    </r>
  </si>
  <si>
    <r>
      <t xml:space="preserve">Profesinės linkmės meninio ugdymo programų modulių užtikrinimas </t>
    </r>
    <r>
      <rPr>
        <b/>
        <sz val="10"/>
        <rFont val="Times New Roman"/>
        <family val="1"/>
        <charset val="186"/>
      </rPr>
      <t>Klaipėdos Jeronimo Kačinsko muzikos mokykloje</t>
    </r>
  </si>
  <si>
    <t>Klaipėdos Liudviko Stulpino  pagrindinės mokyklos pastato Klaipėdoje, Bandužių g. 4, energetinių charakteristikų gerinimas (pastato šiluminė renovacija)</t>
  </si>
  <si>
    <r>
      <t xml:space="preserve">Neformaliojo vaikų ugdymo programų įgyvendinimas viešosiose įstaigose </t>
    </r>
    <r>
      <rPr>
        <sz val="10"/>
        <rFont val="Times New Roman"/>
        <family val="1"/>
        <charset val="186"/>
      </rPr>
      <t>(2013 m.: „Klaipėdos futbolo akademija“, Klaipėdos ledo ritulio mokykloje „Skatas“,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„Tigrima“, Vaikų socialinės pagalbos centre darbštumo ugdymo mokykloje „10 talentų“, Klaipėdos irklavimo centre, </t>
    </r>
    <r>
      <rPr>
        <b/>
        <sz val="10"/>
        <rFont val="Times New Roman"/>
        <family val="1"/>
        <charset val="186"/>
      </rPr>
      <t xml:space="preserve">2014 m. </t>
    </r>
    <r>
      <rPr>
        <sz val="10"/>
        <rFont val="Times New Roman"/>
        <family val="1"/>
        <charset val="186"/>
      </rPr>
      <t>– Klaipėdos irklavimo centre)</t>
    </r>
  </si>
  <si>
    <r>
      <t>Klaipėdos lopšelių-darželių pastatų langų pakeitimas</t>
    </r>
    <r>
      <rPr>
        <sz val="10"/>
        <rFont val="Times New Roman"/>
        <family val="1"/>
        <charset val="186"/>
      </rPr>
      <t xml:space="preserve"> (2013 m.: lopšelių-darželių </t>
    </r>
    <r>
      <rPr>
        <b/>
        <sz val="10"/>
        <rFont val="Times New Roman"/>
        <family val="1"/>
        <charset val="186"/>
      </rPr>
      <t>„Putinėlis“</t>
    </r>
    <r>
      <rPr>
        <sz val="10"/>
        <rFont val="Times New Roman"/>
        <family val="1"/>
        <charset val="186"/>
      </rPr>
      <t xml:space="preserve">, „Du gaideliai“, „Linelis“, </t>
    </r>
    <r>
      <rPr>
        <b/>
        <sz val="10"/>
        <rFont val="Times New Roman"/>
        <family val="1"/>
        <charset val="186"/>
      </rPr>
      <t>„Šaltinėlio“</t>
    </r>
    <r>
      <rPr>
        <sz val="10"/>
        <rFont val="Times New Roman"/>
        <family val="1"/>
        <charset val="186"/>
      </rPr>
      <t xml:space="preserve"> mokyklos-darželio, </t>
    </r>
    <r>
      <rPr>
        <b/>
        <sz val="10"/>
        <rFont val="Times New Roman"/>
        <family val="1"/>
        <charset val="186"/>
      </rPr>
      <t xml:space="preserve">2014 m.: </t>
    </r>
  </si>
  <si>
    <t xml:space="preserve">lopšelio-darželio „Bangelė“  </t>
  </si>
  <si>
    <t>lopšelio-darželio „Berželis“</t>
  </si>
  <si>
    <t>lopšelio-darželio „Vėrinėlis“</t>
  </si>
  <si>
    <t>Regos ugdymo centro)</t>
  </si>
  <si>
    <r>
      <rPr>
        <b/>
        <sz val="10"/>
        <rFont val="Times New Roman"/>
        <family val="1"/>
        <charset val="186"/>
      </rPr>
      <t xml:space="preserve">Įrengimų įsigijimas ugdymo įstaigų maisto blokuose </t>
    </r>
    <r>
      <rPr>
        <sz val="10"/>
        <rFont val="Times New Roman"/>
        <family val="1"/>
        <charset val="186"/>
      </rPr>
      <t>pagal tikrinančių institucijų reikalavimus (2014 m. „Saulutės“, „Versmės“ mokyklų-darželių, lopšelių-darželių „Putinėlis“, „Žuvėdra“, „Eglutė“, „Žemuogėlė“, „Želmenėlis“, „Svirpliukas“, „Aitvarėlis“, Regos ugdymo centro)</t>
    </r>
  </si>
  <si>
    <t>Įstaigų, kuriose įdiegtas e. mokinio pažymėjimas ir užtikrintas sistemos palaikymas, skaičius</t>
  </si>
  <si>
    <t xml:space="preserve"> 2014–2016 M. KLAIPĖDOS MIESTO SAVIVALDYBĖS</t>
  </si>
  <si>
    <t xml:space="preserve">
</t>
  </si>
  <si>
    <t>Modernizuotas patalpos, užbaigtumas, proc.</t>
  </si>
  <si>
    <t>Iš viso priemonei:</t>
  </si>
  <si>
    <t xml:space="preserve">Atlikta pastato šiluminė renovacija.
</t>
  </si>
  <si>
    <t>Užbaigtumas, proc.</t>
  </si>
  <si>
    <t>Funkcinės klasifikacijos kodas</t>
  </si>
  <si>
    <t>Klaipėdos Vydūno vidurinės mokyklos ir Klaipėdos Salio Šemerio suaugusiųjų gimnazijos pastato Klaipėdoje, Sulupės g. 26, rekonstravimas;</t>
  </si>
  <si>
    <t xml:space="preserve"> TIKSLŲ, UŽDAVINIŲ, PRIEMONIŲ, PRIEMONIŲ IŠLAIDŲ IR PRODUKTO KRITERIJŲ SUVESTINĖ</t>
  </si>
  <si>
    <t>2015-ųjų metų lėšų planas</t>
  </si>
  <si>
    <t>2016-ųjų metų lėšų planas</t>
  </si>
  <si>
    <t xml:space="preserve">Ikimokyklinio ugdymo įstaigos statyba šiaurinėje miesto dalyje </t>
  </si>
  <si>
    <t>P5</t>
  </si>
  <si>
    <t xml:space="preserve"> 2014–2017 M. KLAIPĖDOS MIESTO SAVIVALDYBĖS</t>
  </si>
  <si>
    <t>2017-ųjų metų lėšų poreikis</t>
  </si>
  <si>
    <t>2017-ieji metai</t>
  </si>
  <si>
    <t>Klaipėdos Vydūno vidurinės mokyklos ir Klaipėdos Salio Šemerio suaugusiųjų gimnazijos pastato Klaipėdoje, Sulupės g. 26, modernizavimas</t>
  </si>
  <si>
    <t>Ikimokyklinio ugdymo mokyklų pastatų modernizavimas:</t>
  </si>
  <si>
    <t>Atlikti stogo pakeitimo darbai, užbaigtumas, proc.</t>
  </si>
  <si>
    <t>Parengtas techninis projektas, vnt.</t>
  </si>
  <si>
    <t>44</t>
  </si>
  <si>
    <t>45</t>
  </si>
  <si>
    <t>46</t>
  </si>
  <si>
    <t>7625</t>
  </si>
  <si>
    <t>7700</t>
  </si>
  <si>
    <t>7750</t>
  </si>
  <si>
    <t>4</t>
  </si>
  <si>
    <t>6</t>
  </si>
  <si>
    <t>8</t>
  </si>
  <si>
    <t xml:space="preserve">jose ugdoma vaikų </t>
  </si>
  <si>
    <t>jose ugdoma vaikų</t>
  </si>
  <si>
    <t xml:space="preserve">iš jų mokinių </t>
  </si>
  <si>
    <t>Mokyklų skaičius</t>
  </si>
  <si>
    <t xml:space="preserve">Mokinių skaičius </t>
  </si>
  <si>
    <r>
      <t xml:space="preserve">Ugdymo proceso  užtikrinimas </t>
    </r>
    <r>
      <rPr>
        <b/>
        <sz val="10"/>
        <rFont val="Times New Roman"/>
        <family val="1"/>
        <charset val="186"/>
      </rPr>
      <t>neformaliojo vaikų švietimo įstaigose</t>
    </r>
  </si>
  <si>
    <t xml:space="preserve">Mokinių skaičius  </t>
  </si>
  <si>
    <t>Įstaigų  skaičius</t>
  </si>
  <si>
    <t>Švietimo įstaigų darbuotojų išeitinių išmokų kompensavimas</t>
  </si>
  <si>
    <t>Finansuotų profesinės linkmės ugdymo modulių skaičius, vnt.</t>
  </si>
  <si>
    <t>Minimalios vaiko priežiūros priemonių vykdymo užtikrinimas</t>
  </si>
  <si>
    <t>Mokinių skaičius</t>
  </si>
  <si>
    <t>Vasaros poilsio organizavimas</t>
  </si>
  <si>
    <t>Vaikų skaičius, tūkst.</t>
  </si>
  <si>
    <t>Atestuotų vadovų skaičius</t>
  </si>
  <si>
    <t>Rugsėjo 1-osios šventės organizavimas (masinis renginys „Švyturio“ arenoje)</t>
  </si>
  <si>
    <t xml:space="preserve">Brandos egzaminų administravimas </t>
  </si>
  <si>
    <t>Ikimokyklinio ugdymo įstaigų teritorijų aptvėrimas (2015 m. lopšelis-darželis „Žemuogėle“)</t>
  </si>
  <si>
    <t xml:space="preserve">Neformaliojo vaikų ugdymo programų įgyvendinimas viešosiose įstaigose </t>
  </si>
  <si>
    <t>Įgyvendintų programų skaičius</t>
  </si>
  <si>
    <r>
      <rPr>
        <b/>
        <sz val="10"/>
        <rFont val="Times New Roman"/>
        <family val="1"/>
        <charset val="186"/>
      </rPr>
      <t>Priestato statyba prie Klaipėdos lopšelio-darželio „Puriena“</t>
    </r>
    <r>
      <rPr>
        <sz val="10"/>
        <rFont val="Times New Roman"/>
        <family val="1"/>
        <charset val="186"/>
      </rPr>
      <t xml:space="preserve"> („Aušrinės“ lopšelio-darželio iškėlimas) </t>
    </r>
  </si>
  <si>
    <t xml:space="preserve">Mokyklinių baldų atnaujinimas:  </t>
  </si>
  <si>
    <t>Vaikų skaičius, kuriems suteikta rebilitacinių paslaugų</t>
  </si>
  <si>
    <t>Švietimo įstaigų naudojamų pastatų optimizavimas</t>
  </si>
  <si>
    <t>Elektroninio mokinio pažymėjimo diegimas ir naudojimo užtikrinimas bendrojo ugdymo, neformaliojo švietimo ir sporto įstaigose</t>
  </si>
  <si>
    <t>Pakeista langų, proc.</t>
  </si>
  <si>
    <t>Klaipėdos Jeronimo Kačinsko muzikos mokyklos pastatо langų pakeitimas</t>
  </si>
  <si>
    <t>Biudžetinių įstaigų patalpų būklės gerinimas (pasiruošimas naujiems mokslo metams)</t>
  </si>
  <si>
    <t>Vietų skaičiaus didinimas ikimokyklinio ugdymo įstaigose</t>
  </si>
  <si>
    <t>Vaikų skaičius</t>
  </si>
  <si>
    <t xml:space="preserve">Įrengta grupių 1–6 metų amžiaus vaikams, vnt.  </t>
  </si>
  <si>
    <r>
      <t xml:space="preserve">Ugdymo proceso  užtikrinimas </t>
    </r>
    <r>
      <rPr>
        <b/>
        <sz val="10"/>
        <rFont val="Times New Roman"/>
        <family val="1"/>
        <charset val="186"/>
      </rPr>
      <t>pradinėse mokyklose ir mokyklose-darželiuose</t>
    </r>
  </si>
  <si>
    <r>
      <t xml:space="preserve">Ugdymo proceso  užtikrinimas </t>
    </r>
    <r>
      <rPr>
        <b/>
        <sz val="10"/>
        <rFont val="Times New Roman"/>
        <family val="1"/>
        <charset val="186"/>
      </rPr>
      <t>savivaldybės ir nevalstybinėse bendrojo ugdymo mokyklose</t>
    </r>
    <r>
      <rPr>
        <sz val="10"/>
        <rFont val="Times New Roman"/>
        <family val="1"/>
        <charset val="186"/>
      </rPr>
      <t xml:space="preserve"> </t>
    </r>
  </si>
  <si>
    <t xml:space="preserve">Atliktas energetinis auditas, vnt.
</t>
  </si>
  <si>
    <t xml:space="preserve">KVJUD </t>
  </si>
  <si>
    <r>
      <t xml:space="preserve">Klaipėdos valstybinio jūrų uosto direkcijos lėšos </t>
    </r>
    <r>
      <rPr>
        <b/>
        <sz val="10"/>
        <rFont val="Times New Roman"/>
        <family val="1"/>
        <charset val="186"/>
      </rPr>
      <t>KVJUD</t>
    </r>
  </si>
  <si>
    <t>Vaikiškų lovyčių įsigijimas ikimokyklinėse įstaigose</t>
  </si>
  <si>
    <t>Atlikta pastato renovacija, %</t>
  </si>
  <si>
    <t>Parengtas tech. projektas, vnt.</t>
  </si>
  <si>
    <t xml:space="preserve">1
</t>
  </si>
  <si>
    <t>2015-ųjų m. asignavimų planas</t>
  </si>
  <si>
    <t>2015 m. asignavimų planas</t>
  </si>
  <si>
    <t>2016 m. lėšų projektas</t>
  </si>
  <si>
    <r>
      <t>Įrengimų įsigijimas ugdymo įstaigų maisto blokuose pagal tikrinančių institucijų reikalavimus</t>
    </r>
    <r>
      <rPr>
        <sz val="10"/>
        <rFont val="Times New Roman"/>
        <family val="1"/>
      </rPr>
      <t xml:space="preserve"> (2015 m. lopšeliuose-darželiuose „Berželis“, „Žuvėdra“, „Šermukšnėlė“, „Ąžuoliukas“, „Žiogelis“, „Atžalynas“, Regos ugdymo centre, „Inkarėlio“, „Pakalnutės“ mokyklose-darželiuose)</t>
    </r>
  </si>
  <si>
    <t>Eur</t>
  </si>
  <si>
    <t>Planas</t>
  </si>
  <si>
    <t xml:space="preserve">Ikimokyklinių savivaldybės įstaigų skaičius, </t>
  </si>
  <si>
    <t>Ikimokyklinių nevalstybinių įstaigų skaičius,</t>
  </si>
  <si>
    <t>Pradinių mokyklų ir mokyklų-darželių skaičius</t>
  </si>
  <si>
    <t>Ugdoma vaikų, skaičius,</t>
  </si>
  <si>
    <t>Sporto mokyklų, kuriose vyksta užsiėmimai, skaičius</t>
  </si>
  <si>
    <t>Organizuota egzaminų, skaičius</t>
  </si>
  <si>
    <t>Suorganizuota renginių, skaičius</t>
  </si>
  <si>
    <t>Įstaigų, kuriose atlikti remonto darbai, skaičius</t>
  </si>
  <si>
    <t>Eksploatuojama įstaigų, skaičius</t>
  </si>
  <si>
    <t>Įstaigų, kuriose likviduoti pažeidimai, skaičius</t>
  </si>
  <si>
    <t>Saugoma įstaigų, skaičius</t>
  </si>
  <si>
    <t>Įstaigų, kuriose suremontuota sanitarinių patalpų, skaičius</t>
  </si>
  <si>
    <t>Suremontuotos įstaigos,  skaičius</t>
  </si>
  <si>
    <t>Mokinių, kuriems kompensuojamos pavėžėjimo išlaidos, skaičius</t>
  </si>
  <si>
    <t>Įrengta grupių, skaičius</t>
  </si>
  <si>
    <t>Renovuota / suremontuota sistemų, skaičius</t>
  </si>
  <si>
    <t>Nuotolinio mokymo diegimas ir plėtojimas (2015 m. – Baltijos gimnazija, „Vyturio“ pagrindinė mokykla, 2016 m. – Suaugusiųjų gimnazija)</t>
  </si>
  <si>
    <t xml:space="preserve">Lopšelio-darželio „Radastėlė“ (Galinio Pylimo  g. 16 A) energetinio efektyvumo didinimas </t>
  </si>
  <si>
    <t>Klaipėdos lopšelio-darželio „Svirpliukas“ (Liepų g. 43A) energetinio efektyvumo didinimas</t>
  </si>
  <si>
    <t>Klaipėdos „Saulutės“ mokyklos-darželio (Kauno g. 11) energetinio efektyvumo didinimas</t>
  </si>
  <si>
    <t>Klaipėdos lopšelio-darželio „Klevelis“ (Taikos pr. 53) energetinio efektyvumo didinimas</t>
  </si>
  <si>
    <t>Klaipėdos lopšelio-darželio „Žiogelis“ (Kauno g. 27) energetinio efektyvumo didinimas</t>
  </si>
  <si>
    <t>Jaunimo centro pastatų  Klaipėdoje, Puodžių g. 1, renovacija (stogo konstrukcijų pakeitimas)</t>
  </si>
  <si>
    <t>Jaunimo centro pastatų (su sporto sale) Klaipėdoje, Puodžių g. 1, modernizavimas</t>
  </si>
  <si>
    <r>
      <rPr>
        <b/>
        <sz val="10"/>
        <rFont val="Times New Roman"/>
        <family val="1"/>
        <charset val="186"/>
      </rPr>
      <t>Patalpų pritaikymas bendrojo ugdymo mokyklų reikmėms</t>
    </r>
    <r>
      <rPr>
        <sz val="10"/>
        <rFont val="Times New Roman"/>
        <family val="1"/>
        <charset val="186"/>
      </rPr>
      <t xml:space="preserve"> (2015 m. – patalpų pritaikymas reabilitacinėms paslaugoms teikti  „Medeinės“ mokykloje specialiųjų poreikių mokiniams)</t>
    </r>
  </si>
  <si>
    <t>Mokymo įstaigų vidaus patalpų remontas po šiluminės renovacijos (2015 m. – „Varpo“ gimnazijos lubų remontas)</t>
  </si>
  <si>
    <t>Klaipėdos lopšelio-darželio „Puriena“ priestato aprūpinimas baldais ir įranga</t>
  </si>
  <si>
    <t xml:space="preserve">Klaipėdos lopšelio-darželio „Radastėlė“ (Galinio Pylimo  g. 16 A) energetinio efektyvumo didinimas </t>
  </si>
  <si>
    <t>Klaipėdos lopšelio-darželio„Svirpliukas“ (Liepų g. 43A) energetinio efektyvumo didinimas</t>
  </si>
  <si>
    <t>2016-ųjų metų lėšų projektas</t>
  </si>
  <si>
    <t>2017-ųjų metų lėšų projektas</t>
  </si>
  <si>
    <t>P4</t>
  </si>
  <si>
    <t xml:space="preserve"> 2015–2017 M. KLAIPĖDOS MIESTO SAVIVALDYBĖS</t>
  </si>
  <si>
    <t xml:space="preserve">Atlikta energetinių auditų, vnt.
</t>
  </si>
  <si>
    <t>Atlikta pastatų renovacija, %</t>
  </si>
  <si>
    <t>Energetinio efektyvumo didinimas (lopšelių-darželių „Žiogelis“, „Klevelis“, „Svirpliukas“, „Radastėlė“ ir „Saulutės“ mokyklos-darželio)</t>
  </si>
  <si>
    <t xml:space="preserve"> SB</t>
  </si>
  <si>
    <t xml:space="preserve"> ES</t>
  </si>
  <si>
    <t xml:space="preserve"> SB(P)</t>
  </si>
  <si>
    <t>Skirtumas</t>
  </si>
  <si>
    <t>Siūlomas keisti 2015-ųjų metų  asignavimų planas</t>
  </si>
  <si>
    <t>SB(L)</t>
  </si>
  <si>
    <r>
      <t xml:space="preserve">Apyvartinių lėšų likutis </t>
    </r>
    <r>
      <rPr>
        <b/>
        <sz val="10"/>
        <rFont val="Times New Roman"/>
        <family val="1"/>
        <charset val="186"/>
      </rPr>
      <t>SB(L)</t>
    </r>
  </si>
  <si>
    <t>Lyginamasis variantas</t>
  </si>
  <si>
    <t>Kreditinio įsiskolinimo padengimas, proc.</t>
  </si>
  <si>
    <t>Siūlomas keisti 2015 m. asignavimų planas</t>
  </si>
  <si>
    <r>
      <t xml:space="preserve">Savivaldybės privatizavimo fondo lėšos </t>
    </r>
    <r>
      <rPr>
        <b/>
        <sz val="10"/>
        <rFont val="Times New Roman"/>
        <family val="1"/>
        <charset val="186"/>
      </rPr>
      <t>PF</t>
    </r>
  </si>
  <si>
    <t>SB(SPL)</t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</si>
  <si>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</si>
  <si>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t>Parengta tech. projektų, vnt.</t>
  </si>
  <si>
    <t>Parengta investicijų projektų, vnt</t>
  </si>
  <si>
    <t>Parengtas investicijų projektas, vnt.</t>
  </si>
  <si>
    <t>1.4.3.10</t>
  </si>
  <si>
    <t>Klaipėdos „Smeltės“ progimnazijos pastato Klaipėdoje, Reikjaviko g. 17, rekonstravimas</t>
  </si>
  <si>
    <t>Įstaigos veiklai pritaikyta patalpų, proc.</t>
  </si>
  <si>
    <t>Patalpų pritaikymas reabilitacinėms paslaugoms teikti  „Medeinės“ mokykloje specialiųjų poreikių mokiniams</t>
  </si>
  <si>
    <t>2017 m. lėšų projektas</t>
  </si>
  <si>
    <t>Klaipėdos Baltijos gimnazijos patalpų Klaipėdoje, Baltijos pr. 51, pritaikymas Klaipėdos pedagogų švietimo ir kultūros centro veiklai</t>
  </si>
  <si>
    <r>
      <t xml:space="preserve">Klaipėdos lopšelio-darželio „Puriena“ pastato Naikupės g. 27 rekonstravimas, pristatant priestatą </t>
    </r>
    <r>
      <rPr>
        <sz val="10"/>
        <rFont val="Times New Roman"/>
        <family val="1"/>
        <charset val="186"/>
      </rPr>
      <t xml:space="preserve">(„Aušrinės“ lopšelio-darželio iškėlimas) </t>
    </r>
  </si>
  <si>
    <t>Klaipėdos Vitės pagrindinės mokyklos Švyturio g. 2 pastato modernizavimas</t>
  </si>
  <si>
    <r>
      <rPr>
        <b/>
        <sz val="10"/>
        <rFont val="Times New Roman"/>
        <family val="1"/>
        <charset val="186"/>
      </rPr>
      <t>Patalpų pritaikymas švietimo įstaigų reikmėms</t>
    </r>
    <r>
      <rPr>
        <sz val="10"/>
        <rFont val="Times New Roman"/>
        <family val="1"/>
        <charset val="186"/>
      </rPr>
      <t xml:space="preserve"> :</t>
    </r>
  </si>
  <si>
    <t>Patalpų adresu Herkaus Manto g. 77 pritaikymas Klaipėdos vaikų laisvalaikio centro veiklai</t>
  </si>
  <si>
    <t>Vietų skaičiaus didinimas ikimokyklinio amžiaus vaikams švietimo įstaigose</t>
  </si>
  <si>
    <r>
      <rPr>
        <b/>
        <sz val="10"/>
        <rFont val="Times New Roman"/>
        <family val="1"/>
        <charset val="186"/>
      </rPr>
      <t>Patalpų pritaikymas švietimo įstaigų  reikmėms</t>
    </r>
    <r>
      <rPr>
        <sz val="10"/>
        <rFont val="Times New Roman"/>
        <family val="1"/>
        <charset val="186"/>
      </rPr>
      <t xml:space="preserve"> </t>
    </r>
  </si>
  <si>
    <r>
      <rPr>
        <b/>
        <sz val="10"/>
        <rFont val="Times New Roman"/>
        <family val="1"/>
        <charset val="186"/>
      </rPr>
      <t xml:space="preserve">Klaipėdos lopšelio-darželio „Puriena“ pastato Naikupės g. 27 rekonstravimas, pristatant priestatą </t>
    </r>
    <r>
      <rPr>
        <sz val="10"/>
        <rFont val="Times New Roman"/>
        <family val="1"/>
        <charset val="186"/>
      </rPr>
      <t xml:space="preserve">(„Aušrinės“ lopšelio-darželio iškėlimas) </t>
    </r>
  </si>
  <si>
    <t xml:space="preserve">Vietų skaičiaus didinimas ikimokyklinio amžiaus vaikams švietimo įstaigose </t>
  </si>
  <si>
    <t>Įsigyta/pakeistų lovyčių skaičius</t>
  </si>
  <si>
    <t>Valstybės biudžeto lėšos LRVB</t>
  </si>
  <si>
    <t xml:space="preserve"> </t>
  </si>
  <si>
    <t xml:space="preserve">Neformaliojo vaikų švietimo programų įgyvendinimas </t>
  </si>
  <si>
    <t xml:space="preserve">Vaikų skaičius, </t>
  </si>
  <si>
    <t xml:space="preserve">iš jų taikoma 100 Eur kompensacija </t>
  </si>
  <si>
    <t>Klaipėdos Vydūno gimnazijos pastato Klaipėdoje, Sulupės g. 26, rekonstravimas</t>
  </si>
  <si>
    <t>Neformaliojo vaikų švietimo programų įgyvendinimas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</si>
</sst>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[Red]0.0"/>
    <numFmt numFmtId="166" formatCode="#,##0.0"/>
  </numFmts>
  <fonts count="20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trike/>
      <sz val="10"/>
      <name val="Times New Roman"/>
      <family val="1"/>
      <charset val="186"/>
    </font>
    <font>
      <sz val="9"/>
      <name val="Times New Roman"/>
      <family val="1"/>
    </font>
    <font>
      <b/>
      <sz val="9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558">
    <xf numFmtId="0" fontId="0" fillId="0" borderId="0" xfId="0"/>
    <xf numFmtId="164" fontId="2" fillId="2" borderId="1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164" fontId="1" fillId="0" borderId="2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3" fillId="0" borderId="0" xfId="0" applyFont="1" applyBorder="1"/>
    <xf numFmtId="0" fontId="1" fillId="0" borderId="0" xfId="0" applyFont="1" applyAlignment="1">
      <alignment vertical="top"/>
    </xf>
    <xf numFmtId="164" fontId="1" fillId="0" borderId="3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 textRotation="90" wrapText="1"/>
    </xf>
    <xf numFmtId="164" fontId="4" fillId="0" borderId="5" xfId="0" applyNumberFormat="1" applyFont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/>
    </xf>
    <xf numFmtId="49" fontId="2" fillId="3" borderId="12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vertical="top"/>
    </xf>
    <xf numFmtId="49" fontId="2" fillId="2" borderId="14" xfId="0" applyNumberFormat="1" applyFont="1" applyFill="1" applyBorder="1" applyAlignment="1">
      <alignment horizontal="center" vertical="top"/>
    </xf>
    <xf numFmtId="0" fontId="1" fillId="0" borderId="0" xfId="0" applyNumberFormat="1" applyFont="1" applyAlignment="1">
      <alignment vertical="top"/>
    </xf>
    <xf numFmtId="164" fontId="4" fillId="0" borderId="3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164" fontId="4" fillId="0" borderId="15" xfId="0" applyNumberFormat="1" applyFont="1" applyFill="1" applyBorder="1" applyAlignment="1">
      <alignment horizontal="center" vertical="top"/>
    </xf>
    <xf numFmtId="164" fontId="4" fillId="0" borderId="10" xfId="0" applyNumberFormat="1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49" fontId="5" fillId="3" borderId="16" xfId="0" applyNumberFormat="1" applyFont="1" applyFill="1" applyBorder="1" applyAlignment="1">
      <alignment vertical="top"/>
    </xf>
    <xf numFmtId="49" fontId="5" fillId="3" borderId="17" xfId="0" applyNumberFormat="1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49" fontId="5" fillId="2" borderId="19" xfId="0" applyNumberFormat="1" applyFont="1" applyFill="1" applyBorder="1" applyAlignment="1">
      <alignment vertical="top"/>
    </xf>
    <xf numFmtId="0" fontId="4" fillId="0" borderId="16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49" fontId="2" fillId="2" borderId="25" xfId="0" applyNumberFormat="1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center" vertical="top"/>
    </xf>
    <xf numFmtId="164" fontId="5" fillId="4" borderId="23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/>
    </xf>
    <xf numFmtId="164" fontId="4" fillId="0" borderId="27" xfId="0" applyNumberFormat="1" applyFont="1" applyFill="1" applyBorder="1" applyAlignment="1">
      <alignment horizontal="center" vertical="top"/>
    </xf>
    <xf numFmtId="164" fontId="4" fillId="0" borderId="28" xfId="0" applyNumberFormat="1" applyFont="1" applyFill="1" applyBorder="1" applyAlignment="1">
      <alignment horizontal="center" vertical="top"/>
    </xf>
    <xf numFmtId="164" fontId="1" fillId="0" borderId="26" xfId="0" applyNumberFormat="1" applyFont="1" applyFill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/>
    </xf>
    <xf numFmtId="164" fontId="4" fillId="0" borderId="24" xfId="0" applyNumberFormat="1" applyFont="1" applyFill="1" applyBorder="1" applyAlignment="1">
      <alignment horizontal="center" vertical="top"/>
    </xf>
    <xf numFmtId="164" fontId="1" fillId="5" borderId="29" xfId="0" applyNumberFormat="1" applyFont="1" applyFill="1" applyBorder="1" applyAlignment="1">
      <alignment horizontal="center" vertical="top"/>
    </xf>
    <xf numFmtId="164" fontId="1" fillId="5" borderId="30" xfId="0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/>
    </xf>
    <xf numFmtId="164" fontId="4" fillId="5" borderId="33" xfId="0" applyNumberFormat="1" applyFont="1" applyFill="1" applyBorder="1" applyAlignment="1">
      <alignment horizontal="center" vertical="top"/>
    </xf>
    <xf numFmtId="164" fontId="4" fillId="5" borderId="34" xfId="0" applyNumberFormat="1" applyFont="1" applyFill="1" applyBorder="1" applyAlignment="1">
      <alignment horizontal="center" vertical="top"/>
    </xf>
    <xf numFmtId="164" fontId="4" fillId="5" borderId="35" xfId="0" applyNumberFormat="1" applyFont="1" applyFill="1" applyBorder="1" applyAlignment="1">
      <alignment horizontal="center" vertical="top"/>
    </xf>
    <xf numFmtId="164" fontId="4" fillId="5" borderId="13" xfId="0" applyNumberFormat="1" applyFont="1" applyFill="1" applyBorder="1" applyAlignment="1">
      <alignment horizontal="center" vertical="top"/>
    </xf>
    <xf numFmtId="164" fontId="4" fillId="5" borderId="39" xfId="0" applyNumberFormat="1" applyFont="1" applyFill="1" applyBorder="1" applyAlignment="1">
      <alignment horizontal="center" vertical="top"/>
    </xf>
    <xf numFmtId="164" fontId="4" fillId="5" borderId="40" xfId="0" applyNumberFormat="1" applyFont="1" applyFill="1" applyBorder="1" applyAlignment="1">
      <alignment horizontal="center" vertical="top"/>
    </xf>
    <xf numFmtId="164" fontId="4" fillId="5" borderId="31" xfId="0" applyNumberFormat="1" applyFont="1" applyFill="1" applyBorder="1" applyAlignment="1">
      <alignment horizontal="center" vertical="top"/>
    </xf>
    <xf numFmtId="164" fontId="4" fillId="5" borderId="43" xfId="0" applyNumberFormat="1" applyFont="1" applyFill="1" applyBorder="1" applyAlignment="1">
      <alignment horizontal="center" vertical="top"/>
    </xf>
    <xf numFmtId="164" fontId="4" fillId="5" borderId="7" xfId="0" applyNumberFormat="1" applyFont="1" applyFill="1" applyBorder="1" applyAlignment="1">
      <alignment horizontal="center" vertical="top"/>
    </xf>
    <xf numFmtId="164" fontId="5" fillId="5" borderId="0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Alignment="1">
      <alignment horizontal="center" vertical="top"/>
    </xf>
    <xf numFmtId="49" fontId="2" fillId="2" borderId="55" xfId="0" applyNumberFormat="1" applyFont="1" applyFill="1" applyBorder="1" applyAlignment="1">
      <alignment vertical="top"/>
    </xf>
    <xf numFmtId="164" fontId="1" fillId="0" borderId="24" xfId="0" applyNumberFormat="1" applyFont="1" applyFill="1" applyBorder="1" applyAlignment="1">
      <alignment horizontal="center" vertical="top"/>
    </xf>
    <xf numFmtId="164" fontId="1" fillId="0" borderId="10" xfId="0" applyNumberFormat="1" applyFont="1" applyFill="1" applyBorder="1" applyAlignment="1">
      <alignment horizontal="center" vertical="top"/>
    </xf>
    <xf numFmtId="164" fontId="5" fillId="0" borderId="57" xfId="0" applyNumberFormat="1" applyFont="1" applyFill="1" applyBorder="1" applyAlignment="1">
      <alignment horizontal="center" vertical="top"/>
    </xf>
    <xf numFmtId="164" fontId="2" fillId="5" borderId="57" xfId="0" applyNumberFormat="1" applyFont="1" applyFill="1" applyBorder="1" applyAlignment="1">
      <alignment horizontal="center" vertical="top"/>
    </xf>
    <xf numFmtId="165" fontId="4" fillId="0" borderId="16" xfId="0" applyNumberFormat="1" applyFont="1" applyFill="1" applyBorder="1" applyAlignment="1">
      <alignment horizontal="center" vertical="top"/>
    </xf>
    <xf numFmtId="165" fontId="5" fillId="0" borderId="17" xfId="0" applyNumberFormat="1" applyFont="1" applyFill="1" applyBorder="1" applyAlignment="1">
      <alignment horizontal="left" vertical="top" wrapText="1"/>
    </xf>
    <xf numFmtId="165" fontId="5" fillId="0" borderId="57" xfId="0" applyNumberFormat="1" applyFont="1" applyFill="1" applyBorder="1" applyAlignment="1">
      <alignment horizontal="left" vertical="top"/>
    </xf>
    <xf numFmtId="165" fontId="4" fillId="5" borderId="57" xfId="0" applyNumberFormat="1" applyFont="1" applyFill="1" applyBorder="1" applyAlignment="1">
      <alignment vertical="top" wrapText="1"/>
    </xf>
    <xf numFmtId="164" fontId="4" fillId="5" borderId="0" xfId="0" applyNumberFormat="1" applyFont="1" applyFill="1" applyBorder="1" applyAlignment="1">
      <alignment horizontal="center" vertical="top" wrapText="1"/>
    </xf>
    <xf numFmtId="166" fontId="5" fillId="5" borderId="0" xfId="0" applyNumberFormat="1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top" wrapText="1"/>
    </xf>
    <xf numFmtId="164" fontId="4" fillId="0" borderId="56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center" vertical="top"/>
    </xf>
    <xf numFmtId="0" fontId="2" fillId="0" borderId="19" xfId="0" applyNumberFormat="1" applyFont="1" applyFill="1" applyBorder="1" applyAlignment="1">
      <alignment horizontal="center" vertical="top"/>
    </xf>
    <xf numFmtId="0" fontId="2" fillId="0" borderId="44" xfId="0" applyNumberFormat="1" applyFont="1" applyFill="1" applyBorder="1" applyAlignment="1">
      <alignment horizontal="center" vertical="top"/>
    </xf>
    <xf numFmtId="0" fontId="4" fillId="0" borderId="44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5" fillId="0" borderId="19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/>
    </xf>
    <xf numFmtId="0" fontId="2" fillId="5" borderId="44" xfId="0" applyNumberFormat="1" applyFont="1" applyFill="1" applyBorder="1" applyAlignment="1">
      <alignment horizontal="center" vertical="top"/>
    </xf>
    <xf numFmtId="0" fontId="1" fillId="5" borderId="0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/>
    </xf>
    <xf numFmtId="0" fontId="4" fillId="0" borderId="27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43" xfId="0" applyNumberFormat="1" applyFont="1" applyFill="1" applyBorder="1" applyAlignment="1">
      <alignment horizontal="center" vertical="top" wrapText="1"/>
    </xf>
    <xf numFmtId="0" fontId="4" fillId="0" borderId="58" xfId="0" applyNumberFormat="1" applyFont="1" applyFill="1" applyBorder="1" applyAlignment="1">
      <alignment horizontal="center" vertical="top" wrapText="1"/>
    </xf>
    <xf numFmtId="0" fontId="1" fillId="0" borderId="18" xfId="0" applyNumberFormat="1" applyFont="1" applyBorder="1" applyAlignment="1">
      <alignment vertical="top"/>
    </xf>
    <xf numFmtId="0" fontId="4" fillId="0" borderId="58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left" vertical="top"/>
    </xf>
    <xf numFmtId="49" fontId="5" fillId="2" borderId="32" xfId="0" applyNumberFormat="1" applyFont="1" applyFill="1" applyBorder="1" applyAlignment="1">
      <alignment horizontal="center" vertical="top"/>
    </xf>
    <xf numFmtId="0" fontId="1" fillId="0" borderId="40" xfId="0" applyNumberFormat="1" applyFont="1" applyBorder="1" applyAlignment="1">
      <alignment horizontal="center" vertical="top"/>
    </xf>
    <xf numFmtId="0" fontId="1" fillId="0" borderId="61" xfId="0" applyNumberFormat="1" applyFont="1" applyBorder="1" applyAlignment="1">
      <alignment horizontal="center" vertical="top"/>
    </xf>
    <xf numFmtId="0" fontId="1" fillId="0" borderId="40" xfId="0" applyNumberFormat="1" applyFont="1" applyFill="1" applyBorder="1" applyAlignment="1">
      <alignment horizontal="center" vertical="top"/>
    </xf>
    <xf numFmtId="0" fontId="1" fillId="0" borderId="31" xfId="0" applyNumberFormat="1" applyFont="1" applyFill="1" applyBorder="1" applyAlignment="1">
      <alignment horizontal="center" vertical="top"/>
    </xf>
    <xf numFmtId="0" fontId="1" fillId="0" borderId="61" xfId="0" applyNumberFormat="1" applyFont="1" applyFill="1" applyBorder="1" applyAlignment="1">
      <alignment horizontal="center" vertical="top"/>
    </xf>
    <xf numFmtId="164" fontId="1" fillId="5" borderId="17" xfId="0" applyNumberFormat="1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164" fontId="4" fillId="5" borderId="49" xfId="0" applyNumberFormat="1" applyFont="1" applyFill="1" applyBorder="1" applyAlignment="1">
      <alignment horizontal="left" vertical="top" wrapText="1"/>
    </xf>
    <xf numFmtId="0" fontId="4" fillId="5" borderId="4" xfId="0" applyNumberFormat="1" applyFont="1" applyFill="1" applyBorder="1" applyAlignment="1">
      <alignment horizontal="center" vertical="top" wrapText="1"/>
    </xf>
    <xf numFmtId="164" fontId="4" fillId="0" borderId="48" xfId="0" applyNumberFormat="1" applyFont="1" applyFill="1" applyBorder="1" applyAlignment="1">
      <alignment horizontal="left" vertical="top"/>
    </xf>
    <xf numFmtId="0" fontId="1" fillId="0" borderId="17" xfId="0" applyFont="1" applyBorder="1" applyAlignment="1">
      <alignment vertical="top"/>
    </xf>
    <xf numFmtId="164" fontId="1" fillId="0" borderId="5" xfId="0" applyNumberFormat="1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49" fontId="5" fillId="2" borderId="55" xfId="0" applyNumberFormat="1" applyFont="1" applyFill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1" fillId="0" borderId="27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 wrapText="1"/>
    </xf>
    <xf numFmtId="0" fontId="5" fillId="0" borderId="66" xfId="0" applyNumberFormat="1" applyFont="1" applyBorder="1" applyAlignment="1">
      <alignment horizontal="center" vertical="top"/>
    </xf>
    <xf numFmtId="0" fontId="5" fillId="0" borderId="32" xfId="0" applyNumberFormat="1" applyFont="1" applyBorder="1" applyAlignment="1">
      <alignment vertical="top"/>
    </xf>
    <xf numFmtId="0" fontId="4" fillId="0" borderId="60" xfId="0" applyNumberFormat="1" applyFont="1" applyBorder="1" applyAlignment="1">
      <alignment horizontal="center" vertical="top"/>
    </xf>
    <xf numFmtId="164" fontId="4" fillId="5" borderId="6" xfId="0" applyNumberFormat="1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vertical="center"/>
    </xf>
    <xf numFmtId="164" fontId="4" fillId="5" borderId="2" xfId="0" applyNumberFormat="1" applyFont="1" applyFill="1" applyBorder="1" applyAlignment="1">
      <alignment horizontal="center" vertical="top"/>
    </xf>
    <xf numFmtId="0" fontId="5" fillId="0" borderId="24" xfId="0" applyNumberFormat="1" applyFont="1" applyBorder="1" applyAlignment="1">
      <alignment horizontal="center" vertical="top"/>
    </xf>
    <xf numFmtId="49" fontId="4" fillId="0" borderId="69" xfId="0" applyNumberFormat="1" applyFont="1" applyBorder="1" applyAlignment="1">
      <alignment horizontal="center" vertical="top" wrapText="1"/>
    </xf>
    <xf numFmtId="0" fontId="5" fillId="5" borderId="13" xfId="0" applyFont="1" applyFill="1" applyBorder="1" applyAlignment="1">
      <alignment vertical="top" wrapText="1"/>
    </xf>
    <xf numFmtId="0" fontId="5" fillId="5" borderId="18" xfId="0" applyFont="1" applyFill="1" applyBorder="1" applyAlignment="1">
      <alignment vertical="top" wrapText="1"/>
    </xf>
    <xf numFmtId="0" fontId="4" fillId="0" borderId="19" xfId="0" applyFont="1" applyBorder="1" applyAlignment="1">
      <alignment vertical="top"/>
    </xf>
    <xf numFmtId="0" fontId="4" fillId="0" borderId="43" xfId="0" applyFont="1" applyBorder="1" applyAlignment="1">
      <alignment vertical="top" wrapText="1"/>
    </xf>
    <xf numFmtId="49" fontId="2" fillId="5" borderId="70" xfId="0" applyNumberFormat="1" applyFont="1" applyFill="1" applyBorder="1" applyAlignment="1">
      <alignment vertical="top"/>
    </xf>
    <xf numFmtId="49" fontId="2" fillId="5" borderId="32" xfId="0" applyNumberFormat="1" applyFont="1" applyFill="1" applyBorder="1" applyAlignment="1">
      <alignment vertical="top"/>
    </xf>
    <xf numFmtId="49" fontId="2" fillId="5" borderId="66" xfId="0" applyNumberFormat="1" applyFont="1" applyFill="1" applyBorder="1" applyAlignment="1">
      <alignment vertical="top"/>
    </xf>
    <xf numFmtId="49" fontId="2" fillId="2" borderId="11" xfId="0" applyNumberFormat="1" applyFont="1" applyFill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1" fillId="0" borderId="21" xfId="0" applyNumberFormat="1" applyFont="1" applyFill="1" applyBorder="1" applyAlignment="1">
      <alignment horizontal="center" vertical="top"/>
    </xf>
    <xf numFmtId="164" fontId="4" fillId="0" borderId="16" xfId="0" applyNumberFormat="1" applyFont="1" applyFill="1" applyBorder="1" applyAlignment="1">
      <alignment horizontal="left" vertical="top" wrapText="1"/>
    </xf>
    <xf numFmtId="0" fontId="4" fillId="0" borderId="39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164" fontId="4" fillId="0" borderId="16" xfId="0" applyNumberFormat="1" applyFont="1" applyBorder="1" applyAlignment="1">
      <alignment horizontal="left" vertical="top" wrapText="1"/>
    </xf>
    <xf numFmtId="164" fontId="4" fillId="5" borderId="61" xfId="0" applyNumberFormat="1" applyFont="1" applyFill="1" applyBorder="1" applyAlignment="1">
      <alignment horizontal="center" vertical="top"/>
    </xf>
    <xf numFmtId="0" fontId="8" fillId="0" borderId="68" xfId="0" applyFont="1" applyBorder="1" applyAlignment="1">
      <alignment horizontal="center" vertical="top" wrapText="1"/>
    </xf>
    <xf numFmtId="0" fontId="8" fillId="0" borderId="68" xfId="0" applyFont="1" applyBorder="1" applyAlignment="1">
      <alignment vertical="top" wrapText="1"/>
    </xf>
    <xf numFmtId="0" fontId="9" fillId="0" borderId="68" xfId="0" applyFont="1" applyBorder="1" applyAlignment="1">
      <alignment vertical="top" wrapText="1"/>
    </xf>
    <xf numFmtId="0" fontId="7" fillId="0" borderId="68" xfId="0" applyFont="1" applyBorder="1" applyAlignment="1">
      <alignment vertical="top" wrapText="1"/>
    </xf>
    <xf numFmtId="164" fontId="4" fillId="5" borderId="52" xfId="0" applyNumberFormat="1" applyFont="1" applyFill="1" applyBorder="1" applyAlignment="1">
      <alignment horizontal="center" vertical="top"/>
    </xf>
    <xf numFmtId="49" fontId="2" fillId="5" borderId="18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0" fontId="4" fillId="0" borderId="60" xfId="0" applyNumberFormat="1" applyFont="1" applyFill="1" applyBorder="1" applyAlignment="1">
      <alignment horizontal="center" vertical="top"/>
    </xf>
    <xf numFmtId="0" fontId="4" fillId="0" borderId="43" xfId="0" applyNumberFormat="1" applyFont="1" applyFill="1" applyBorder="1" applyAlignment="1">
      <alignment horizontal="center" vertical="top"/>
    </xf>
    <xf numFmtId="0" fontId="5" fillId="5" borderId="70" xfId="0" applyNumberFormat="1" applyFont="1" applyFill="1" applyBorder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0" fontId="4" fillId="0" borderId="27" xfId="0" applyNumberFormat="1" applyFont="1" applyBorder="1" applyAlignment="1">
      <alignment horizontal="center" vertical="top"/>
    </xf>
    <xf numFmtId="0" fontId="1" fillId="0" borderId="27" xfId="0" applyFont="1" applyBorder="1" applyAlignment="1">
      <alignment vertical="top"/>
    </xf>
    <xf numFmtId="49" fontId="5" fillId="5" borderId="18" xfId="0" applyNumberFormat="1" applyFont="1" applyFill="1" applyBorder="1" applyAlignment="1">
      <alignment vertical="top"/>
    </xf>
    <xf numFmtId="0" fontId="5" fillId="0" borderId="15" xfId="0" applyNumberFormat="1" applyFont="1" applyBorder="1" applyAlignment="1">
      <alignment horizontal="center" vertical="top"/>
    </xf>
    <xf numFmtId="164" fontId="1" fillId="0" borderId="0" xfId="0" applyNumberFormat="1" applyFont="1" applyBorder="1" applyAlignment="1">
      <alignment vertical="top"/>
    </xf>
    <xf numFmtId="164" fontId="4" fillId="5" borderId="60" xfId="0" applyNumberFormat="1" applyFont="1" applyFill="1" applyBorder="1" applyAlignment="1">
      <alignment horizontal="center" vertical="top"/>
    </xf>
    <xf numFmtId="164" fontId="4" fillId="5" borderId="68" xfId="0" applyNumberFormat="1" applyFont="1" applyFill="1" applyBorder="1" applyAlignment="1">
      <alignment horizontal="center" vertical="top"/>
    </xf>
    <xf numFmtId="164" fontId="4" fillId="5" borderId="53" xfId="0" applyNumberFormat="1" applyFont="1" applyFill="1" applyBorder="1" applyAlignment="1">
      <alignment horizontal="center" vertical="top"/>
    </xf>
    <xf numFmtId="165" fontId="4" fillId="5" borderId="16" xfId="0" applyNumberFormat="1" applyFont="1" applyFill="1" applyBorder="1" applyAlignment="1">
      <alignment horizontal="center" vertical="top"/>
    </xf>
    <xf numFmtId="0" fontId="4" fillId="5" borderId="13" xfId="0" applyNumberFormat="1" applyFont="1" applyFill="1" applyBorder="1" applyAlignment="1">
      <alignment horizontal="center" vertical="top"/>
    </xf>
    <xf numFmtId="0" fontId="4" fillId="5" borderId="3" xfId="0" applyNumberFormat="1" applyFont="1" applyFill="1" applyBorder="1" applyAlignment="1">
      <alignment horizontal="center" vertical="top"/>
    </xf>
    <xf numFmtId="0" fontId="4" fillId="5" borderId="27" xfId="0" applyNumberFormat="1" applyFont="1" applyFill="1" applyBorder="1" applyAlignment="1">
      <alignment horizontal="center" vertical="top"/>
    </xf>
    <xf numFmtId="0" fontId="1" fillId="5" borderId="40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vertical="top"/>
    </xf>
    <xf numFmtId="0" fontId="1" fillId="5" borderId="31" xfId="0" applyNumberFormat="1" applyFont="1" applyFill="1" applyBorder="1" applyAlignment="1">
      <alignment horizontal="center" vertical="top"/>
    </xf>
    <xf numFmtId="165" fontId="5" fillId="5" borderId="17" xfId="0" applyNumberFormat="1" applyFont="1" applyFill="1" applyBorder="1" applyAlignment="1">
      <alignment horizontal="left" vertical="top" wrapText="1"/>
    </xf>
    <xf numFmtId="164" fontId="4" fillId="5" borderId="72" xfId="0" applyNumberFormat="1" applyFont="1" applyFill="1" applyBorder="1" applyAlignment="1">
      <alignment horizontal="center" vertical="top"/>
    </xf>
    <xf numFmtId="0" fontId="4" fillId="5" borderId="67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top" wrapText="1"/>
    </xf>
    <xf numFmtId="0" fontId="5" fillId="5" borderId="39" xfId="0" applyNumberFormat="1" applyFont="1" applyFill="1" applyBorder="1" applyAlignment="1">
      <alignment vertical="top"/>
    </xf>
    <xf numFmtId="0" fontId="4" fillId="0" borderId="67" xfId="0" applyFont="1" applyFill="1" applyBorder="1" applyAlignment="1">
      <alignment horizontal="center" vertical="top" wrapText="1"/>
    </xf>
    <xf numFmtId="164" fontId="4" fillId="5" borderId="26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/>
    </xf>
    <xf numFmtId="0" fontId="4" fillId="0" borderId="18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164" fontId="4" fillId="0" borderId="17" xfId="0" applyNumberFormat="1" applyFont="1" applyBorder="1" applyAlignment="1">
      <alignment horizontal="left" vertical="top"/>
    </xf>
    <xf numFmtId="164" fontId="4" fillId="0" borderId="17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center"/>
    </xf>
    <xf numFmtId="164" fontId="4" fillId="0" borderId="62" xfId="0" applyNumberFormat="1" applyFont="1" applyBorder="1" applyAlignment="1">
      <alignment horizontal="left" vertical="top" wrapText="1"/>
    </xf>
    <xf numFmtId="164" fontId="4" fillId="0" borderId="63" xfId="0" applyNumberFormat="1" applyFont="1" applyBorder="1" applyAlignment="1">
      <alignment horizontal="left" vertical="top" wrapText="1"/>
    </xf>
    <xf numFmtId="0" fontId="4" fillId="0" borderId="43" xfId="0" applyNumberFormat="1" applyFont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center" vertical="top"/>
    </xf>
    <xf numFmtId="49" fontId="5" fillId="3" borderId="41" xfId="0" applyNumberFormat="1" applyFont="1" applyFill="1" applyBorder="1" applyAlignment="1">
      <alignment vertical="top"/>
    </xf>
    <xf numFmtId="49" fontId="5" fillId="5" borderId="32" xfId="0" applyNumberFormat="1" applyFont="1" applyFill="1" applyBorder="1" applyAlignment="1">
      <alignment vertical="top"/>
    </xf>
    <xf numFmtId="164" fontId="4" fillId="5" borderId="62" xfId="0" applyNumberFormat="1" applyFont="1" applyFill="1" applyBorder="1" applyAlignment="1">
      <alignment horizontal="left" vertical="top"/>
    </xf>
    <xf numFmtId="164" fontId="4" fillId="0" borderId="8" xfId="0" applyNumberFormat="1" applyFont="1" applyBorder="1" applyAlignment="1">
      <alignment horizontal="center" vertical="top"/>
    </xf>
    <xf numFmtId="0" fontId="4" fillId="0" borderId="71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16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top" wrapText="1"/>
    </xf>
    <xf numFmtId="0" fontId="4" fillId="0" borderId="48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vertical="top" wrapText="1"/>
    </xf>
    <xf numFmtId="0" fontId="1" fillId="0" borderId="24" xfId="0" applyFont="1" applyFill="1" applyBorder="1" applyAlignment="1">
      <alignment horizontal="center" vertical="top" wrapText="1"/>
    </xf>
    <xf numFmtId="49" fontId="4" fillId="0" borderId="74" xfId="0" applyNumberFormat="1" applyFont="1" applyBorder="1" applyAlignment="1">
      <alignment horizontal="center" vertical="top" wrapText="1"/>
    </xf>
    <xf numFmtId="0" fontId="5" fillId="5" borderId="3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21" xfId="0" applyFont="1" applyBorder="1" applyAlignment="1">
      <alignment vertical="top"/>
    </xf>
    <xf numFmtId="0" fontId="4" fillId="0" borderId="4" xfId="0" applyFont="1" applyFill="1" applyBorder="1" applyAlignment="1">
      <alignment horizontal="center" vertical="top"/>
    </xf>
    <xf numFmtId="0" fontId="4" fillId="0" borderId="45" xfId="0" applyFont="1" applyFill="1" applyBorder="1" applyAlignment="1">
      <alignment horizontal="center" vertical="top"/>
    </xf>
    <xf numFmtId="164" fontId="4" fillId="5" borderId="5" xfId="0" applyNumberFormat="1" applyFont="1" applyFill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0" fontId="1" fillId="7" borderId="0" xfId="0" applyFont="1" applyFill="1" applyBorder="1" applyAlignment="1">
      <alignment vertical="top"/>
    </xf>
    <xf numFmtId="164" fontId="1" fillId="7" borderId="0" xfId="0" applyNumberFormat="1" applyFont="1" applyFill="1" applyBorder="1" applyAlignment="1">
      <alignment vertical="top"/>
    </xf>
    <xf numFmtId="0" fontId="4" fillId="0" borderId="45" xfId="0" applyNumberFormat="1" applyFont="1" applyFill="1" applyBorder="1" applyAlignment="1">
      <alignment horizontal="center" vertical="top"/>
    </xf>
    <xf numFmtId="164" fontId="1" fillId="5" borderId="15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64" fontId="4" fillId="7" borderId="60" xfId="0" applyNumberFormat="1" applyFont="1" applyFill="1" applyBorder="1" applyAlignment="1">
      <alignment horizontal="center" vertical="top"/>
    </xf>
    <xf numFmtId="164" fontId="4" fillId="7" borderId="40" xfId="0" applyNumberFormat="1" applyFont="1" applyFill="1" applyBorder="1" applyAlignment="1">
      <alignment horizontal="center" vertical="top"/>
    </xf>
    <xf numFmtId="164" fontId="4" fillId="7" borderId="30" xfId="0" applyNumberFormat="1" applyFont="1" applyFill="1" applyBorder="1" applyAlignment="1">
      <alignment horizontal="center" vertical="top"/>
    </xf>
    <xf numFmtId="49" fontId="5" fillId="3" borderId="16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0" fontId="5" fillId="0" borderId="28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71" xfId="0" applyNumberFormat="1" applyFont="1" applyBorder="1" applyAlignment="1">
      <alignment horizontal="center" vertical="top"/>
    </xf>
    <xf numFmtId="164" fontId="4" fillId="7" borderId="18" xfId="0" applyNumberFormat="1" applyFont="1" applyFill="1" applyBorder="1" applyAlignment="1">
      <alignment horizontal="center" vertical="top"/>
    </xf>
    <xf numFmtId="164" fontId="4" fillId="7" borderId="0" xfId="0" applyNumberFormat="1" applyFont="1" applyFill="1" applyBorder="1" applyAlignment="1">
      <alignment horizontal="center" vertical="top"/>
    </xf>
    <xf numFmtId="164" fontId="4" fillId="7" borderId="31" xfId="0" applyNumberFormat="1" applyFont="1" applyFill="1" applyBorder="1" applyAlignment="1">
      <alignment horizontal="center" vertical="top"/>
    </xf>
    <xf numFmtId="49" fontId="5" fillId="5" borderId="19" xfId="0" applyNumberFormat="1" applyFont="1" applyFill="1" applyBorder="1" applyAlignment="1">
      <alignment horizontal="center" vertical="top"/>
    </xf>
    <xf numFmtId="164" fontId="4" fillId="0" borderId="22" xfId="0" applyNumberFormat="1" applyFont="1" applyBorder="1" applyAlignment="1">
      <alignment vertical="top" wrapText="1"/>
    </xf>
    <xf numFmtId="164" fontId="4" fillId="0" borderId="20" xfId="0" applyNumberFormat="1" applyFont="1" applyBorder="1" applyAlignment="1">
      <alignment vertical="top" wrapText="1"/>
    </xf>
    <xf numFmtId="164" fontId="4" fillId="0" borderId="41" xfId="0" applyNumberFormat="1" applyFont="1" applyBorder="1" applyAlignment="1">
      <alignment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top" wrapText="1"/>
    </xf>
    <xf numFmtId="164" fontId="4" fillId="7" borderId="53" xfId="0" applyNumberFormat="1" applyFont="1" applyFill="1" applyBorder="1" applyAlignment="1">
      <alignment horizontal="center" vertical="top"/>
    </xf>
    <xf numFmtId="164" fontId="4" fillId="7" borderId="33" xfId="0" applyNumberFormat="1" applyFont="1" applyFill="1" applyBorder="1" applyAlignment="1">
      <alignment horizontal="center" vertical="top"/>
    </xf>
    <xf numFmtId="164" fontId="4" fillId="7" borderId="68" xfId="0" applyNumberFormat="1" applyFont="1" applyFill="1" applyBorder="1" applyAlignment="1">
      <alignment horizontal="center" vertical="top"/>
    </xf>
    <xf numFmtId="164" fontId="1" fillId="7" borderId="68" xfId="0" applyNumberFormat="1" applyFont="1" applyFill="1" applyBorder="1" applyAlignment="1">
      <alignment horizontal="center" vertical="top"/>
    </xf>
    <xf numFmtId="164" fontId="1" fillId="7" borderId="69" xfId="0" applyNumberFormat="1" applyFont="1" applyFill="1" applyBorder="1" applyAlignment="1">
      <alignment horizontal="center" vertical="top"/>
    </xf>
    <xf numFmtId="164" fontId="1" fillId="7" borderId="18" xfId="0" applyNumberFormat="1" applyFont="1" applyFill="1" applyBorder="1" applyAlignment="1">
      <alignment horizontal="center" vertical="top"/>
    </xf>
    <xf numFmtId="164" fontId="1" fillId="7" borderId="7" xfId="0" applyNumberFormat="1" applyFont="1" applyFill="1" applyBorder="1" applyAlignment="1">
      <alignment horizontal="center" vertical="top"/>
    </xf>
    <xf numFmtId="164" fontId="2" fillId="2" borderId="79" xfId="0" applyNumberFormat="1" applyFont="1" applyFill="1" applyBorder="1" applyAlignment="1">
      <alignment horizontal="center" vertical="top"/>
    </xf>
    <xf numFmtId="164" fontId="2" fillId="2" borderId="25" xfId="0" applyNumberFormat="1" applyFont="1" applyFill="1" applyBorder="1" applyAlignment="1">
      <alignment horizontal="center" vertical="top"/>
    </xf>
    <xf numFmtId="164" fontId="2" fillId="2" borderId="11" xfId="0" applyNumberFormat="1" applyFont="1" applyFill="1" applyBorder="1" applyAlignment="1">
      <alignment horizontal="center" vertical="top"/>
    </xf>
    <xf numFmtId="164" fontId="4" fillId="7" borderId="43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4" xfId="0" applyNumberFormat="1" applyFont="1" applyBorder="1" applyAlignment="1">
      <alignment horizontal="center" vertical="center" textRotation="90"/>
    </xf>
    <xf numFmtId="0" fontId="1" fillId="0" borderId="45" xfId="0" applyNumberFormat="1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 textRotation="180" wrapText="1"/>
    </xf>
    <xf numFmtId="0" fontId="5" fillId="0" borderId="18" xfId="0" applyFont="1" applyFill="1" applyBorder="1" applyAlignment="1">
      <alignment horizontal="center" vertical="top" wrapText="1"/>
    </xf>
    <xf numFmtId="0" fontId="5" fillId="5" borderId="18" xfId="0" applyFont="1" applyFill="1" applyBorder="1" applyAlignment="1">
      <alignment horizontal="center" vertical="top" wrapText="1"/>
    </xf>
    <xf numFmtId="164" fontId="2" fillId="3" borderId="20" xfId="0" applyNumberFormat="1" applyFont="1" applyFill="1" applyBorder="1" applyAlignment="1">
      <alignment horizontal="center" vertical="top"/>
    </xf>
    <xf numFmtId="164" fontId="2" fillId="3" borderId="19" xfId="0" applyNumberFormat="1" applyFont="1" applyFill="1" applyBorder="1" applyAlignment="1">
      <alignment horizontal="center" vertical="top"/>
    </xf>
    <xf numFmtId="164" fontId="2" fillId="3" borderId="21" xfId="0" applyNumberFormat="1" applyFont="1" applyFill="1" applyBorder="1" applyAlignment="1">
      <alignment horizontal="center" vertical="top"/>
    </xf>
    <xf numFmtId="164" fontId="2" fillId="3" borderId="23" xfId="0" applyNumberFormat="1" applyFont="1" applyFill="1" applyBorder="1" applyAlignment="1">
      <alignment horizontal="center" vertical="top"/>
    </xf>
    <xf numFmtId="164" fontId="2" fillId="4" borderId="20" xfId="0" applyNumberFormat="1" applyFont="1" applyFill="1" applyBorder="1" applyAlignment="1">
      <alignment horizontal="center" vertical="top"/>
    </xf>
    <xf numFmtId="164" fontId="2" fillId="4" borderId="19" xfId="0" applyNumberFormat="1" applyFont="1" applyFill="1" applyBorder="1" applyAlignment="1">
      <alignment horizontal="center" vertical="top"/>
    </xf>
    <xf numFmtId="164" fontId="2" fillId="4" borderId="21" xfId="0" applyNumberFormat="1" applyFont="1" applyFill="1" applyBorder="1" applyAlignment="1">
      <alignment horizontal="center" vertical="top"/>
    </xf>
    <xf numFmtId="164" fontId="2" fillId="4" borderId="50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wrapText="1"/>
    </xf>
    <xf numFmtId="164" fontId="4" fillId="8" borderId="36" xfId="0" applyNumberFormat="1" applyFont="1" applyFill="1" applyBorder="1" applyAlignment="1">
      <alignment horizontal="center" vertical="top"/>
    </xf>
    <xf numFmtId="164" fontId="4" fillId="8" borderId="29" xfId="0" applyNumberFormat="1" applyFont="1" applyFill="1" applyBorder="1" applyAlignment="1">
      <alignment horizontal="center" vertical="top"/>
    </xf>
    <xf numFmtId="164" fontId="4" fillId="8" borderId="30" xfId="0" applyNumberFormat="1" applyFont="1" applyFill="1" applyBorder="1" applyAlignment="1">
      <alignment horizontal="center" vertical="top"/>
    </xf>
    <xf numFmtId="164" fontId="4" fillId="8" borderId="42" xfId="0" applyNumberFormat="1" applyFont="1" applyFill="1" applyBorder="1" applyAlignment="1">
      <alignment horizontal="center" vertical="top"/>
    </xf>
    <xf numFmtId="164" fontId="4" fillId="8" borderId="43" xfId="0" applyNumberFormat="1" applyFont="1" applyFill="1" applyBorder="1" applyAlignment="1">
      <alignment horizontal="center" vertical="top"/>
    </xf>
    <xf numFmtId="164" fontId="4" fillId="8" borderId="61" xfId="0" applyNumberFormat="1" applyFont="1" applyFill="1" applyBorder="1" applyAlignment="1">
      <alignment horizontal="center" vertical="top"/>
    </xf>
    <xf numFmtId="164" fontId="4" fillId="8" borderId="20" xfId="0" applyNumberFormat="1" applyFont="1" applyFill="1" applyBorder="1" applyAlignment="1">
      <alignment horizontal="center" vertical="top"/>
    </xf>
    <xf numFmtId="164" fontId="4" fillId="8" borderId="19" xfId="0" applyNumberFormat="1" applyFont="1" applyFill="1" applyBorder="1" applyAlignment="1">
      <alignment horizontal="center" vertical="top"/>
    </xf>
    <xf numFmtId="164" fontId="4" fillId="8" borderId="65" xfId="0" applyNumberFormat="1" applyFont="1" applyFill="1" applyBorder="1" applyAlignment="1">
      <alignment horizontal="center" vertical="top"/>
    </xf>
    <xf numFmtId="164" fontId="4" fillId="8" borderId="54" xfId="0" applyNumberFormat="1" applyFont="1" applyFill="1" applyBorder="1" applyAlignment="1">
      <alignment horizontal="center" vertical="top"/>
    </xf>
    <xf numFmtId="164" fontId="4" fillId="8" borderId="18" xfId="0" applyNumberFormat="1" applyFont="1" applyFill="1" applyBorder="1" applyAlignment="1">
      <alignment horizontal="center" vertical="top"/>
    </xf>
    <xf numFmtId="164" fontId="4" fillId="8" borderId="32" xfId="0" applyNumberFormat="1" applyFont="1" applyFill="1" applyBorder="1" applyAlignment="1">
      <alignment horizontal="center" vertical="top"/>
    </xf>
    <xf numFmtId="164" fontId="4" fillId="8" borderId="69" xfId="0" applyNumberFormat="1" applyFont="1" applyFill="1" applyBorder="1" applyAlignment="1">
      <alignment horizontal="center" vertical="top"/>
    </xf>
    <xf numFmtId="164" fontId="4" fillId="8" borderId="60" xfId="0" applyNumberFormat="1" applyFont="1" applyFill="1" applyBorder="1" applyAlignment="1">
      <alignment horizontal="center" vertical="top"/>
    </xf>
    <xf numFmtId="164" fontId="4" fillId="8" borderId="27" xfId="0" applyNumberFormat="1" applyFont="1" applyFill="1" applyBorder="1" applyAlignment="1">
      <alignment horizontal="center" vertical="top"/>
    </xf>
    <xf numFmtId="164" fontId="4" fillId="8" borderId="34" xfId="0" applyNumberFormat="1" applyFont="1" applyFill="1" applyBorder="1" applyAlignment="1">
      <alignment horizontal="center" vertical="top"/>
    </xf>
    <xf numFmtId="164" fontId="4" fillId="8" borderId="3" xfId="0" applyNumberFormat="1" applyFont="1" applyFill="1" applyBorder="1" applyAlignment="1">
      <alignment horizontal="center" vertical="top"/>
    </xf>
    <xf numFmtId="164" fontId="4" fillId="8" borderId="13" xfId="0" applyNumberFormat="1" applyFont="1" applyFill="1" applyBorder="1" applyAlignment="1">
      <alignment horizontal="center" vertical="top"/>
    </xf>
    <xf numFmtId="164" fontId="4" fillId="8" borderId="66" xfId="0" applyNumberFormat="1" applyFont="1" applyFill="1" applyBorder="1" applyAlignment="1">
      <alignment horizontal="center" vertical="top"/>
    </xf>
    <xf numFmtId="164" fontId="4" fillId="8" borderId="33" xfId="0" applyNumberFormat="1" applyFont="1" applyFill="1" applyBorder="1" applyAlignment="1">
      <alignment horizontal="center" vertical="top"/>
    </xf>
    <xf numFmtId="164" fontId="4" fillId="8" borderId="68" xfId="0" applyNumberFormat="1" applyFont="1" applyFill="1" applyBorder="1" applyAlignment="1">
      <alignment horizontal="center" vertical="top"/>
    </xf>
    <xf numFmtId="164" fontId="4" fillId="8" borderId="52" xfId="0" applyNumberFormat="1" applyFont="1" applyFill="1" applyBorder="1" applyAlignment="1">
      <alignment horizontal="center" vertical="top"/>
    </xf>
    <xf numFmtId="164" fontId="4" fillId="8" borderId="35" xfId="0" applyNumberFormat="1" applyFont="1" applyFill="1" applyBorder="1" applyAlignment="1">
      <alignment horizontal="center" vertical="top"/>
    </xf>
    <xf numFmtId="164" fontId="4" fillId="8" borderId="64" xfId="0" applyNumberFormat="1" applyFont="1" applyFill="1" applyBorder="1" applyAlignment="1">
      <alignment horizontal="center" vertical="top"/>
    </xf>
    <xf numFmtId="164" fontId="4" fillId="8" borderId="72" xfId="0" applyNumberFormat="1" applyFont="1" applyFill="1" applyBorder="1" applyAlignment="1">
      <alignment horizontal="center" vertical="top"/>
    </xf>
    <xf numFmtId="164" fontId="4" fillId="8" borderId="40" xfId="0" applyNumberFormat="1" applyFont="1" applyFill="1" applyBorder="1" applyAlignment="1">
      <alignment horizontal="center" vertical="top"/>
    </xf>
    <xf numFmtId="164" fontId="4" fillId="8" borderId="59" xfId="0" applyNumberFormat="1" applyFont="1" applyFill="1" applyBorder="1" applyAlignment="1">
      <alignment horizontal="center" vertical="top"/>
    </xf>
    <xf numFmtId="164" fontId="4" fillId="8" borderId="38" xfId="0" applyNumberFormat="1" applyFont="1" applyFill="1" applyBorder="1" applyAlignment="1">
      <alignment horizontal="center" vertical="top"/>
    </xf>
    <xf numFmtId="164" fontId="1" fillId="8" borderId="64" xfId="0" applyNumberFormat="1" applyFont="1" applyFill="1" applyBorder="1" applyAlignment="1">
      <alignment horizontal="center" vertical="top"/>
    </xf>
    <xf numFmtId="164" fontId="1" fillId="8" borderId="29" xfId="0" applyNumberFormat="1" applyFont="1" applyFill="1" applyBorder="1" applyAlignment="1">
      <alignment horizontal="center" vertical="top"/>
    </xf>
    <xf numFmtId="164" fontId="1" fillId="8" borderId="18" xfId="0" applyNumberFormat="1" applyFont="1" applyFill="1" applyBorder="1" applyAlignment="1">
      <alignment horizontal="center" vertical="top"/>
    </xf>
    <xf numFmtId="164" fontId="5" fillId="8" borderId="46" xfId="0" applyNumberFormat="1" applyFont="1" applyFill="1" applyBorder="1" applyAlignment="1">
      <alignment horizontal="center" vertical="top"/>
    </xf>
    <xf numFmtId="164" fontId="5" fillId="8" borderId="4" xfId="0" applyNumberFormat="1" applyFont="1" applyFill="1" applyBorder="1" applyAlignment="1">
      <alignment horizontal="center" vertical="top"/>
    </xf>
    <xf numFmtId="164" fontId="5" fillId="8" borderId="72" xfId="0" applyNumberFormat="1" applyFont="1" applyFill="1" applyBorder="1" applyAlignment="1">
      <alignment horizontal="center" vertical="top"/>
    </xf>
    <xf numFmtId="164" fontId="5" fillId="8" borderId="60" xfId="0" applyNumberFormat="1" applyFont="1" applyFill="1" applyBorder="1" applyAlignment="1">
      <alignment horizontal="center" vertical="top"/>
    </xf>
    <xf numFmtId="164" fontId="5" fillId="8" borderId="45" xfId="0" applyNumberFormat="1" applyFont="1" applyFill="1" applyBorder="1" applyAlignment="1">
      <alignment horizontal="center" vertical="top"/>
    </xf>
    <xf numFmtId="164" fontId="4" fillId="8" borderId="31" xfId="0" applyNumberFormat="1" applyFont="1" applyFill="1" applyBorder="1" applyAlignment="1">
      <alignment horizontal="center" vertical="top"/>
    </xf>
    <xf numFmtId="164" fontId="5" fillId="8" borderId="40" xfId="0" applyNumberFormat="1" applyFont="1" applyFill="1" applyBorder="1" applyAlignment="1">
      <alignment horizontal="center" vertical="top"/>
    </xf>
    <xf numFmtId="0" fontId="5" fillId="8" borderId="56" xfId="0" applyFont="1" applyFill="1" applyBorder="1" applyAlignment="1">
      <alignment horizontal="center" vertical="top" wrapText="1"/>
    </xf>
    <xf numFmtId="164" fontId="5" fillId="8" borderId="48" xfId="0" applyNumberFormat="1" applyFont="1" applyFill="1" applyBorder="1" applyAlignment="1">
      <alignment horizontal="center" vertical="top"/>
    </xf>
    <xf numFmtId="164" fontId="5" fillId="8" borderId="56" xfId="0" applyNumberFormat="1" applyFont="1" applyFill="1" applyBorder="1" applyAlignment="1">
      <alignment horizontal="center" vertical="top"/>
    </xf>
    <xf numFmtId="164" fontId="5" fillId="8" borderId="51" xfId="0" applyNumberFormat="1" applyFont="1" applyFill="1" applyBorder="1" applyAlignment="1">
      <alignment horizontal="center" vertical="top"/>
    </xf>
    <xf numFmtId="164" fontId="5" fillId="8" borderId="34" xfId="0" applyNumberFormat="1" applyFont="1" applyFill="1" applyBorder="1" applyAlignment="1">
      <alignment horizontal="center" vertical="top"/>
    </xf>
    <xf numFmtId="164" fontId="5" fillId="8" borderId="38" xfId="0" applyNumberFormat="1" applyFont="1" applyFill="1" applyBorder="1" applyAlignment="1">
      <alignment horizontal="center" vertical="top"/>
    </xf>
    <xf numFmtId="164" fontId="4" fillId="8" borderId="74" xfId="0" applyNumberFormat="1" applyFont="1" applyFill="1" applyBorder="1" applyAlignment="1">
      <alignment horizontal="center" vertical="top"/>
    </xf>
    <xf numFmtId="164" fontId="4" fillId="8" borderId="0" xfId="0" applyNumberFormat="1" applyFont="1" applyFill="1" applyBorder="1" applyAlignment="1">
      <alignment horizontal="center" vertical="top"/>
    </xf>
    <xf numFmtId="164" fontId="5" fillId="8" borderId="35" xfId="0" applyNumberFormat="1" applyFont="1" applyFill="1" applyBorder="1" applyAlignment="1">
      <alignment horizontal="center" vertical="top"/>
    </xf>
    <xf numFmtId="164" fontId="5" fillId="8" borderId="52" xfId="0" applyNumberFormat="1" applyFont="1" applyFill="1" applyBorder="1" applyAlignment="1">
      <alignment horizontal="center" vertical="top"/>
    </xf>
    <xf numFmtId="164" fontId="4" fillId="8" borderId="22" xfId="0" applyNumberFormat="1" applyFont="1" applyFill="1" applyBorder="1" applyAlignment="1">
      <alignment horizontal="center" vertical="top"/>
    </xf>
    <xf numFmtId="164" fontId="4" fillId="8" borderId="39" xfId="0" applyNumberFormat="1" applyFont="1" applyFill="1" applyBorder="1" applyAlignment="1">
      <alignment horizontal="center" vertical="top"/>
    </xf>
    <xf numFmtId="164" fontId="4" fillId="8" borderId="17" xfId="0" applyNumberFormat="1" applyFont="1" applyFill="1" applyBorder="1" applyAlignment="1">
      <alignment horizontal="center" vertical="top"/>
    </xf>
    <xf numFmtId="164" fontId="5" fillId="8" borderId="49" xfId="0" applyNumberFormat="1" applyFont="1" applyFill="1" applyBorder="1" applyAlignment="1">
      <alignment horizontal="center" vertical="top"/>
    </xf>
    <xf numFmtId="0" fontId="5" fillId="8" borderId="48" xfId="0" applyFont="1" applyFill="1" applyBorder="1" applyAlignment="1">
      <alignment horizontal="center" vertical="top" wrapText="1"/>
    </xf>
    <xf numFmtId="164" fontId="5" fillId="8" borderId="47" xfId="0" applyNumberFormat="1" applyFont="1" applyFill="1" applyBorder="1" applyAlignment="1">
      <alignment horizontal="center" vertical="top"/>
    </xf>
    <xf numFmtId="164" fontId="5" fillId="8" borderId="73" xfId="0" applyNumberFormat="1" applyFont="1" applyFill="1" applyBorder="1" applyAlignment="1">
      <alignment horizontal="center" vertical="top"/>
    </xf>
    <xf numFmtId="164" fontId="2" fillId="8" borderId="56" xfId="0" applyNumberFormat="1" applyFont="1" applyFill="1" applyBorder="1" applyAlignment="1">
      <alignment horizontal="center" vertical="top"/>
    </xf>
    <xf numFmtId="164" fontId="2" fillId="8" borderId="51" xfId="0" applyNumberFormat="1" applyFont="1" applyFill="1" applyBorder="1" applyAlignment="1">
      <alignment horizontal="center" vertical="top"/>
    </xf>
    <xf numFmtId="164" fontId="2" fillId="8" borderId="46" xfId="0" applyNumberFormat="1" applyFont="1" applyFill="1" applyBorder="1" applyAlignment="1">
      <alignment horizontal="center" vertical="top"/>
    </xf>
    <xf numFmtId="164" fontId="2" fillId="8" borderId="45" xfId="0" applyNumberFormat="1" applyFont="1" applyFill="1" applyBorder="1" applyAlignment="1">
      <alignment horizontal="center" vertical="top"/>
    </xf>
    <xf numFmtId="164" fontId="2" fillId="8" borderId="49" xfId="0" applyNumberFormat="1" applyFont="1" applyFill="1" applyBorder="1" applyAlignment="1">
      <alignment horizontal="center" vertical="top"/>
    </xf>
    <xf numFmtId="164" fontId="2" fillId="8" borderId="4" xfId="0" applyNumberFormat="1" applyFont="1" applyFill="1" applyBorder="1" applyAlignment="1">
      <alignment horizontal="center" vertical="top"/>
    </xf>
    <xf numFmtId="164" fontId="2" fillId="8" borderId="48" xfId="0" applyNumberFormat="1" applyFont="1" applyFill="1" applyBorder="1" applyAlignment="1">
      <alignment horizontal="center" vertical="top"/>
    </xf>
    <xf numFmtId="164" fontId="1" fillId="8" borderId="16" xfId="0" applyNumberFormat="1" applyFont="1" applyFill="1" applyBorder="1" applyAlignment="1">
      <alignment horizontal="center" vertical="top"/>
    </xf>
    <xf numFmtId="164" fontId="1" fillId="8" borderId="13" xfId="0" applyNumberFormat="1" applyFont="1" applyFill="1" applyBorder="1" applyAlignment="1">
      <alignment horizontal="center" vertical="top"/>
    </xf>
    <xf numFmtId="164" fontId="1" fillId="8" borderId="24" xfId="0" applyNumberFormat="1" applyFont="1" applyFill="1" applyBorder="1" applyAlignment="1">
      <alignment horizontal="center" vertical="top"/>
    </xf>
    <xf numFmtId="164" fontId="1" fillId="8" borderId="17" xfId="0" applyNumberFormat="1" applyFont="1" applyFill="1" applyBorder="1" applyAlignment="1">
      <alignment horizontal="center" vertical="top"/>
    </xf>
    <xf numFmtId="164" fontId="1" fillId="8" borderId="7" xfId="0" applyNumberFormat="1" applyFont="1" applyFill="1" applyBorder="1" applyAlignment="1">
      <alignment horizontal="center" vertical="top"/>
    </xf>
    <xf numFmtId="164" fontId="1" fillId="8" borderId="67" xfId="0" applyNumberFormat="1" applyFont="1" applyFill="1" applyBorder="1" applyAlignment="1">
      <alignment horizontal="center" vertical="top"/>
    </xf>
    <xf numFmtId="164" fontId="1" fillId="8" borderId="68" xfId="0" applyNumberFormat="1" applyFont="1" applyFill="1" applyBorder="1" applyAlignment="1">
      <alignment horizontal="center" vertical="top"/>
    </xf>
    <xf numFmtId="164" fontId="1" fillId="8" borderId="26" xfId="0" applyNumberFormat="1" applyFont="1" applyFill="1" applyBorder="1" applyAlignment="1">
      <alignment horizontal="center" vertical="top"/>
    </xf>
    <xf numFmtId="164" fontId="1" fillId="8" borderId="78" xfId="0" applyNumberFormat="1" applyFont="1" applyFill="1" applyBorder="1" applyAlignment="1">
      <alignment horizontal="center" vertical="top"/>
    </xf>
    <xf numFmtId="164" fontId="1" fillId="8" borderId="59" xfId="0" applyNumberFormat="1" applyFont="1" applyFill="1" applyBorder="1" applyAlignment="1">
      <alignment horizontal="center" vertical="top"/>
    </xf>
    <xf numFmtId="164" fontId="4" fillId="8" borderId="62" xfId="0" applyNumberFormat="1" applyFont="1" applyFill="1" applyBorder="1" applyAlignment="1">
      <alignment horizontal="center" vertical="top"/>
    </xf>
    <xf numFmtId="164" fontId="5" fillId="8" borderId="68" xfId="0" applyNumberFormat="1" applyFont="1" applyFill="1" applyBorder="1" applyAlignment="1">
      <alignment horizontal="center" vertical="top"/>
    </xf>
    <xf numFmtId="164" fontId="5" fillId="8" borderId="67" xfId="0" applyNumberFormat="1" applyFont="1" applyFill="1" applyBorder="1" applyAlignment="1">
      <alignment horizontal="center" vertical="top"/>
    </xf>
    <xf numFmtId="164" fontId="2" fillId="8" borderId="68" xfId="0" applyNumberFormat="1" applyFont="1" applyFill="1" applyBorder="1" applyAlignment="1">
      <alignment horizontal="center" vertical="top"/>
    </xf>
    <xf numFmtId="164" fontId="2" fillId="8" borderId="26" xfId="0" applyNumberFormat="1" applyFont="1" applyFill="1" applyBorder="1" applyAlignment="1">
      <alignment horizontal="center" vertical="top"/>
    </xf>
    <xf numFmtId="164" fontId="2" fillId="8" borderId="47" xfId="0" applyNumberFormat="1" applyFont="1" applyFill="1" applyBorder="1" applyAlignment="1">
      <alignment horizontal="center" vertical="top"/>
    </xf>
    <xf numFmtId="164" fontId="5" fillId="8" borderId="20" xfId="0" applyNumberFormat="1" applyFont="1" applyFill="1" applyBorder="1" applyAlignment="1">
      <alignment horizontal="center" vertical="top"/>
    </xf>
    <xf numFmtId="164" fontId="5" fillId="8" borderId="44" xfId="0" applyNumberFormat="1" applyFont="1" applyFill="1" applyBorder="1" applyAlignment="1">
      <alignment horizontal="center" vertical="top"/>
    </xf>
    <xf numFmtId="164" fontId="5" fillId="8" borderId="19" xfId="0" applyNumberFormat="1" applyFont="1" applyFill="1" applyBorder="1" applyAlignment="1">
      <alignment horizontal="center" vertical="top"/>
    </xf>
    <xf numFmtId="164" fontId="2" fillId="8" borderId="71" xfId="0" applyNumberFormat="1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top" wrapText="1"/>
    </xf>
    <xf numFmtId="164" fontId="2" fillId="8" borderId="62" xfId="0" applyNumberFormat="1" applyFont="1" applyFill="1" applyBorder="1" applyAlignment="1">
      <alignment horizontal="center" vertical="top"/>
    </xf>
    <xf numFmtId="164" fontId="2" fillId="8" borderId="60" xfId="0" applyNumberFormat="1" applyFont="1" applyFill="1" applyBorder="1" applyAlignment="1">
      <alignment horizontal="center" vertical="top"/>
    </xf>
    <xf numFmtId="164" fontId="2" fillId="8" borderId="27" xfId="0" applyNumberFormat="1" applyFont="1" applyFill="1" applyBorder="1" applyAlignment="1">
      <alignment horizontal="center" vertical="top"/>
    </xf>
    <xf numFmtId="164" fontId="2" fillId="8" borderId="40" xfId="0" applyNumberFormat="1" applyFont="1" applyFill="1" applyBorder="1" applyAlignment="1">
      <alignment horizontal="center" vertical="top"/>
    </xf>
    <xf numFmtId="164" fontId="2" fillId="8" borderId="38" xfId="0" applyNumberFormat="1" applyFont="1" applyFill="1" applyBorder="1" applyAlignment="1">
      <alignment horizontal="center" vertical="top"/>
    </xf>
    <xf numFmtId="164" fontId="2" fillId="8" borderId="72" xfId="0" applyNumberFormat="1" applyFont="1" applyFill="1" applyBorder="1" applyAlignment="1">
      <alignment horizontal="center" vertical="top"/>
    </xf>
    <xf numFmtId="164" fontId="2" fillId="8" borderId="28" xfId="0" applyNumberFormat="1" applyFont="1" applyFill="1" applyBorder="1" applyAlignment="1">
      <alignment horizontal="center" vertical="top"/>
    </xf>
    <xf numFmtId="164" fontId="2" fillId="8" borderId="6" xfId="0" applyNumberFormat="1" applyFont="1" applyFill="1" applyBorder="1" applyAlignment="1">
      <alignment horizontal="center" vertical="top"/>
    </xf>
    <xf numFmtId="164" fontId="1" fillId="8" borderId="63" xfId="0" applyNumberFormat="1" applyFont="1" applyFill="1" applyBorder="1" applyAlignment="1">
      <alignment horizontal="center" vertical="top"/>
    </xf>
    <xf numFmtId="164" fontId="1" fillId="8" borderId="43" xfId="0" applyNumberFormat="1" applyFont="1" applyFill="1" applyBorder="1" applyAlignment="1">
      <alignment horizontal="center" vertical="top"/>
    </xf>
    <xf numFmtId="164" fontId="1" fillId="8" borderId="15" xfId="0" applyNumberFormat="1" applyFont="1" applyFill="1" applyBorder="1" applyAlignment="1">
      <alignment horizontal="center" vertical="top"/>
    </xf>
    <xf numFmtId="164" fontId="2" fillId="8" borderId="73" xfId="0" applyNumberFormat="1" applyFont="1" applyFill="1" applyBorder="1" applyAlignment="1">
      <alignment horizontal="center" vertical="top"/>
    </xf>
    <xf numFmtId="164" fontId="4" fillId="8" borderId="37" xfId="0" applyNumberFormat="1" applyFont="1" applyFill="1" applyBorder="1" applyAlignment="1">
      <alignment horizontal="center" vertical="top"/>
    </xf>
    <xf numFmtId="164" fontId="4" fillId="8" borderId="53" xfId="0" applyNumberFormat="1" applyFont="1" applyFill="1" applyBorder="1" applyAlignment="1">
      <alignment horizontal="center" vertical="top"/>
    </xf>
    <xf numFmtId="164" fontId="5" fillId="8" borderId="26" xfId="0" applyNumberFormat="1" applyFont="1" applyFill="1" applyBorder="1" applyAlignment="1">
      <alignment horizontal="center" vertical="top"/>
    </xf>
    <xf numFmtId="164" fontId="5" fillId="8" borderId="37" xfId="0" applyNumberFormat="1" applyFont="1" applyFill="1" applyBorder="1" applyAlignment="1">
      <alignment horizontal="center" vertical="top"/>
    </xf>
    <xf numFmtId="164" fontId="5" fillId="8" borderId="42" xfId="0" applyNumberFormat="1" applyFont="1" applyFill="1" applyBorder="1" applyAlignment="1">
      <alignment horizontal="center" vertical="top"/>
    </xf>
    <xf numFmtId="164" fontId="5" fillId="8" borderId="62" xfId="0" applyNumberFormat="1" applyFont="1" applyFill="1" applyBorder="1" applyAlignment="1">
      <alignment horizontal="center" vertical="top"/>
    </xf>
    <xf numFmtId="164" fontId="5" fillId="8" borderId="28" xfId="0" applyNumberFormat="1" applyFont="1" applyFill="1" applyBorder="1" applyAlignment="1">
      <alignment horizontal="center" vertical="top"/>
    </xf>
    <xf numFmtId="0" fontId="5" fillId="8" borderId="2" xfId="0" applyFont="1" applyFill="1" applyBorder="1" applyAlignment="1">
      <alignment horizontal="center" vertical="top"/>
    </xf>
    <xf numFmtId="164" fontId="5" fillId="8" borderId="27" xfId="0" applyNumberFormat="1" applyFont="1" applyFill="1" applyBorder="1" applyAlignment="1">
      <alignment horizontal="center" vertical="top"/>
    </xf>
    <xf numFmtId="164" fontId="5" fillId="8" borderId="6" xfId="0" applyNumberFormat="1" applyFont="1" applyFill="1" applyBorder="1" applyAlignment="1">
      <alignment horizontal="center" vertical="top"/>
    </xf>
    <xf numFmtId="164" fontId="1" fillId="8" borderId="66" xfId="0" applyNumberFormat="1" applyFont="1" applyFill="1" applyBorder="1" applyAlignment="1">
      <alignment horizontal="center" vertical="top"/>
    </xf>
    <xf numFmtId="164" fontId="1" fillId="8" borderId="0" xfId="0" applyNumberFormat="1" applyFont="1" applyFill="1" applyBorder="1" applyAlignment="1">
      <alignment horizontal="center" vertical="top"/>
    </xf>
    <xf numFmtId="0" fontId="2" fillId="8" borderId="51" xfId="0" applyFont="1" applyFill="1" applyBorder="1" applyAlignment="1">
      <alignment horizontal="center" vertical="top" wrapText="1"/>
    </xf>
    <xf numFmtId="0" fontId="2" fillId="8" borderId="56" xfId="0" applyFont="1" applyFill="1" applyBorder="1" applyAlignment="1">
      <alignment horizontal="center" vertical="top" wrapText="1"/>
    </xf>
    <xf numFmtId="164" fontId="1" fillId="8" borderId="36" xfId="0" applyNumberFormat="1" applyFont="1" applyFill="1" applyBorder="1" applyAlignment="1">
      <alignment horizontal="center" vertical="top"/>
    </xf>
    <xf numFmtId="164" fontId="1" fillId="8" borderId="22" xfId="0" applyNumberFormat="1" applyFont="1" applyFill="1" applyBorder="1" applyAlignment="1">
      <alignment horizontal="center" vertical="top"/>
    </xf>
    <xf numFmtId="164" fontId="1" fillId="8" borderId="3" xfId="0" applyNumberFormat="1" applyFont="1" applyFill="1" applyBorder="1" applyAlignment="1">
      <alignment horizontal="center" vertical="top"/>
    </xf>
    <xf numFmtId="164" fontId="1" fillId="8" borderId="35" xfId="0" applyNumberFormat="1" applyFont="1" applyFill="1" applyBorder="1" applyAlignment="1">
      <alignment horizontal="center" vertical="top"/>
    </xf>
    <xf numFmtId="164" fontId="1" fillId="8" borderId="42" xfId="0" applyNumberFormat="1" applyFont="1" applyFill="1" applyBorder="1" applyAlignment="1">
      <alignment horizontal="center" vertical="top"/>
    </xf>
    <xf numFmtId="164" fontId="5" fillId="8" borderId="23" xfId="0" applyNumberFormat="1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/>
    </xf>
    <xf numFmtId="0" fontId="1" fillId="0" borderId="18" xfId="0" applyNumberFormat="1" applyFont="1" applyBorder="1" applyAlignment="1">
      <alignment horizontal="center" vertical="top"/>
    </xf>
    <xf numFmtId="164" fontId="1" fillId="8" borderId="74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5" fillId="8" borderId="8" xfId="0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vertical="top"/>
    </xf>
    <xf numFmtId="0" fontId="1" fillId="5" borderId="21" xfId="0" applyNumberFormat="1" applyFont="1" applyFill="1" applyBorder="1" applyAlignment="1">
      <alignment horizontal="center" vertical="top"/>
    </xf>
    <xf numFmtId="164" fontId="1" fillId="8" borderId="77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horizontal="center" vertical="top" wrapText="1"/>
    </xf>
    <xf numFmtId="0" fontId="1" fillId="0" borderId="39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49" fontId="4" fillId="0" borderId="44" xfId="0" applyNumberFormat="1" applyFont="1" applyBorder="1" applyAlignment="1">
      <alignment horizontal="center" vertical="top" wrapText="1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center" textRotation="90" wrapText="1"/>
    </xf>
    <xf numFmtId="0" fontId="4" fillId="0" borderId="31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164" fontId="4" fillId="0" borderId="17" xfId="0" applyNumberFormat="1" applyFont="1" applyBorder="1" applyAlignment="1">
      <alignment horizontal="center" vertical="top"/>
    </xf>
    <xf numFmtId="164" fontId="4" fillId="5" borderId="54" xfId="0" applyNumberFormat="1" applyFont="1" applyFill="1" applyBorder="1" applyAlignment="1">
      <alignment horizontal="center" vertical="top"/>
    </xf>
    <xf numFmtId="164" fontId="4" fillId="8" borderId="26" xfId="0" applyNumberFormat="1" applyFont="1" applyFill="1" applyBorder="1" applyAlignment="1">
      <alignment horizontal="center" vertical="top"/>
    </xf>
    <xf numFmtId="164" fontId="4" fillId="8" borderId="28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49" fontId="5" fillId="2" borderId="18" xfId="0" applyNumberFormat="1" applyFont="1" applyFill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0" fontId="4" fillId="0" borderId="61" xfId="0" applyNumberFormat="1" applyFont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 wrapText="1"/>
    </xf>
    <xf numFmtId="49" fontId="5" fillId="0" borderId="54" xfId="0" applyNumberFormat="1" applyFont="1" applyBorder="1" applyAlignment="1">
      <alignment horizontal="center" vertical="top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0" fontId="4" fillId="5" borderId="19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left" vertical="top" wrapText="1"/>
    </xf>
    <xf numFmtId="164" fontId="5" fillId="2" borderId="12" xfId="0" applyNumberFormat="1" applyFont="1" applyFill="1" applyBorder="1" applyAlignment="1">
      <alignment horizontal="center" vertical="top"/>
    </xf>
    <xf numFmtId="0" fontId="5" fillId="5" borderId="40" xfId="0" applyNumberFormat="1" applyFont="1" applyFill="1" applyBorder="1" applyAlignment="1">
      <alignment horizontal="center" vertical="top"/>
    </xf>
    <xf numFmtId="164" fontId="1" fillId="5" borderId="20" xfId="0" applyNumberFormat="1" applyFont="1" applyFill="1" applyBorder="1" applyAlignment="1">
      <alignment horizontal="left" vertical="top" wrapText="1"/>
    </xf>
    <xf numFmtId="0" fontId="1" fillId="5" borderId="19" xfId="0" applyNumberFormat="1" applyFont="1" applyFill="1" applyBorder="1" applyAlignment="1">
      <alignment horizontal="center" vertical="top" wrapText="1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5" fillId="5" borderId="0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60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0" fontId="1" fillId="0" borderId="17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164" fontId="1" fillId="5" borderId="53" xfId="0" applyNumberFormat="1" applyFont="1" applyFill="1" applyBorder="1" applyAlignment="1">
      <alignment horizontal="center" vertical="top"/>
    </xf>
    <xf numFmtId="164" fontId="1" fillId="8" borderId="52" xfId="0" applyNumberFormat="1" applyFont="1" applyFill="1" applyBorder="1" applyAlignment="1">
      <alignment horizontal="center" vertical="top"/>
    </xf>
    <xf numFmtId="164" fontId="1" fillId="8" borderId="53" xfId="0" applyNumberFormat="1" applyFont="1" applyFill="1" applyBorder="1" applyAlignment="1">
      <alignment horizontal="center" vertical="top"/>
    </xf>
    <xf numFmtId="164" fontId="1" fillId="0" borderId="68" xfId="0" applyNumberFormat="1" applyFont="1" applyBorder="1" applyAlignment="1">
      <alignment horizontal="center" vertical="top"/>
    </xf>
    <xf numFmtId="0" fontId="1" fillId="7" borderId="18" xfId="0" applyNumberFormat="1" applyFont="1" applyFill="1" applyBorder="1" applyAlignment="1">
      <alignment horizontal="center" vertical="top" wrapText="1"/>
    </xf>
    <xf numFmtId="0" fontId="1" fillId="7" borderId="0" xfId="0" applyNumberFormat="1" applyFont="1" applyFill="1" applyBorder="1" applyAlignment="1">
      <alignment horizontal="center" vertical="top" wrapText="1"/>
    </xf>
    <xf numFmtId="0" fontId="1" fillId="7" borderId="31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horizontal="center" vertical="top"/>
    </xf>
    <xf numFmtId="164" fontId="2" fillId="8" borderId="0" xfId="0" applyNumberFormat="1" applyFont="1" applyFill="1" applyBorder="1" applyAlignment="1">
      <alignment horizontal="center" vertical="top"/>
    </xf>
    <xf numFmtId="164" fontId="2" fillId="8" borderId="18" xfId="0" applyNumberFormat="1" applyFont="1" applyFill="1" applyBorder="1" applyAlignment="1">
      <alignment horizontal="center" vertical="top"/>
    </xf>
    <xf numFmtId="164" fontId="2" fillId="8" borderId="17" xfId="0" applyNumberFormat="1" applyFont="1" applyFill="1" applyBorder="1" applyAlignment="1">
      <alignment horizontal="center" vertical="top"/>
    </xf>
    <xf numFmtId="165" fontId="5" fillId="0" borderId="17" xfId="0" applyNumberFormat="1" applyFont="1" applyFill="1" applyBorder="1" applyAlignment="1">
      <alignment horizontal="left" vertical="top"/>
    </xf>
    <xf numFmtId="164" fontId="4" fillId="7" borderId="7" xfId="0" applyNumberFormat="1" applyFont="1" applyFill="1" applyBorder="1" applyAlignment="1">
      <alignment horizontal="center" vertical="top"/>
    </xf>
    <xf numFmtId="164" fontId="1" fillId="7" borderId="10" xfId="0" applyNumberFormat="1" applyFont="1" applyFill="1" applyBorder="1" applyAlignment="1">
      <alignment horizontal="center" vertical="top"/>
    </xf>
    <xf numFmtId="164" fontId="1" fillId="7" borderId="24" xfId="0" applyNumberFormat="1" applyFont="1" applyFill="1" applyBorder="1" applyAlignment="1">
      <alignment horizontal="center" vertical="top"/>
    </xf>
    <xf numFmtId="0" fontId="4" fillId="7" borderId="13" xfId="0" applyNumberFormat="1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vertical="top" textRotation="90" wrapText="1"/>
    </xf>
    <xf numFmtId="0" fontId="4" fillId="5" borderId="18" xfId="0" applyFont="1" applyFill="1" applyBorder="1" applyAlignment="1">
      <alignment vertical="top" wrapText="1"/>
    </xf>
    <xf numFmtId="164" fontId="4" fillId="8" borderId="58" xfId="0" applyNumberFormat="1" applyFont="1" applyFill="1" applyBorder="1" applyAlignment="1">
      <alignment horizontal="center" vertical="top"/>
    </xf>
    <xf numFmtId="0" fontId="4" fillId="5" borderId="7" xfId="0" applyNumberFormat="1" applyFont="1" applyFill="1" applyBorder="1" applyAlignment="1">
      <alignment horizontal="center" vertical="top"/>
    </xf>
    <xf numFmtId="164" fontId="1" fillId="8" borderId="33" xfId="0" applyNumberFormat="1" applyFont="1" applyFill="1" applyBorder="1" applyAlignment="1">
      <alignment horizontal="center" vertical="top"/>
    </xf>
    <xf numFmtId="164" fontId="1" fillId="0" borderId="16" xfId="0" applyNumberFormat="1" applyFont="1" applyFill="1" applyBorder="1" applyAlignment="1">
      <alignment horizontal="center" vertical="top"/>
    </xf>
    <xf numFmtId="164" fontId="1" fillId="0" borderId="67" xfId="0" applyNumberFormat="1" applyFont="1" applyFill="1" applyBorder="1" applyAlignment="1">
      <alignment horizontal="center" vertical="top"/>
    </xf>
    <xf numFmtId="164" fontId="1" fillId="0" borderId="69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left" vertical="top"/>
    </xf>
    <xf numFmtId="164" fontId="1" fillId="0" borderId="0" xfId="0" applyNumberFormat="1" applyFont="1" applyBorder="1" applyAlignment="1">
      <alignment vertical="top" wrapText="1"/>
    </xf>
    <xf numFmtId="164" fontId="1" fillId="0" borderId="0" xfId="0" applyNumberFormat="1" applyFont="1" applyBorder="1" applyAlignment="1">
      <alignment horizontal="left" vertical="top" wrapText="1"/>
    </xf>
    <xf numFmtId="164" fontId="4" fillId="5" borderId="0" xfId="0" applyNumberFormat="1" applyFont="1" applyFill="1" applyBorder="1" applyAlignment="1">
      <alignment horizontal="left" vertical="top"/>
    </xf>
    <xf numFmtId="164" fontId="1" fillId="5" borderId="0" xfId="0" applyNumberFormat="1" applyFont="1" applyFill="1" applyBorder="1" applyAlignment="1">
      <alignment horizontal="left" vertical="top" wrapText="1"/>
    </xf>
    <xf numFmtId="164" fontId="4" fillId="8" borderId="41" xfId="0" applyNumberFormat="1" applyFont="1" applyFill="1" applyBorder="1" applyAlignment="1">
      <alignment horizontal="center" vertical="top"/>
    </xf>
    <xf numFmtId="164" fontId="4" fillId="0" borderId="27" xfId="0" applyNumberFormat="1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left" vertical="top"/>
    </xf>
    <xf numFmtId="0" fontId="4" fillId="0" borderId="40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0" xfId="0" applyNumberFormat="1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center" vertical="top"/>
    </xf>
    <xf numFmtId="164" fontId="4" fillId="0" borderId="28" xfId="0" applyNumberFormat="1" applyFont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top"/>
    </xf>
    <xf numFmtId="49" fontId="5" fillId="0" borderId="44" xfId="0" applyNumberFormat="1" applyFont="1" applyFill="1" applyBorder="1" applyAlignment="1">
      <alignment horizontal="right" vertical="top"/>
    </xf>
    <xf numFmtId="49" fontId="5" fillId="0" borderId="19" xfId="0" applyNumberFormat="1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top"/>
    </xf>
    <xf numFmtId="164" fontId="5" fillId="8" borderId="21" xfId="0" applyNumberFormat="1" applyFont="1" applyFill="1" applyBorder="1" applyAlignment="1">
      <alignment horizontal="center" vertical="top"/>
    </xf>
    <xf numFmtId="164" fontId="4" fillId="8" borderId="63" xfId="0" applyNumberFormat="1" applyFont="1" applyFill="1" applyBorder="1" applyAlignment="1">
      <alignment horizontal="center" vertical="top"/>
    </xf>
    <xf numFmtId="164" fontId="4" fillId="8" borderId="15" xfId="0" applyNumberFormat="1" applyFont="1" applyFill="1" applyBorder="1" applyAlignment="1">
      <alignment horizontal="center" vertical="top"/>
    </xf>
    <xf numFmtId="0" fontId="4" fillId="0" borderId="42" xfId="0" applyFont="1" applyFill="1" applyBorder="1" applyAlignment="1">
      <alignment horizontal="left" vertical="top" wrapText="1"/>
    </xf>
    <xf numFmtId="0" fontId="4" fillId="0" borderId="61" xfId="0" applyFont="1" applyFill="1" applyBorder="1" applyAlignment="1">
      <alignment horizontal="center" vertical="top" wrapText="1"/>
    </xf>
    <xf numFmtId="165" fontId="4" fillId="5" borderId="16" xfId="0" applyNumberFormat="1" applyFont="1" applyFill="1" applyBorder="1" applyAlignment="1">
      <alignment horizontal="left" vertical="top"/>
    </xf>
    <xf numFmtId="165" fontId="5" fillId="5" borderId="57" xfId="0" applyNumberFormat="1" applyFont="1" applyFill="1" applyBorder="1" applyAlignment="1">
      <alignment horizontal="left" vertical="top" wrapText="1"/>
    </xf>
    <xf numFmtId="0" fontId="4" fillId="5" borderId="44" xfId="0" applyNumberFormat="1" applyFont="1" applyFill="1" applyBorder="1" applyAlignment="1">
      <alignment horizontal="center" vertical="top"/>
    </xf>
    <xf numFmtId="164" fontId="4" fillId="5" borderId="8" xfId="0" applyNumberFormat="1" applyFont="1" applyFill="1" applyBorder="1" applyAlignment="1">
      <alignment horizontal="center" vertical="top"/>
    </xf>
    <xf numFmtId="0" fontId="5" fillId="5" borderId="13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wrapText="1"/>
    </xf>
    <xf numFmtId="0" fontId="4" fillId="7" borderId="18" xfId="0" applyNumberFormat="1" applyFont="1" applyFill="1" applyBorder="1" applyAlignment="1">
      <alignment horizontal="center" vertical="top"/>
    </xf>
    <xf numFmtId="0" fontId="4" fillId="5" borderId="41" xfId="0" applyFont="1" applyFill="1" applyBorder="1" applyAlignment="1">
      <alignment vertical="top" wrapText="1"/>
    </xf>
    <xf numFmtId="0" fontId="4" fillId="7" borderId="31" xfId="0" applyNumberFormat="1" applyFont="1" applyFill="1" applyBorder="1" applyAlignment="1">
      <alignment horizontal="center" vertical="top"/>
    </xf>
    <xf numFmtId="49" fontId="2" fillId="7" borderId="44" xfId="0" applyNumberFormat="1" applyFont="1" applyFill="1" applyBorder="1" applyAlignment="1">
      <alignment vertical="top"/>
    </xf>
    <xf numFmtId="49" fontId="2" fillId="7" borderId="71" xfId="0" applyNumberFormat="1" applyFont="1" applyFill="1" applyBorder="1" applyAlignment="1">
      <alignment vertical="top"/>
    </xf>
    <xf numFmtId="49" fontId="2" fillId="7" borderId="19" xfId="0" applyNumberFormat="1" applyFont="1" applyFill="1" applyBorder="1" applyAlignment="1">
      <alignment vertical="top"/>
    </xf>
    <xf numFmtId="49" fontId="2" fillId="7" borderId="19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vertical="top"/>
    </xf>
    <xf numFmtId="49" fontId="5" fillId="5" borderId="70" xfId="0" applyNumberFormat="1" applyFont="1" applyFill="1" applyBorder="1" applyAlignment="1">
      <alignment vertical="top"/>
    </xf>
    <xf numFmtId="164" fontId="4" fillId="8" borderId="44" xfId="0" applyNumberFormat="1" applyFont="1" applyFill="1" applyBorder="1" applyAlignment="1">
      <alignment horizontal="center" vertical="top"/>
    </xf>
    <xf numFmtId="164" fontId="4" fillId="0" borderId="50" xfId="0" applyNumberFormat="1" applyFont="1" applyBorder="1" applyAlignment="1">
      <alignment horizontal="center" vertical="top"/>
    </xf>
    <xf numFmtId="164" fontId="4" fillId="5" borderId="57" xfId="0" applyNumberFormat="1" applyFont="1" applyFill="1" applyBorder="1" applyAlignment="1">
      <alignment horizontal="left" vertical="top"/>
    </xf>
    <xf numFmtId="164" fontId="5" fillId="2" borderId="25" xfId="0" applyNumberFormat="1" applyFont="1" applyFill="1" applyBorder="1" applyAlignment="1">
      <alignment horizontal="center" vertical="top"/>
    </xf>
    <xf numFmtId="164" fontId="5" fillId="2" borderId="11" xfId="0" applyNumberFormat="1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164" fontId="1" fillId="8" borderId="39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164" fontId="1" fillId="5" borderId="20" xfId="0" applyNumberFormat="1" applyFont="1" applyFill="1" applyBorder="1" applyAlignment="1">
      <alignment horizontal="left" vertical="top" wrapText="1"/>
    </xf>
    <xf numFmtId="0" fontId="4" fillId="5" borderId="18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vertical="center" textRotation="90" wrapText="1"/>
    </xf>
    <xf numFmtId="0" fontId="5" fillId="0" borderId="18" xfId="0" applyFont="1" applyFill="1" applyBorder="1" applyAlignment="1">
      <alignment vertical="center" textRotation="90" wrapText="1"/>
    </xf>
    <xf numFmtId="49" fontId="2" fillId="5" borderId="32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4" fillId="7" borderId="19" xfId="0" applyFont="1" applyFill="1" applyBorder="1" applyAlignment="1">
      <alignment horizontal="left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1" fillId="5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12" fillId="7" borderId="37" xfId="0" applyFont="1" applyFill="1" applyBorder="1" applyAlignment="1">
      <alignment horizontal="left" vertical="top" wrapText="1"/>
    </xf>
    <xf numFmtId="0" fontId="12" fillId="7" borderId="68" xfId="0" applyFont="1" applyFill="1" applyBorder="1" applyAlignment="1">
      <alignment horizontal="center" vertical="top" wrapText="1"/>
    </xf>
    <xf numFmtId="0" fontId="12" fillId="7" borderId="53" xfId="0" applyFont="1" applyFill="1" applyBorder="1" applyAlignment="1">
      <alignment horizontal="center" wrapText="1"/>
    </xf>
    <xf numFmtId="164" fontId="4" fillId="8" borderId="2" xfId="0" applyNumberFormat="1" applyFont="1" applyFill="1" applyBorder="1" applyAlignment="1">
      <alignment horizontal="center" vertical="top"/>
    </xf>
    <xf numFmtId="0" fontId="5" fillId="8" borderId="8" xfId="0" applyFont="1" applyFill="1" applyBorder="1" applyAlignment="1">
      <alignment horizontal="center" vertical="top"/>
    </xf>
    <xf numFmtId="164" fontId="5" fillId="8" borderId="41" xfId="0" applyNumberFormat="1" applyFont="1" applyFill="1" applyBorder="1" applyAlignment="1">
      <alignment horizontal="center" vertical="top"/>
    </xf>
    <xf numFmtId="164" fontId="5" fillId="8" borderId="32" xfId="0" applyNumberFormat="1" applyFont="1" applyFill="1" applyBorder="1" applyAlignment="1">
      <alignment horizontal="center" vertical="top"/>
    </xf>
    <xf numFmtId="164" fontId="5" fillId="8" borderId="0" xfId="0" applyNumberFormat="1" applyFont="1" applyFill="1" applyBorder="1" applyAlignment="1">
      <alignment horizontal="center" vertical="top"/>
    </xf>
    <xf numFmtId="164" fontId="2" fillId="8" borderId="7" xfId="0" applyNumberFormat="1" applyFont="1" applyFill="1" applyBorder="1" applyAlignment="1">
      <alignment horizontal="center" vertical="top"/>
    </xf>
    <xf numFmtId="164" fontId="2" fillId="8" borderId="8" xfId="0" applyNumberFormat="1" applyFont="1" applyFill="1" applyBorder="1" applyAlignment="1">
      <alignment horizontal="center" vertical="top"/>
    </xf>
    <xf numFmtId="165" fontId="4" fillId="0" borderId="41" xfId="0" applyNumberFormat="1" applyFont="1" applyFill="1" applyBorder="1" applyAlignment="1">
      <alignment horizontal="left" vertical="top"/>
    </xf>
    <xf numFmtId="164" fontId="4" fillId="8" borderId="6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 wrapText="1"/>
    </xf>
    <xf numFmtId="164" fontId="4" fillId="8" borderId="56" xfId="0" applyNumberFormat="1" applyFont="1" applyFill="1" applyBorder="1" applyAlignment="1">
      <alignment horizontal="center" vertical="top"/>
    </xf>
    <xf numFmtId="164" fontId="4" fillId="8" borderId="51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49" fontId="5" fillId="5" borderId="32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4" fillId="5" borderId="60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horizontal="center" vertical="top"/>
    </xf>
    <xf numFmtId="0" fontId="4" fillId="5" borderId="19" xfId="0" applyFont="1" applyFill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2" fillId="5" borderId="32" xfId="0" applyNumberFormat="1" applyFont="1" applyFill="1" applyBorder="1" applyAlignment="1">
      <alignment horizontal="center" vertical="top"/>
    </xf>
    <xf numFmtId="49" fontId="2" fillId="2" borderId="60" xfId="0" applyNumberFormat="1" applyFont="1" applyFill="1" applyBorder="1" applyAlignment="1">
      <alignment horizontal="center" vertical="top"/>
    </xf>
    <xf numFmtId="165" fontId="4" fillId="0" borderId="62" xfId="0" applyNumberFormat="1" applyFont="1" applyFill="1" applyBorder="1" applyAlignment="1">
      <alignment horizontal="left" vertical="top" wrapText="1"/>
    </xf>
    <xf numFmtId="165" fontId="4" fillId="0" borderId="17" xfId="0" applyNumberFormat="1" applyFont="1" applyFill="1" applyBorder="1" applyAlignment="1">
      <alignment horizontal="left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49" fontId="2" fillId="2" borderId="66" xfId="0" applyNumberFormat="1" applyFont="1" applyFill="1" applyBorder="1" applyAlignment="1">
      <alignment horizontal="center" vertical="top"/>
    </xf>
    <xf numFmtId="49" fontId="2" fillId="3" borderId="38" xfId="0" applyNumberFormat="1" applyFont="1" applyFill="1" applyBorder="1" applyAlignment="1">
      <alignment horizontal="center" vertical="top"/>
    </xf>
    <xf numFmtId="49" fontId="5" fillId="5" borderId="60" xfId="0" applyNumberFormat="1" applyFont="1" applyFill="1" applyBorder="1" applyAlignment="1">
      <alignment horizontal="center" vertical="top"/>
    </xf>
    <xf numFmtId="0" fontId="5" fillId="5" borderId="60" xfId="0" applyFont="1" applyFill="1" applyBorder="1" applyAlignment="1">
      <alignment vertical="top" wrapText="1"/>
    </xf>
    <xf numFmtId="0" fontId="5" fillId="0" borderId="19" xfId="0" applyFont="1" applyBorder="1" applyAlignment="1">
      <alignment horizontal="center" vertical="top"/>
    </xf>
    <xf numFmtId="0" fontId="5" fillId="8" borderId="50" xfId="0" applyFont="1" applyFill="1" applyBorder="1" applyAlignment="1">
      <alignment horizontal="center" vertical="top" wrapText="1"/>
    </xf>
    <xf numFmtId="164" fontId="1" fillId="8" borderId="58" xfId="0" applyNumberFormat="1" applyFont="1" applyFill="1" applyBorder="1" applyAlignment="1">
      <alignment horizontal="center" vertical="top"/>
    </xf>
    <xf numFmtId="165" fontId="4" fillId="7" borderId="17" xfId="0" applyNumberFormat="1" applyFont="1" applyFill="1" applyBorder="1" applyAlignment="1">
      <alignment horizontal="left" vertical="top" wrapText="1"/>
    </xf>
    <xf numFmtId="0" fontId="4" fillId="7" borderId="0" xfId="0" applyNumberFormat="1" applyFont="1" applyFill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164" fontId="1" fillId="8" borderId="41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164" fontId="4" fillId="0" borderId="41" xfId="0" applyNumberFormat="1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textRotation="90" wrapText="1"/>
    </xf>
    <xf numFmtId="0" fontId="5" fillId="0" borderId="31" xfId="0" applyNumberFormat="1" applyFont="1" applyBorder="1" applyAlignment="1">
      <alignment horizontal="center" vertical="top"/>
    </xf>
    <xf numFmtId="165" fontId="4" fillId="5" borderId="20" xfId="0" applyNumberFormat="1" applyFont="1" applyFill="1" applyBorder="1" applyAlignment="1">
      <alignment horizontal="left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5" borderId="18" xfId="0" applyFont="1" applyFill="1" applyBorder="1" applyAlignment="1">
      <alignment horizontal="left" vertical="top" wrapText="1"/>
    </xf>
    <xf numFmtId="0" fontId="4" fillId="0" borderId="31" xfId="0" applyNumberFormat="1" applyFont="1" applyBorder="1" applyAlignment="1">
      <alignment horizontal="center" vertical="top"/>
    </xf>
    <xf numFmtId="0" fontId="5" fillId="5" borderId="40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0" fontId="4" fillId="7" borderId="18" xfId="0" applyNumberFormat="1" applyFont="1" applyFill="1" applyBorder="1" applyAlignment="1">
      <alignment horizontal="center" vertical="top" wrapText="1"/>
    </xf>
    <xf numFmtId="164" fontId="4" fillId="8" borderId="75" xfId="0" applyNumberFormat="1" applyFont="1" applyFill="1" applyBorder="1" applyAlignment="1">
      <alignment horizontal="center" vertical="top"/>
    </xf>
    <xf numFmtId="164" fontId="4" fillId="0" borderId="58" xfId="0" applyNumberFormat="1" applyFont="1" applyFill="1" applyBorder="1" applyAlignment="1">
      <alignment horizontal="center" vertical="top"/>
    </xf>
    <xf numFmtId="0" fontId="4" fillId="7" borderId="6" xfId="0" applyFont="1" applyFill="1" applyBorder="1" applyAlignment="1">
      <alignment horizontal="center" vertical="top" wrapText="1"/>
    </xf>
    <xf numFmtId="164" fontId="5" fillId="5" borderId="27" xfId="0" applyNumberFormat="1" applyFont="1" applyFill="1" applyBorder="1" applyAlignment="1">
      <alignment horizontal="center" vertical="top"/>
    </xf>
    <xf numFmtId="164" fontId="5" fillId="5" borderId="6" xfId="0" applyNumberFormat="1" applyFont="1" applyFill="1" applyBorder="1" applyAlignment="1">
      <alignment horizontal="center" vertical="top"/>
    </xf>
    <xf numFmtId="0" fontId="5" fillId="0" borderId="66" xfId="0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 wrapText="1"/>
    </xf>
    <xf numFmtId="0" fontId="5" fillId="8" borderId="62" xfId="0" applyFont="1" applyFill="1" applyBorder="1" applyAlignment="1">
      <alignment horizontal="center" vertical="top" wrapText="1"/>
    </xf>
    <xf numFmtId="0" fontId="4" fillId="0" borderId="63" xfId="0" applyFont="1" applyFill="1" applyBorder="1" applyAlignment="1">
      <alignment horizontal="center" vertical="top" wrapText="1"/>
    </xf>
    <xf numFmtId="164" fontId="5" fillId="8" borderId="63" xfId="0" applyNumberFormat="1" applyFont="1" applyFill="1" applyBorder="1" applyAlignment="1">
      <alignment horizontal="center" vertical="top"/>
    </xf>
    <xf numFmtId="164" fontId="2" fillId="8" borderId="43" xfId="0" applyNumberFormat="1" applyFont="1" applyFill="1" applyBorder="1" applyAlignment="1">
      <alignment horizontal="center" vertical="top"/>
    </xf>
    <xf numFmtId="164" fontId="2" fillId="8" borderId="15" xfId="0" applyNumberFormat="1" applyFont="1" applyFill="1" applyBorder="1" applyAlignment="1">
      <alignment horizontal="center" vertical="top"/>
    </xf>
    <xf numFmtId="164" fontId="2" fillId="0" borderId="7" xfId="0" applyNumberFormat="1" applyFont="1" applyFill="1" applyBorder="1" applyAlignment="1">
      <alignment horizontal="center" vertical="top"/>
    </xf>
    <xf numFmtId="164" fontId="4" fillId="7" borderId="15" xfId="0" applyNumberFormat="1" applyFont="1" applyFill="1" applyBorder="1" applyAlignment="1">
      <alignment horizontal="center" vertical="top"/>
    </xf>
    <xf numFmtId="164" fontId="4" fillId="7" borderId="28" xfId="0" applyNumberFormat="1" applyFont="1" applyFill="1" applyBorder="1" applyAlignment="1">
      <alignment horizontal="center" vertical="top"/>
    </xf>
    <xf numFmtId="164" fontId="1" fillId="7" borderId="26" xfId="0" applyNumberFormat="1" applyFont="1" applyFill="1" applyBorder="1" applyAlignment="1">
      <alignment horizontal="center" vertical="top"/>
    </xf>
    <xf numFmtId="164" fontId="1" fillId="7" borderId="13" xfId="0" applyNumberFormat="1" applyFont="1" applyFill="1" applyBorder="1" applyAlignment="1">
      <alignment horizontal="center" vertical="top"/>
    </xf>
    <xf numFmtId="164" fontId="1" fillId="7" borderId="43" xfId="0" applyNumberFormat="1" applyFont="1" applyFill="1" applyBorder="1" applyAlignment="1">
      <alignment horizontal="center" vertical="top"/>
    </xf>
    <xf numFmtId="164" fontId="1" fillId="7" borderId="0" xfId="0" applyNumberFormat="1" applyFont="1" applyFill="1" applyBorder="1" applyAlignment="1">
      <alignment horizontal="center" vertical="top"/>
    </xf>
    <xf numFmtId="164" fontId="1" fillId="7" borderId="3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164" fontId="4" fillId="7" borderId="5" xfId="0" applyNumberFormat="1" applyFont="1" applyFill="1" applyBorder="1" applyAlignment="1">
      <alignment horizontal="center" vertical="top"/>
    </xf>
    <xf numFmtId="0" fontId="5" fillId="0" borderId="60" xfId="0" applyFont="1" applyBorder="1" applyAlignment="1">
      <alignment horizontal="center" vertical="center"/>
    </xf>
    <xf numFmtId="0" fontId="5" fillId="8" borderId="67" xfId="0" applyFont="1" applyFill="1" applyBorder="1" applyAlignment="1">
      <alignment horizontal="center" vertical="top" wrapText="1"/>
    </xf>
    <xf numFmtId="0" fontId="4" fillId="5" borderId="63" xfId="0" applyFont="1" applyFill="1" applyBorder="1" applyAlignment="1">
      <alignment horizontal="center" vertical="top"/>
    </xf>
    <xf numFmtId="165" fontId="4" fillId="5" borderId="38" xfId="0" applyNumberFormat="1" applyFont="1" applyFill="1" applyBorder="1" applyAlignment="1">
      <alignment vertical="top" wrapText="1"/>
    </xf>
    <xf numFmtId="0" fontId="4" fillId="5" borderId="40" xfId="0" applyNumberFormat="1" applyFont="1" applyFill="1" applyBorder="1" applyAlignment="1">
      <alignment horizontal="center" vertical="top"/>
    </xf>
    <xf numFmtId="0" fontId="4" fillId="5" borderId="31" xfId="0" applyNumberFormat="1" applyFont="1" applyFill="1" applyBorder="1" applyAlignment="1">
      <alignment horizontal="center" vertical="top"/>
    </xf>
    <xf numFmtId="0" fontId="1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center" wrapText="1"/>
    </xf>
    <xf numFmtId="164" fontId="1" fillId="0" borderId="29" xfId="0" applyNumberFormat="1" applyFont="1" applyFill="1" applyBorder="1" applyAlignment="1">
      <alignment horizontal="center" vertical="top"/>
    </xf>
    <xf numFmtId="164" fontId="1" fillId="0" borderId="43" xfId="0" applyNumberFormat="1" applyFont="1" applyFill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49" fontId="1" fillId="5" borderId="60" xfId="0" applyNumberFormat="1" applyFont="1" applyFill="1" applyBorder="1" applyAlignment="1">
      <alignment horizontal="center" vertical="top" wrapText="1"/>
    </xf>
    <xf numFmtId="49" fontId="1" fillId="5" borderId="40" xfId="0" applyNumberFormat="1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64" fontId="1" fillId="0" borderId="61" xfId="0" applyNumberFormat="1" applyFont="1" applyFill="1" applyBorder="1" applyAlignment="1">
      <alignment horizontal="center" vertical="top"/>
    </xf>
    <xf numFmtId="0" fontId="4" fillId="0" borderId="60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3" fillId="0" borderId="41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1" fillId="0" borderId="38" xfId="0" applyFont="1" applyFill="1" applyBorder="1" applyAlignment="1">
      <alignment vertical="top" wrapText="1"/>
    </xf>
    <xf numFmtId="164" fontId="1" fillId="0" borderId="53" xfId="0" applyNumberFormat="1" applyFont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 wrapText="1"/>
    </xf>
    <xf numFmtId="164" fontId="1" fillId="0" borderId="58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164" fontId="4" fillId="7" borderId="10" xfId="0" applyNumberFormat="1" applyFont="1" applyFill="1" applyBorder="1" applyAlignment="1">
      <alignment horizontal="center" vertical="top"/>
    </xf>
    <xf numFmtId="164" fontId="4" fillId="7" borderId="24" xfId="0" applyNumberFormat="1" applyFont="1" applyFill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164" fontId="4" fillId="0" borderId="74" xfId="0" applyNumberFormat="1" applyFont="1" applyFill="1" applyBorder="1" applyAlignment="1">
      <alignment horizontal="center" vertical="top"/>
    </xf>
    <xf numFmtId="164" fontId="4" fillId="0" borderId="69" xfId="0" applyNumberFormat="1" applyFont="1" applyBorder="1" applyAlignment="1">
      <alignment horizontal="center" vertical="top"/>
    </xf>
    <xf numFmtId="164" fontId="4" fillId="0" borderId="74" xfId="0" applyNumberFormat="1" applyFont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/>
    </xf>
    <xf numFmtId="164" fontId="4" fillId="0" borderId="10" xfId="0" applyNumberFormat="1" applyFont="1" applyBorder="1" applyAlignment="1">
      <alignment horizontal="center" vertical="top"/>
    </xf>
    <xf numFmtId="164" fontId="4" fillId="0" borderId="65" xfId="0" applyNumberFormat="1" applyFont="1" applyBorder="1" applyAlignment="1">
      <alignment horizontal="center" vertical="top"/>
    </xf>
    <xf numFmtId="164" fontId="4" fillId="0" borderId="5" xfId="0" applyNumberFormat="1" applyFont="1" applyBorder="1" applyAlignment="1">
      <alignment horizontal="center" vertical="top"/>
    </xf>
    <xf numFmtId="0" fontId="4" fillId="7" borderId="16" xfId="0" applyFont="1" applyFill="1" applyBorder="1" applyAlignment="1">
      <alignment vertical="top" wrapText="1"/>
    </xf>
    <xf numFmtId="0" fontId="4" fillId="7" borderId="13" xfId="0" applyNumberFormat="1" applyFont="1" applyFill="1" applyBorder="1" applyAlignment="1">
      <alignment horizontal="center" vertical="top"/>
    </xf>
    <xf numFmtId="0" fontId="4" fillId="7" borderId="39" xfId="0" applyNumberFormat="1" applyFont="1" applyFill="1" applyBorder="1" applyAlignment="1">
      <alignment horizontal="center" vertical="top"/>
    </xf>
    <xf numFmtId="0" fontId="5" fillId="5" borderId="44" xfId="0" applyNumberFormat="1" applyFont="1" applyFill="1" applyBorder="1" applyAlignment="1">
      <alignment horizontal="center" vertical="top"/>
    </xf>
    <xf numFmtId="164" fontId="5" fillId="8" borderId="2" xfId="0" applyNumberFormat="1" applyFont="1" applyFill="1" applyBorder="1" applyAlignment="1">
      <alignment horizontal="center" vertical="top"/>
    </xf>
    <xf numFmtId="0" fontId="4" fillId="0" borderId="24" xfId="0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center" vertical="top"/>
    </xf>
    <xf numFmtId="0" fontId="4" fillId="7" borderId="19" xfId="0" applyFont="1" applyFill="1" applyBorder="1" applyAlignment="1">
      <alignment vertical="top"/>
    </xf>
    <xf numFmtId="49" fontId="2" fillId="5" borderId="13" xfId="0" applyNumberFormat="1" applyFont="1" applyFill="1" applyBorder="1" applyAlignment="1">
      <alignment horizontal="center" vertical="top"/>
    </xf>
    <xf numFmtId="164" fontId="1" fillId="0" borderId="18" xfId="0" applyNumberFormat="1" applyFont="1" applyFill="1" applyBorder="1" applyAlignment="1">
      <alignment horizontal="center" vertical="top"/>
    </xf>
    <xf numFmtId="164" fontId="1" fillId="0" borderId="69" xfId="0" applyNumberFormat="1" applyFont="1" applyFill="1" applyBorder="1" applyAlignment="1">
      <alignment horizontal="center" vertical="top"/>
    </xf>
    <xf numFmtId="0" fontId="1" fillId="0" borderId="41" xfId="0" applyFont="1" applyFill="1" applyBorder="1" applyAlignment="1">
      <alignment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31" xfId="0" applyFont="1" applyFill="1" applyBorder="1" applyAlignment="1">
      <alignment horizontal="center" vertical="top" wrapText="1"/>
    </xf>
    <xf numFmtId="164" fontId="1" fillId="7" borderId="40" xfId="0" applyNumberFormat="1" applyFont="1" applyFill="1" applyBorder="1" applyAlignment="1">
      <alignment horizontal="center" vertical="top"/>
    </xf>
    <xf numFmtId="164" fontId="1" fillId="0" borderId="31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 wrapText="1"/>
    </xf>
    <xf numFmtId="0" fontId="4" fillId="0" borderId="7" xfId="0" applyNumberFormat="1" applyFont="1" applyBorder="1" applyAlignment="1">
      <alignment horizontal="center" vertical="top"/>
    </xf>
    <xf numFmtId="164" fontId="4" fillId="5" borderId="17" xfId="0" applyNumberFormat="1" applyFont="1" applyFill="1" applyBorder="1" applyAlignment="1">
      <alignment horizontal="left" vertical="top" wrapText="1"/>
    </xf>
    <xf numFmtId="0" fontId="4" fillId="5" borderId="19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Fill="1" applyBorder="1" applyAlignment="1">
      <alignment horizontal="center" vertical="top"/>
    </xf>
    <xf numFmtId="164" fontId="4" fillId="5" borderId="17" xfId="0" applyNumberFormat="1" applyFont="1" applyFill="1" applyBorder="1" applyAlignment="1">
      <alignment vertical="top" wrapText="1"/>
    </xf>
    <xf numFmtId="164" fontId="5" fillId="5" borderId="57" xfId="0" applyNumberFormat="1" applyFont="1" applyFill="1" applyBorder="1" applyAlignment="1">
      <alignment horizontal="center" vertical="top"/>
    </xf>
    <xf numFmtId="0" fontId="5" fillId="5" borderId="19" xfId="0" applyNumberFormat="1" applyFont="1" applyFill="1" applyBorder="1" applyAlignment="1">
      <alignment horizontal="center" vertical="top"/>
    </xf>
    <xf numFmtId="0" fontId="4" fillId="0" borderId="17" xfId="0" applyFont="1" applyBorder="1" applyAlignment="1">
      <alignment vertical="top" wrapText="1"/>
    </xf>
    <xf numFmtId="0" fontId="4" fillId="7" borderId="0" xfId="0" applyNumberFormat="1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16" xfId="0" applyFont="1" applyBorder="1" applyAlignment="1">
      <alignment vertical="top"/>
    </xf>
    <xf numFmtId="0" fontId="4" fillId="0" borderId="74" xfId="0" applyNumberFormat="1" applyFont="1" applyFill="1" applyBorder="1" applyAlignment="1">
      <alignment horizontal="center" vertical="top"/>
    </xf>
    <xf numFmtId="0" fontId="1" fillId="0" borderId="13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165" fontId="4" fillId="5" borderId="17" xfId="0" applyNumberFormat="1" applyFont="1" applyFill="1" applyBorder="1" applyAlignment="1">
      <alignment vertical="top" wrapText="1"/>
    </xf>
    <xf numFmtId="0" fontId="2" fillId="0" borderId="18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0" fontId="5" fillId="0" borderId="73" xfId="0" applyFont="1" applyFill="1" applyBorder="1" applyAlignment="1">
      <alignment horizontal="center" vertical="top" wrapText="1"/>
    </xf>
    <xf numFmtId="164" fontId="1" fillId="7" borderId="15" xfId="0" applyNumberFormat="1" applyFont="1" applyFill="1" applyBorder="1" applyAlignment="1">
      <alignment horizontal="center" vertical="top"/>
    </xf>
    <xf numFmtId="164" fontId="1" fillId="5" borderId="3" xfId="0" applyNumberFormat="1" applyFont="1" applyFill="1" applyBorder="1" applyAlignment="1">
      <alignment horizontal="center" vertical="top"/>
    </xf>
    <xf numFmtId="49" fontId="5" fillId="5" borderId="19" xfId="0" applyNumberFormat="1" applyFont="1" applyFill="1" applyBorder="1" applyAlignment="1">
      <alignment vertical="top"/>
    </xf>
    <xf numFmtId="164" fontId="4" fillId="7" borderId="61" xfId="0" applyNumberFormat="1" applyFont="1" applyFill="1" applyBorder="1" applyAlignment="1">
      <alignment horizontal="center" vertical="top"/>
    </xf>
    <xf numFmtId="0" fontId="4" fillId="0" borderId="41" xfId="0" applyFont="1" applyBorder="1" applyAlignment="1">
      <alignment vertical="top" wrapText="1"/>
    </xf>
    <xf numFmtId="0" fontId="4" fillId="5" borderId="43" xfId="0" applyNumberFormat="1" applyFont="1" applyFill="1" applyBorder="1" applyAlignment="1">
      <alignment horizontal="center" vertical="top"/>
    </xf>
    <xf numFmtId="0" fontId="5" fillId="5" borderId="21" xfId="0" applyNumberFormat="1" applyFont="1" applyFill="1" applyBorder="1" applyAlignment="1">
      <alignment horizontal="center" vertical="top"/>
    </xf>
    <xf numFmtId="164" fontId="2" fillId="8" borderId="50" xfId="0" applyNumberFormat="1" applyFont="1" applyFill="1" applyBorder="1" applyAlignment="1">
      <alignment horizontal="center" vertical="top"/>
    </xf>
    <xf numFmtId="164" fontId="4" fillId="0" borderId="58" xfId="0" applyNumberFormat="1" applyFont="1" applyBorder="1" applyAlignment="1">
      <alignment horizontal="center" vertical="center" wrapText="1"/>
    </xf>
    <xf numFmtId="164" fontId="4" fillId="7" borderId="6" xfId="0" applyNumberFormat="1" applyFont="1" applyFill="1" applyBorder="1" applyAlignment="1">
      <alignment horizontal="center" vertical="top"/>
    </xf>
    <xf numFmtId="164" fontId="1" fillId="5" borderId="58" xfId="0" applyNumberFormat="1" applyFont="1" applyFill="1" applyBorder="1" applyAlignment="1">
      <alignment horizontal="center" vertical="top"/>
    </xf>
    <xf numFmtId="164" fontId="1" fillId="7" borderId="6" xfId="0" applyNumberFormat="1" applyFont="1" applyFill="1" applyBorder="1" applyAlignment="1">
      <alignment horizontal="center" vertical="top"/>
    </xf>
    <xf numFmtId="164" fontId="1" fillId="7" borderId="65" xfId="0" applyNumberFormat="1" applyFont="1" applyFill="1" applyBorder="1" applyAlignment="1">
      <alignment horizontal="center" vertical="top"/>
    </xf>
    <xf numFmtId="164" fontId="1" fillId="7" borderId="5" xfId="0" applyNumberFormat="1" applyFont="1" applyFill="1" applyBorder="1" applyAlignment="1">
      <alignment horizontal="center" vertical="top"/>
    </xf>
    <xf numFmtId="164" fontId="1" fillId="7" borderId="2" xfId="0" applyNumberFormat="1" applyFont="1" applyFill="1" applyBorder="1" applyAlignment="1">
      <alignment horizontal="center" vertical="top"/>
    </xf>
    <xf numFmtId="164" fontId="1" fillId="7" borderId="8" xfId="0" applyNumberFormat="1" applyFont="1" applyFill="1" applyBorder="1" applyAlignment="1">
      <alignment horizontal="center" vertical="top"/>
    </xf>
    <xf numFmtId="164" fontId="1" fillId="0" borderId="0" xfId="0" applyNumberFormat="1" applyFont="1" applyBorder="1" applyAlignment="1">
      <alignment horizontal="right" vertical="top"/>
    </xf>
    <xf numFmtId="164" fontId="1" fillId="0" borderId="0" xfId="0" applyNumberFormat="1" applyFont="1" applyBorder="1" applyAlignment="1">
      <alignment vertical="center" wrapText="1"/>
    </xf>
    <xf numFmtId="164" fontId="1" fillId="5" borderId="0" xfId="0" applyNumberFormat="1" applyFont="1" applyFill="1" applyBorder="1" applyAlignment="1">
      <alignment horizontal="center" vertical="top"/>
    </xf>
    <xf numFmtId="164" fontId="1" fillId="5" borderId="54" xfId="0" applyNumberFormat="1" applyFont="1" applyFill="1" applyBorder="1" applyAlignment="1">
      <alignment horizontal="center" vertical="top"/>
    </xf>
    <xf numFmtId="164" fontId="1" fillId="5" borderId="61" xfId="0" applyNumberFormat="1" applyFont="1" applyFill="1" applyBorder="1" applyAlignment="1">
      <alignment horizontal="center" vertical="top"/>
    </xf>
    <xf numFmtId="164" fontId="1" fillId="5" borderId="66" xfId="0" applyNumberFormat="1" applyFont="1" applyFill="1" applyBorder="1" applyAlignment="1">
      <alignment horizontal="center" vertical="top"/>
    </xf>
    <xf numFmtId="164" fontId="1" fillId="5" borderId="39" xfId="0" applyNumberFormat="1" applyFont="1" applyFill="1" applyBorder="1" applyAlignment="1">
      <alignment horizontal="center" vertical="top"/>
    </xf>
    <xf numFmtId="164" fontId="4" fillId="5" borderId="6" xfId="0" applyNumberFormat="1" applyFont="1" applyFill="1" applyBorder="1" applyAlignment="1">
      <alignment horizontal="center" vertical="top" wrapText="1"/>
    </xf>
    <xf numFmtId="0" fontId="4" fillId="7" borderId="31" xfId="0" applyNumberFormat="1" applyFont="1" applyFill="1" applyBorder="1" applyAlignment="1">
      <alignment horizontal="center" vertical="top"/>
    </xf>
    <xf numFmtId="0" fontId="5" fillId="8" borderId="56" xfId="0" applyFont="1" applyFill="1" applyBorder="1" applyAlignment="1">
      <alignment horizontal="center" wrapText="1"/>
    </xf>
    <xf numFmtId="164" fontId="5" fillId="8" borderId="48" xfId="0" applyNumberFormat="1" applyFont="1" applyFill="1" applyBorder="1" applyAlignment="1">
      <alignment horizontal="center"/>
    </xf>
    <xf numFmtId="164" fontId="5" fillId="8" borderId="4" xfId="0" applyNumberFormat="1" applyFont="1" applyFill="1" applyBorder="1" applyAlignment="1">
      <alignment horizontal="center"/>
    </xf>
    <xf numFmtId="164" fontId="5" fillId="8" borderId="46" xfId="0" applyNumberFormat="1" applyFont="1" applyFill="1" applyBorder="1" applyAlignment="1">
      <alignment horizontal="center"/>
    </xf>
    <xf numFmtId="164" fontId="5" fillId="8" borderId="45" xfId="0" applyNumberFormat="1" applyFont="1" applyFill="1" applyBorder="1" applyAlignment="1">
      <alignment horizontal="center"/>
    </xf>
    <xf numFmtId="164" fontId="5" fillId="8" borderId="56" xfId="0" applyNumberFormat="1" applyFont="1" applyFill="1" applyBorder="1" applyAlignment="1">
      <alignment horizontal="center"/>
    </xf>
    <xf numFmtId="164" fontId="1" fillId="7" borderId="39" xfId="0" applyNumberFormat="1" applyFont="1" applyFill="1" applyBorder="1" applyAlignment="1">
      <alignment horizontal="center" vertical="top"/>
    </xf>
    <xf numFmtId="0" fontId="1" fillId="0" borderId="22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39" xfId="0" applyFont="1" applyBorder="1" applyAlignment="1">
      <alignment horizontal="center" vertical="top" wrapText="1"/>
    </xf>
    <xf numFmtId="0" fontId="1" fillId="0" borderId="60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49" fontId="2" fillId="2" borderId="19" xfId="0" applyNumberFormat="1" applyFont="1" applyFill="1" applyBorder="1" applyAlignment="1">
      <alignment vertical="top"/>
    </xf>
    <xf numFmtId="164" fontId="1" fillId="0" borderId="48" xfId="0" applyNumberFormat="1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top"/>
    </xf>
    <xf numFmtId="0" fontId="1" fillId="0" borderId="45" xfId="0" applyFont="1" applyFill="1" applyBorder="1" applyAlignment="1">
      <alignment horizontal="center" vertical="top"/>
    </xf>
    <xf numFmtId="0" fontId="2" fillId="5" borderId="29" xfId="0" applyFont="1" applyFill="1" applyBorder="1" applyAlignment="1">
      <alignment vertical="top" wrapText="1"/>
    </xf>
    <xf numFmtId="0" fontId="2" fillId="0" borderId="66" xfId="0" applyNumberFormat="1" applyFont="1" applyBorder="1" applyAlignment="1">
      <alignment horizontal="center" vertical="top"/>
    </xf>
    <xf numFmtId="164" fontId="1" fillId="5" borderId="13" xfId="0" applyNumberFormat="1" applyFont="1" applyFill="1" applyBorder="1" applyAlignment="1">
      <alignment horizontal="center" vertical="top"/>
    </xf>
    <xf numFmtId="164" fontId="1" fillId="5" borderId="74" xfId="0" applyNumberFormat="1" applyFont="1" applyFill="1" applyBorder="1" applyAlignment="1">
      <alignment horizontal="center" vertical="top"/>
    </xf>
    <xf numFmtId="165" fontId="1" fillId="5" borderId="16" xfId="0" applyNumberFormat="1" applyFont="1" applyFill="1" applyBorder="1" applyAlignment="1">
      <alignment horizontal="center" vertical="top"/>
    </xf>
    <xf numFmtId="0" fontId="1" fillId="5" borderId="13" xfId="0" applyNumberFormat="1" applyFont="1" applyFill="1" applyBorder="1" applyAlignment="1">
      <alignment horizontal="center" vertical="top"/>
    </xf>
    <xf numFmtId="0" fontId="1" fillId="5" borderId="3" xfId="0" applyNumberFormat="1" applyFont="1" applyFill="1" applyBorder="1" applyAlignment="1">
      <alignment horizontal="center" vertical="top"/>
    </xf>
    <xf numFmtId="0" fontId="1" fillId="5" borderId="68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164" fontId="1" fillId="5" borderId="35" xfId="0" applyNumberFormat="1" applyFont="1" applyFill="1" applyBorder="1" applyAlignment="1">
      <alignment horizontal="center" vertical="top"/>
    </xf>
    <xf numFmtId="0" fontId="1" fillId="7" borderId="68" xfId="0" applyNumberFormat="1" applyFont="1" applyFill="1" applyBorder="1" applyAlignment="1">
      <alignment horizontal="center" vertical="top"/>
    </xf>
    <xf numFmtId="0" fontId="1" fillId="7" borderId="53" xfId="0" applyNumberFormat="1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 wrapText="1"/>
    </xf>
    <xf numFmtId="164" fontId="1" fillId="5" borderId="68" xfId="0" applyNumberFormat="1" applyFont="1" applyFill="1" applyBorder="1" applyAlignment="1">
      <alignment horizontal="center" vertical="top"/>
    </xf>
    <xf numFmtId="0" fontId="1" fillId="5" borderId="68" xfId="0" applyNumberFormat="1" applyFont="1" applyFill="1" applyBorder="1" applyAlignment="1">
      <alignment horizontal="center" vertical="top"/>
    </xf>
    <xf numFmtId="0" fontId="1" fillId="5" borderId="26" xfId="0" applyNumberFormat="1" applyFont="1" applyFill="1" applyBorder="1" applyAlignment="1">
      <alignment horizontal="center" vertical="top"/>
    </xf>
    <xf numFmtId="0" fontId="1" fillId="5" borderId="18" xfId="0" applyFont="1" applyFill="1" applyBorder="1" applyAlignment="1">
      <alignment vertical="top" wrapText="1"/>
    </xf>
    <xf numFmtId="164" fontId="1" fillId="5" borderId="18" xfId="0" applyNumberFormat="1" applyFont="1" applyFill="1" applyBorder="1" applyAlignment="1">
      <alignment horizontal="center" vertical="top"/>
    </xf>
    <xf numFmtId="164" fontId="1" fillId="5" borderId="31" xfId="0" applyNumberFormat="1" applyFont="1" applyFill="1" applyBorder="1" applyAlignment="1">
      <alignment horizontal="center" vertical="top"/>
    </xf>
    <xf numFmtId="0" fontId="1" fillId="5" borderId="43" xfId="0" applyNumberFormat="1" applyFont="1" applyFill="1" applyBorder="1" applyAlignment="1">
      <alignment horizontal="center" vertical="top"/>
    </xf>
    <xf numFmtId="0" fontId="1" fillId="5" borderId="15" xfId="0" applyNumberFormat="1" applyFont="1" applyFill="1" applyBorder="1" applyAlignment="1">
      <alignment horizontal="center" vertical="top"/>
    </xf>
    <xf numFmtId="164" fontId="2" fillId="5" borderId="58" xfId="0" applyNumberFormat="1" applyFont="1" applyFill="1" applyBorder="1" applyAlignment="1">
      <alignment horizontal="center" vertical="top"/>
    </xf>
    <xf numFmtId="164" fontId="2" fillId="5" borderId="61" xfId="0" applyNumberFormat="1" applyFont="1" applyFill="1" applyBorder="1" applyAlignment="1">
      <alignment horizontal="center" vertical="top"/>
    </xf>
    <xf numFmtId="0" fontId="1" fillId="7" borderId="2" xfId="0" applyFont="1" applyFill="1" applyBorder="1" applyAlignment="1">
      <alignment horizontal="center" vertical="top"/>
    </xf>
    <xf numFmtId="0" fontId="1" fillId="7" borderId="69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top"/>
    </xf>
    <xf numFmtId="0" fontId="1" fillId="5" borderId="60" xfId="0" applyNumberFormat="1" applyFont="1" applyFill="1" applyBorder="1" applyAlignment="1">
      <alignment horizontal="center" vertical="top"/>
    </xf>
    <xf numFmtId="0" fontId="1" fillId="5" borderId="28" xfId="0" applyNumberFormat="1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/>
    </xf>
    <xf numFmtId="164" fontId="1" fillId="5" borderId="64" xfId="0" applyNumberFormat="1" applyFont="1" applyFill="1" applyBorder="1" applyAlignment="1">
      <alignment horizontal="center" vertical="top"/>
    </xf>
    <xf numFmtId="0" fontId="1" fillId="0" borderId="13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 wrapText="1"/>
    </xf>
    <xf numFmtId="164" fontId="1" fillId="0" borderId="16" xfId="0" applyNumberFormat="1" applyFont="1" applyBorder="1" applyAlignment="1">
      <alignment horizontal="left" vertical="top" wrapText="1"/>
    </xf>
    <xf numFmtId="0" fontId="1" fillId="7" borderId="13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164" fontId="1" fillId="0" borderId="17" xfId="0" applyNumberFormat="1" applyFont="1" applyBorder="1" applyAlignment="1">
      <alignment horizontal="left" vertical="top" wrapText="1"/>
    </xf>
    <xf numFmtId="164" fontId="2" fillId="0" borderId="57" xfId="0" applyNumberFormat="1" applyFont="1" applyFill="1" applyBorder="1" applyAlignment="1">
      <alignment horizontal="center" vertical="top"/>
    </xf>
    <xf numFmtId="165" fontId="4" fillId="5" borderId="41" xfId="0" applyNumberFormat="1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vertical="top" wrapText="1"/>
    </xf>
    <xf numFmtId="0" fontId="5" fillId="0" borderId="18" xfId="0" applyFont="1" applyBorder="1" applyAlignment="1">
      <alignment horizontal="center" vertical="center"/>
    </xf>
    <xf numFmtId="0" fontId="1" fillId="5" borderId="38" xfId="0" applyFont="1" applyFill="1" applyBorder="1" applyAlignment="1">
      <alignment vertical="top" wrapText="1"/>
    </xf>
    <xf numFmtId="0" fontId="1" fillId="5" borderId="20" xfId="0" applyFont="1" applyFill="1" applyBorder="1" applyAlignment="1">
      <alignment vertical="top" wrapText="1"/>
    </xf>
    <xf numFmtId="0" fontId="1" fillId="7" borderId="6" xfId="0" applyFont="1" applyFill="1" applyBorder="1" applyAlignment="1">
      <alignment horizontal="center" vertical="top"/>
    </xf>
    <xf numFmtId="0" fontId="1" fillId="7" borderId="68" xfId="0" applyFont="1" applyFill="1" applyBorder="1" applyAlignment="1">
      <alignment vertical="top" wrapText="1"/>
    </xf>
    <xf numFmtId="0" fontId="5" fillId="7" borderId="13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43" xfId="0" applyFont="1" applyFill="1" applyBorder="1" applyAlignment="1">
      <alignment vertical="top" wrapText="1"/>
    </xf>
    <xf numFmtId="49" fontId="1" fillId="5" borderId="18" xfId="0" applyNumberFormat="1" applyFont="1" applyFill="1" applyBorder="1" applyAlignment="1">
      <alignment horizontal="center" vertical="top" wrapText="1"/>
    </xf>
    <xf numFmtId="49" fontId="1" fillId="5" borderId="0" xfId="0" applyNumberFormat="1" applyFont="1" applyFill="1" applyBorder="1" applyAlignment="1">
      <alignment horizontal="center" vertical="top" wrapText="1"/>
    </xf>
    <xf numFmtId="49" fontId="1" fillId="5" borderId="31" xfId="0" applyNumberFormat="1" applyFont="1" applyFill="1" applyBorder="1" applyAlignment="1">
      <alignment horizontal="center" vertical="top" wrapText="1"/>
    </xf>
    <xf numFmtId="164" fontId="1" fillId="0" borderId="16" xfId="0" applyNumberFormat="1" applyFont="1" applyBorder="1" applyAlignment="1">
      <alignment horizontal="left" vertical="top"/>
    </xf>
    <xf numFmtId="0" fontId="1" fillId="0" borderId="18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164" fontId="1" fillId="0" borderId="41" xfId="0" applyNumberFormat="1" applyFont="1" applyBorder="1" applyAlignment="1">
      <alignment vertical="top" wrapText="1"/>
    </xf>
    <xf numFmtId="0" fontId="1" fillId="0" borderId="18" xfId="0" applyNumberFormat="1" applyFont="1" applyBorder="1" applyAlignment="1">
      <alignment horizontal="center" vertical="top" wrapText="1"/>
    </xf>
    <xf numFmtId="164" fontId="4" fillId="0" borderId="57" xfId="0" applyNumberFormat="1" applyFont="1" applyFill="1" applyBorder="1" applyAlignment="1">
      <alignment horizontal="left" vertical="top" wrapText="1"/>
    </xf>
    <xf numFmtId="164" fontId="1" fillId="0" borderId="38" xfId="0" applyNumberFormat="1" applyFont="1" applyFill="1" applyBorder="1" applyAlignment="1">
      <alignment horizontal="left" vertical="top" wrapText="1"/>
    </xf>
    <xf numFmtId="164" fontId="4" fillId="0" borderId="18" xfId="0" applyNumberFormat="1" applyFont="1" applyFill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top"/>
    </xf>
    <xf numFmtId="164" fontId="1" fillId="0" borderId="7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49" fontId="5" fillId="0" borderId="61" xfId="0" applyNumberFormat="1" applyFont="1" applyBorder="1" applyAlignment="1">
      <alignment horizontal="center" vertical="top"/>
    </xf>
    <xf numFmtId="49" fontId="5" fillId="5" borderId="66" xfId="0" applyNumberFormat="1" applyFont="1" applyFill="1" applyBorder="1" applyAlignment="1">
      <alignment vertical="top"/>
    </xf>
    <xf numFmtId="164" fontId="5" fillId="0" borderId="0" xfId="0" applyNumberFormat="1" applyFont="1" applyBorder="1" applyAlignment="1">
      <alignment vertical="top"/>
    </xf>
    <xf numFmtId="0" fontId="6" fillId="0" borderId="18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center" vertical="top"/>
    </xf>
    <xf numFmtId="164" fontId="4" fillId="0" borderId="17" xfId="0" applyNumberFormat="1" applyFont="1" applyBorder="1" applyAlignment="1">
      <alignment vertical="top" wrapText="1"/>
    </xf>
    <xf numFmtId="0" fontId="4" fillId="0" borderId="42" xfId="0" applyFont="1" applyBorder="1" applyAlignment="1">
      <alignment vertical="top"/>
    </xf>
    <xf numFmtId="0" fontId="4" fillId="0" borderId="58" xfId="0" applyFont="1" applyBorder="1" applyAlignment="1">
      <alignment horizontal="center" vertical="top"/>
    </xf>
    <xf numFmtId="0" fontId="4" fillId="0" borderId="43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164" fontId="4" fillId="5" borderId="63" xfId="0" applyNumberFormat="1" applyFont="1" applyFill="1" applyBorder="1" applyAlignment="1">
      <alignment horizontal="left" vertical="top"/>
    </xf>
    <xf numFmtId="0" fontId="1" fillId="0" borderId="43" xfId="0" applyFont="1" applyFill="1" applyBorder="1" applyAlignment="1">
      <alignment horizontal="center" vertical="top" wrapText="1"/>
    </xf>
    <xf numFmtId="0" fontId="1" fillId="0" borderId="58" xfId="0" applyFont="1" applyFill="1" applyBorder="1" applyAlignment="1">
      <alignment horizontal="center" vertical="top" wrapText="1"/>
    </xf>
    <xf numFmtId="0" fontId="1" fillId="0" borderId="61" xfId="0" applyFont="1" applyFill="1" applyBorder="1" applyAlignment="1">
      <alignment horizontal="center" vertical="top" wrapText="1"/>
    </xf>
    <xf numFmtId="0" fontId="5" fillId="7" borderId="8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center" vertical="top"/>
    </xf>
    <xf numFmtId="0" fontId="4" fillId="5" borderId="62" xfId="0" applyFont="1" applyFill="1" applyBorder="1" applyAlignment="1">
      <alignment horizontal="center" vertical="top"/>
    </xf>
    <xf numFmtId="0" fontId="5" fillId="0" borderId="43" xfId="0" applyFont="1" applyFill="1" applyBorder="1" applyAlignment="1">
      <alignment vertical="top" wrapText="1"/>
    </xf>
    <xf numFmtId="0" fontId="4" fillId="5" borderId="17" xfId="0" applyFont="1" applyFill="1" applyBorder="1" applyAlignment="1">
      <alignment horizontal="center" vertical="top"/>
    </xf>
    <xf numFmtId="0" fontId="4" fillId="5" borderId="61" xfId="0" applyNumberFormat="1" applyFont="1" applyFill="1" applyBorder="1" applyAlignment="1">
      <alignment horizontal="center" vertical="top"/>
    </xf>
    <xf numFmtId="165" fontId="4" fillId="5" borderId="42" xfId="0" applyNumberFormat="1" applyFont="1" applyFill="1" applyBorder="1" applyAlignment="1">
      <alignment vertical="top" wrapText="1"/>
    </xf>
    <xf numFmtId="0" fontId="4" fillId="0" borderId="62" xfId="0" applyFont="1" applyFill="1" applyBorder="1" applyAlignment="1">
      <alignment horizontal="center" vertical="top" wrapText="1"/>
    </xf>
    <xf numFmtId="0" fontId="4" fillId="0" borderId="60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vertical="top" wrapText="1"/>
    </xf>
    <xf numFmtId="164" fontId="4" fillId="0" borderId="41" xfId="0" applyNumberFormat="1" applyFont="1" applyFill="1" applyBorder="1" applyAlignment="1">
      <alignment horizontal="center" vertical="top" wrapText="1"/>
    </xf>
    <xf numFmtId="0" fontId="4" fillId="0" borderId="41" xfId="0" applyFont="1" applyFill="1" applyBorder="1" applyAlignment="1">
      <alignment vertical="top" wrapText="1"/>
    </xf>
    <xf numFmtId="0" fontId="11" fillId="0" borderId="18" xfId="0" applyFont="1" applyBorder="1" applyAlignment="1">
      <alignment vertical="center" textRotation="90"/>
    </xf>
    <xf numFmtId="0" fontId="4" fillId="0" borderId="38" xfId="0" applyFont="1" applyFill="1" applyBorder="1" applyAlignment="1">
      <alignment horizontal="left" vertical="top" wrapText="1"/>
    </xf>
    <xf numFmtId="0" fontId="4" fillId="7" borderId="60" xfId="0" applyFont="1" applyFill="1" applyBorder="1" applyAlignment="1">
      <alignment horizontal="center" vertical="top" wrapText="1"/>
    </xf>
    <xf numFmtId="0" fontId="4" fillId="7" borderId="40" xfId="0" applyFont="1" applyFill="1" applyBorder="1" applyAlignment="1">
      <alignment horizontal="center" wrapText="1"/>
    </xf>
    <xf numFmtId="0" fontId="4" fillId="0" borderId="37" xfId="0" applyFont="1" applyFill="1" applyBorder="1" applyAlignment="1">
      <alignment vertical="top" wrapText="1"/>
    </xf>
    <xf numFmtId="0" fontId="4" fillId="0" borderId="68" xfId="0" applyNumberFormat="1" applyFont="1" applyBorder="1" applyAlignment="1">
      <alignment horizontal="center" vertical="top"/>
    </xf>
    <xf numFmtId="0" fontId="4" fillId="0" borderId="35" xfId="0" applyNumberFormat="1" applyFont="1" applyFill="1" applyBorder="1" applyAlignment="1">
      <alignment horizontal="center" vertical="top"/>
    </xf>
    <xf numFmtId="0" fontId="1" fillId="0" borderId="53" xfId="0" applyNumberFormat="1" applyFont="1" applyBorder="1" applyAlignment="1">
      <alignment horizontal="center" vertical="top"/>
    </xf>
    <xf numFmtId="0" fontId="5" fillId="5" borderId="29" xfId="0" applyFont="1" applyFill="1" applyBorder="1" applyAlignment="1">
      <alignment vertical="top" wrapText="1"/>
    </xf>
    <xf numFmtId="0" fontId="5" fillId="0" borderId="29" xfId="0" applyFont="1" applyFill="1" applyBorder="1" applyAlignment="1">
      <alignment horizontal="center" vertical="center" wrapText="1"/>
    </xf>
    <xf numFmtId="0" fontId="5" fillId="5" borderId="75" xfId="0" applyNumberFormat="1" applyFont="1" applyFill="1" applyBorder="1" applyAlignment="1">
      <alignment horizontal="center" vertical="top"/>
    </xf>
    <xf numFmtId="165" fontId="4" fillId="5" borderId="78" xfId="0" applyNumberFormat="1" applyFont="1" applyFill="1" applyBorder="1" applyAlignment="1">
      <alignment horizontal="left" vertical="top"/>
    </xf>
    <xf numFmtId="0" fontId="4" fillId="0" borderId="29" xfId="0" applyNumberFormat="1" applyFont="1" applyFill="1" applyBorder="1" applyAlignment="1">
      <alignment horizontal="center" vertical="top"/>
    </xf>
    <xf numFmtId="0" fontId="4" fillId="0" borderId="59" xfId="0" applyNumberFormat="1" applyFont="1" applyFill="1" applyBorder="1" applyAlignment="1">
      <alignment horizontal="center" vertical="top"/>
    </xf>
    <xf numFmtId="0" fontId="1" fillId="0" borderId="30" xfId="0" applyNumberFormat="1" applyFont="1" applyBorder="1" applyAlignment="1">
      <alignment horizontal="center" vertical="top"/>
    </xf>
    <xf numFmtId="0" fontId="5" fillId="0" borderId="70" xfId="0" applyNumberFormat="1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2" fillId="8" borderId="48" xfId="0" applyFont="1" applyFill="1" applyBorder="1" applyAlignment="1">
      <alignment horizontal="center" vertical="top" wrapText="1"/>
    </xf>
    <xf numFmtId="1" fontId="4" fillId="0" borderId="67" xfId="0" applyNumberFormat="1" applyFont="1" applyBorder="1" applyAlignment="1">
      <alignment horizontal="center" vertical="top"/>
    </xf>
    <xf numFmtId="1" fontId="4" fillId="0" borderId="63" xfId="0" applyNumberFormat="1" applyFont="1" applyBorder="1" applyAlignment="1">
      <alignment horizontal="center" vertical="top"/>
    </xf>
    <xf numFmtId="1" fontId="4" fillId="0" borderId="17" xfId="0" applyNumberFormat="1" applyFont="1" applyFill="1" applyBorder="1" applyAlignment="1">
      <alignment horizontal="center" vertical="top"/>
    </xf>
    <xf numFmtId="1" fontId="4" fillId="0" borderId="62" xfId="0" applyNumberFormat="1" applyFont="1" applyBorder="1" applyAlignment="1">
      <alignment horizontal="center" vertical="top"/>
    </xf>
    <xf numFmtId="1" fontId="4" fillId="0" borderId="17" xfId="0" applyNumberFormat="1" applyFont="1" applyBorder="1" applyAlignment="1">
      <alignment horizontal="center" vertical="top"/>
    </xf>
    <xf numFmtId="1" fontId="5" fillId="7" borderId="17" xfId="0" applyNumberFormat="1" applyFont="1" applyFill="1" applyBorder="1" applyAlignment="1">
      <alignment horizontal="center" vertical="top"/>
    </xf>
    <xf numFmtId="1" fontId="4" fillId="7" borderId="17" xfId="0" applyNumberFormat="1" applyFont="1" applyFill="1" applyBorder="1" applyAlignment="1">
      <alignment horizontal="center" vertical="top"/>
    </xf>
    <xf numFmtId="1" fontId="5" fillId="7" borderId="63" xfId="0" applyNumberFormat="1" applyFont="1" applyFill="1" applyBorder="1" applyAlignment="1">
      <alignment horizontal="center" vertical="top"/>
    </xf>
    <xf numFmtId="1" fontId="4" fillId="0" borderId="63" xfId="0" applyNumberFormat="1" applyFont="1" applyFill="1" applyBorder="1" applyAlignment="1">
      <alignment horizontal="center" vertical="top"/>
    </xf>
    <xf numFmtId="1" fontId="4" fillId="7" borderId="63" xfId="0" applyNumberFormat="1" applyFont="1" applyFill="1" applyBorder="1" applyAlignment="1">
      <alignment horizontal="center" vertical="top"/>
    </xf>
    <xf numFmtId="1" fontId="1" fillId="7" borderId="62" xfId="0" applyNumberFormat="1" applyFont="1" applyFill="1" applyBorder="1" applyAlignment="1">
      <alignment horizontal="center" vertical="top"/>
    </xf>
    <xf numFmtId="1" fontId="5" fillId="8" borderId="48" xfId="0" applyNumberFormat="1" applyFont="1" applyFill="1" applyBorder="1" applyAlignment="1">
      <alignment horizontal="center" vertical="top" wrapText="1"/>
    </xf>
    <xf numFmtId="1" fontId="4" fillId="0" borderId="16" xfId="0" applyNumberFormat="1" applyFont="1" applyBorder="1" applyAlignment="1">
      <alignment horizontal="center" vertical="top"/>
    </xf>
    <xf numFmtId="1" fontId="4" fillId="0" borderId="16" xfId="0" applyNumberFormat="1" applyFont="1" applyFill="1" applyBorder="1" applyAlignment="1">
      <alignment horizontal="center" vertical="top" wrapText="1"/>
    </xf>
    <xf numFmtId="1" fontId="5" fillId="8" borderId="48" xfId="0" applyNumberFormat="1" applyFont="1" applyFill="1" applyBorder="1" applyAlignment="1">
      <alignment horizontal="center" wrapText="1"/>
    </xf>
    <xf numFmtId="1" fontId="5" fillId="8" borderId="46" xfId="0" applyNumberFormat="1" applyFont="1" applyFill="1" applyBorder="1" applyAlignment="1">
      <alignment horizontal="center" vertical="top" wrapText="1"/>
    </xf>
    <xf numFmtId="1" fontId="4" fillId="0" borderId="3" xfId="0" applyNumberFormat="1" applyFont="1" applyFill="1" applyBorder="1" applyAlignment="1">
      <alignment horizontal="center" vertical="top" wrapText="1"/>
    </xf>
    <xf numFmtId="1" fontId="4" fillId="0" borderId="67" xfId="0" applyNumberFormat="1" applyFont="1" applyFill="1" applyBorder="1" applyAlignment="1">
      <alignment horizontal="center" vertical="top"/>
    </xf>
    <xf numFmtId="1" fontId="4" fillId="0" borderId="62" xfId="0" applyNumberFormat="1" applyFont="1" applyFill="1" applyBorder="1" applyAlignment="1">
      <alignment horizontal="center" vertical="top"/>
    </xf>
    <xf numFmtId="1" fontId="5" fillId="8" borderId="67" xfId="0" applyNumberFormat="1" applyFont="1" applyFill="1" applyBorder="1" applyAlignment="1">
      <alignment horizontal="center" vertical="top"/>
    </xf>
    <xf numFmtId="1" fontId="4" fillId="5" borderId="62" xfId="0" applyNumberFormat="1" applyFont="1" applyFill="1" applyBorder="1" applyAlignment="1">
      <alignment horizontal="center" vertical="top"/>
    </xf>
    <xf numFmtId="1" fontId="4" fillId="5" borderId="17" xfId="0" applyNumberFormat="1" applyFont="1" applyFill="1" applyBorder="1" applyAlignment="1">
      <alignment horizontal="center" vertical="top"/>
    </xf>
    <xf numFmtId="1" fontId="4" fillId="5" borderId="63" xfId="0" applyNumberFormat="1" applyFont="1" applyFill="1" applyBorder="1" applyAlignment="1">
      <alignment horizontal="center" vertical="top"/>
    </xf>
    <xf numFmtId="1" fontId="4" fillId="0" borderId="62" xfId="0" applyNumberFormat="1" applyFont="1" applyFill="1" applyBorder="1" applyAlignment="1">
      <alignment horizontal="center" vertical="top" wrapText="1"/>
    </xf>
    <xf numFmtId="1" fontId="5" fillId="8" borderId="62" xfId="0" applyNumberFormat="1" applyFont="1" applyFill="1" applyBorder="1" applyAlignment="1">
      <alignment horizontal="center" vertical="top" wrapText="1"/>
    </xf>
    <xf numFmtId="1" fontId="4" fillId="5" borderId="67" xfId="0" applyNumberFormat="1" applyFont="1" applyFill="1" applyBorder="1" applyAlignment="1">
      <alignment horizontal="center" vertical="top" wrapText="1"/>
    </xf>
    <xf numFmtId="1" fontId="4" fillId="5" borderId="62" xfId="0" applyNumberFormat="1" applyFont="1" applyFill="1" applyBorder="1" applyAlignment="1">
      <alignment horizontal="center" vertical="top" wrapText="1"/>
    </xf>
    <xf numFmtId="1" fontId="5" fillId="8" borderId="6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78" xfId="0" applyNumberFormat="1" applyFont="1" applyFill="1" applyBorder="1" applyAlignment="1">
      <alignment horizontal="center" vertical="top" wrapText="1"/>
    </xf>
    <xf numFmtId="1" fontId="4" fillId="0" borderId="63" xfId="0" applyNumberFormat="1" applyFont="1" applyFill="1" applyBorder="1" applyAlignment="1">
      <alignment horizontal="center" vertical="top" wrapText="1"/>
    </xf>
    <xf numFmtId="1" fontId="5" fillId="8" borderId="57" xfId="0" applyNumberFormat="1" applyFont="1" applyFill="1" applyBorder="1" applyAlignment="1">
      <alignment horizontal="center" vertical="top" wrapText="1"/>
    </xf>
    <xf numFmtId="1" fontId="1" fillId="0" borderId="16" xfId="0" applyNumberFormat="1" applyFont="1" applyBorder="1" applyAlignment="1">
      <alignment horizontal="center" vertical="top"/>
    </xf>
    <xf numFmtId="1" fontId="1" fillId="0" borderId="17" xfId="0" applyNumberFormat="1" applyFont="1" applyBorder="1" applyAlignment="1">
      <alignment horizontal="center" vertical="top"/>
    </xf>
    <xf numFmtId="1" fontId="2" fillId="8" borderId="48" xfId="0" applyNumberFormat="1" applyFont="1" applyFill="1" applyBorder="1" applyAlignment="1">
      <alignment horizontal="center" vertical="top" wrapText="1"/>
    </xf>
    <xf numFmtId="1" fontId="1" fillId="0" borderId="16" xfId="0" applyNumberFormat="1" applyFont="1" applyFill="1" applyBorder="1" applyAlignment="1">
      <alignment horizontal="center" vertical="top" wrapText="1"/>
    </xf>
    <xf numFmtId="1" fontId="1" fillId="0" borderId="67" xfId="0" applyNumberFormat="1" applyFont="1" applyFill="1" applyBorder="1" applyAlignment="1">
      <alignment horizontal="center" vertical="top" wrapText="1"/>
    </xf>
    <xf numFmtId="1" fontId="1" fillId="0" borderId="63" xfId="0" applyNumberFormat="1" applyFont="1" applyFill="1" applyBorder="1" applyAlignment="1">
      <alignment horizontal="center" vertical="top" wrapText="1"/>
    </xf>
    <xf numFmtId="1" fontId="1" fillId="0" borderId="17" xfId="0" applyNumberFormat="1" applyFont="1" applyFill="1" applyBorder="1" applyAlignment="1">
      <alignment horizontal="center" vertical="top" wrapText="1"/>
    </xf>
    <xf numFmtId="1" fontId="1" fillId="7" borderId="67" xfId="0" applyNumberFormat="1" applyFont="1" applyFill="1" applyBorder="1" applyAlignment="1">
      <alignment horizontal="center" vertical="top"/>
    </xf>
    <xf numFmtId="1" fontId="1" fillId="7" borderId="63" xfId="0" applyNumberFormat="1" applyFont="1" applyFill="1" applyBorder="1" applyAlignment="1">
      <alignment horizontal="center" vertical="top"/>
    </xf>
    <xf numFmtId="1" fontId="1" fillId="0" borderId="59" xfId="0" applyNumberFormat="1" applyFont="1" applyBorder="1" applyAlignment="1">
      <alignment horizontal="center" vertical="top"/>
    </xf>
    <xf numFmtId="1" fontId="2" fillId="8" borderId="27" xfId="0" applyNumberFormat="1" applyFont="1" applyFill="1" applyBorder="1" applyAlignment="1">
      <alignment horizontal="center" vertical="top" wrapText="1"/>
    </xf>
    <xf numFmtId="1" fontId="4" fillId="0" borderId="0" xfId="0" applyNumberFormat="1" applyFont="1" applyAlignment="1">
      <alignment horizontal="center" vertical="top"/>
    </xf>
    <xf numFmtId="1" fontId="4" fillId="0" borderId="0" xfId="0" applyNumberFormat="1" applyFont="1" applyBorder="1" applyAlignment="1">
      <alignment horizontal="center" vertical="top"/>
    </xf>
    <xf numFmtId="1" fontId="2" fillId="2" borderId="55" xfId="0" applyNumberFormat="1" applyFont="1" applyFill="1" applyBorder="1" applyAlignment="1">
      <alignment horizontal="center" vertical="top"/>
    </xf>
    <xf numFmtId="1" fontId="5" fillId="2" borderId="55" xfId="0" applyNumberFormat="1" applyFont="1" applyFill="1" applyBorder="1" applyAlignment="1">
      <alignment horizontal="center" vertical="top"/>
    </xf>
    <xf numFmtId="1" fontId="2" fillId="4" borderId="3" xfId="0" applyNumberFormat="1" applyFont="1" applyFill="1" applyBorder="1" applyAlignment="1">
      <alignment horizontal="center" vertical="top" wrapText="1"/>
    </xf>
    <xf numFmtId="1" fontId="1" fillId="0" borderId="35" xfId="0" applyNumberFormat="1" applyFont="1" applyBorder="1" applyAlignment="1">
      <alignment horizontal="center" vertical="top" wrapText="1"/>
    </xf>
    <xf numFmtId="1" fontId="2" fillId="4" borderId="55" xfId="0" applyNumberFormat="1" applyFont="1" applyFill="1" applyBorder="1" applyAlignment="1">
      <alignment horizontal="center" vertical="top" wrapText="1"/>
    </xf>
    <xf numFmtId="1" fontId="1" fillId="5" borderId="58" xfId="0" applyNumberFormat="1" applyFont="1" applyFill="1" applyBorder="1" applyAlignment="1">
      <alignment horizontal="center" vertical="top" wrapText="1"/>
    </xf>
    <xf numFmtId="1" fontId="1" fillId="5" borderId="35" xfId="0" applyNumberFormat="1" applyFont="1" applyFill="1" applyBorder="1" applyAlignment="1">
      <alignment horizontal="center" vertical="top" wrapText="1"/>
    </xf>
    <xf numFmtId="1" fontId="2" fillId="8" borderId="55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/>
    </xf>
    <xf numFmtId="1" fontId="4" fillId="0" borderId="10" xfId="0" applyNumberFormat="1" applyFont="1" applyBorder="1" applyAlignment="1">
      <alignment horizontal="center" vertical="top"/>
    </xf>
    <xf numFmtId="1" fontId="2" fillId="3" borderId="23" xfId="0" applyNumberFormat="1" applyFont="1" applyFill="1" applyBorder="1" applyAlignment="1">
      <alignment horizontal="center" vertical="top"/>
    </xf>
    <xf numFmtId="1" fontId="2" fillId="4" borderId="50" xfId="0" applyNumberFormat="1" applyFont="1" applyFill="1" applyBorder="1" applyAlignment="1">
      <alignment horizontal="center" vertical="top"/>
    </xf>
    <xf numFmtId="0" fontId="1" fillId="0" borderId="63" xfId="0" applyFont="1" applyBorder="1" applyAlignment="1">
      <alignment horizontal="center" vertical="top"/>
    </xf>
    <xf numFmtId="1" fontId="5" fillId="8" borderId="56" xfId="0" applyNumberFormat="1" applyFont="1" applyFill="1" applyBorder="1" applyAlignment="1">
      <alignment horizontal="center" vertical="top" wrapText="1"/>
    </xf>
    <xf numFmtId="1" fontId="1" fillId="0" borderId="10" xfId="0" applyNumberFormat="1" applyFont="1" applyBorder="1" applyAlignment="1">
      <alignment horizontal="center" vertical="top"/>
    </xf>
    <xf numFmtId="1" fontId="2" fillId="8" borderId="56" xfId="0" applyNumberFormat="1" applyFont="1" applyFill="1" applyBorder="1" applyAlignment="1">
      <alignment horizontal="center" vertical="top" wrapText="1"/>
    </xf>
    <xf numFmtId="1" fontId="2" fillId="2" borderId="23" xfId="0" applyNumberFormat="1" applyFont="1" applyFill="1" applyBorder="1" applyAlignment="1">
      <alignment horizontal="center" vertical="top"/>
    </xf>
    <xf numFmtId="164" fontId="4" fillId="5" borderId="74" xfId="0" applyNumberFormat="1" applyFont="1" applyFill="1" applyBorder="1" applyAlignment="1">
      <alignment horizontal="center" vertical="top"/>
    </xf>
    <xf numFmtId="1" fontId="14" fillId="0" borderId="17" xfId="0" applyNumberFormat="1" applyFont="1" applyFill="1" applyBorder="1" applyAlignment="1">
      <alignment horizontal="center" vertical="top"/>
    </xf>
    <xf numFmtId="1" fontId="14" fillId="7" borderId="3" xfId="0" applyNumberFormat="1" applyFont="1" applyFill="1" applyBorder="1" applyAlignment="1">
      <alignment horizontal="center" vertical="top" wrapText="1"/>
    </xf>
    <xf numFmtId="0" fontId="1" fillId="0" borderId="38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center" textRotation="90" wrapText="1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5" fillId="8" borderId="51" xfId="0" applyFont="1" applyFill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0" fontId="1" fillId="5" borderId="42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left" vertical="top" wrapText="1"/>
    </xf>
    <xf numFmtId="49" fontId="2" fillId="3" borderId="41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49" fontId="5" fillId="2" borderId="18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164" fontId="1" fillId="0" borderId="20" xfId="0" applyNumberFormat="1" applyFont="1" applyBorder="1" applyAlignment="1">
      <alignment horizontal="left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0" fontId="1" fillId="0" borderId="39" xfId="0" applyFont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64" fontId="1" fillId="0" borderId="41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1" fillId="0" borderId="60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60" xfId="0" applyFont="1" applyFill="1" applyBorder="1" applyAlignment="1">
      <alignment horizontal="center" vertical="top" wrapText="1"/>
    </xf>
    <xf numFmtId="0" fontId="2" fillId="0" borderId="60" xfId="0" applyFont="1" applyFill="1" applyBorder="1" applyAlignment="1">
      <alignment horizontal="center" vertical="center" textRotation="90" wrapText="1"/>
    </xf>
    <xf numFmtId="0" fontId="2" fillId="0" borderId="44" xfId="0" applyNumberFormat="1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 wrapText="1"/>
    </xf>
    <xf numFmtId="0" fontId="1" fillId="5" borderId="41" xfId="0" applyFont="1" applyFill="1" applyBorder="1" applyAlignment="1">
      <alignment horizontal="left" vertical="top"/>
    </xf>
    <xf numFmtId="0" fontId="1" fillId="7" borderId="18" xfId="0" applyNumberFormat="1" applyFont="1" applyFill="1" applyBorder="1" applyAlignment="1">
      <alignment horizontal="center" vertical="top"/>
    </xf>
    <xf numFmtId="0" fontId="1" fillId="7" borderId="31" xfId="0" applyNumberFormat="1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vertical="top" wrapText="1"/>
    </xf>
    <xf numFmtId="0" fontId="2" fillId="0" borderId="39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0" fontId="1" fillId="0" borderId="38" xfId="0" applyFont="1" applyBorder="1" applyAlignment="1">
      <alignment horizontal="left" vertical="top" wrapText="1"/>
    </xf>
    <xf numFmtId="0" fontId="1" fillId="0" borderId="40" xfId="0" applyFont="1" applyFill="1" applyBorder="1" applyAlignment="1">
      <alignment horizontal="center" vertical="top" wrapText="1"/>
    </xf>
    <xf numFmtId="164" fontId="4" fillId="0" borderId="62" xfId="0" applyNumberFormat="1" applyFont="1" applyBorder="1" applyAlignment="1">
      <alignment horizontal="left" vertical="top" wrapText="1"/>
    </xf>
    <xf numFmtId="0" fontId="1" fillId="5" borderId="38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center" vertical="center" textRotation="90" wrapText="1"/>
    </xf>
    <xf numFmtId="49" fontId="1" fillId="7" borderId="31" xfId="0" applyNumberFormat="1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1" fontId="4" fillId="0" borderId="55" xfId="0" applyNumberFormat="1" applyFont="1" applyBorder="1" applyAlignment="1">
      <alignment horizontal="center" vertical="center" wrapText="1"/>
    </xf>
    <xf numFmtId="1" fontId="4" fillId="0" borderId="67" xfId="0" applyNumberFormat="1" applyFont="1" applyFill="1" applyBorder="1" applyAlignment="1">
      <alignment horizontal="center" vertical="top" wrapText="1"/>
    </xf>
    <xf numFmtId="164" fontId="2" fillId="7" borderId="0" xfId="0" applyNumberFormat="1" applyFont="1" applyFill="1" applyBorder="1" applyAlignment="1">
      <alignment horizontal="center" vertical="top"/>
    </xf>
    <xf numFmtId="49" fontId="2" fillId="7" borderId="3" xfId="0" applyNumberFormat="1" applyFont="1" applyFill="1" applyBorder="1" applyAlignment="1">
      <alignment horizontal="center" vertical="top"/>
    </xf>
    <xf numFmtId="49" fontId="2" fillId="7" borderId="3" xfId="0" applyNumberFormat="1" applyFont="1" applyFill="1" applyBorder="1" applyAlignment="1">
      <alignment horizontal="right" vertical="top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center" vertical="top"/>
    </xf>
    <xf numFmtId="164" fontId="1" fillId="8" borderId="37" xfId="0" applyNumberFormat="1" applyFont="1" applyFill="1" applyBorder="1" applyAlignment="1">
      <alignment horizontal="center" vertical="top"/>
    </xf>
    <xf numFmtId="164" fontId="13" fillId="8" borderId="38" xfId="0" applyNumberFormat="1" applyFont="1" applyFill="1" applyBorder="1" applyAlignment="1">
      <alignment horizontal="center" vertical="top"/>
    </xf>
    <xf numFmtId="164" fontId="13" fillId="0" borderId="60" xfId="0" applyNumberFormat="1" applyFont="1" applyBorder="1" applyAlignment="1">
      <alignment horizontal="center" vertical="top"/>
    </xf>
    <xf numFmtId="164" fontId="1" fillId="0" borderId="40" xfId="0" applyNumberFormat="1" applyFont="1" applyBorder="1" applyAlignment="1">
      <alignment horizontal="center" vertical="top"/>
    </xf>
    <xf numFmtId="164" fontId="1" fillId="0" borderId="6" xfId="0" applyNumberFormat="1" applyFont="1" applyBorder="1" applyAlignment="1">
      <alignment horizontal="center" vertical="top"/>
    </xf>
    <xf numFmtId="164" fontId="1" fillId="0" borderId="18" xfId="0" applyNumberFormat="1" applyFont="1" applyBorder="1" applyAlignment="1">
      <alignment horizontal="center" vertical="top"/>
    </xf>
    <xf numFmtId="164" fontId="1" fillId="0" borderId="31" xfId="0" applyNumberFormat="1" applyFont="1" applyBorder="1" applyAlignment="1">
      <alignment horizontal="center" vertical="top"/>
    </xf>
    <xf numFmtId="164" fontId="13" fillId="8" borderId="41" xfId="0" applyNumberFormat="1" applyFont="1" applyFill="1" applyBorder="1" applyAlignment="1">
      <alignment horizontal="center" vertical="top"/>
    </xf>
    <xf numFmtId="164" fontId="13" fillId="0" borderId="18" xfId="0" applyNumberFormat="1" applyFont="1" applyFill="1" applyBorder="1" applyAlignment="1">
      <alignment horizontal="center" vertical="top"/>
    </xf>
    <xf numFmtId="164" fontId="13" fillId="0" borderId="31" xfId="0" applyNumberFormat="1" applyFont="1" applyFill="1" applyBorder="1" applyAlignment="1">
      <alignment horizontal="center" vertical="top"/>
    </xf>
    <xf numFmtId="164" fontId="14" fillId="8" borderId="41" xfId="0" applyNumberFormat="1" applyFont="1" applyFill="1" applyBorder="1" applyAlignment="1">
      <alignment horizontal="center" vertical="top"/>
    </xf>
    <xf numFmtId="164" fontId="14" fillId="7" borderId="18" xfId="0" applyNumberFormat="1" applyFont="1" applyFill="1" applyBorder="1" applyAlignment="1">
      <alignment horizontal="center" vertical="top"/>
    </xf>
    <xf numFmtId="164" fontId="14" fillId="7" borderId="31" xfId="0" applyNumberFormat="1" applyFont="1" applyFill="1" applyBorder="1" applyAlignment="1">
      <alignment horizontal="center" vertical="top"/>
    </xf>
    <xf numFmtId="164" fontId="5" fillId="7" borderId="69" xfId="0" applyNumberFormat="1" applyFont="1" applyFill="1" applyBorder="1" applyAlignment="1">
      <alignment horizontal="center" vertical="top"/>
    </xf>
    <xf numFmtId="164" fontId="5" fillId="7" borderId="7" xfId="0" applyNumberFormat="1" applyFont="1" applyFill="1" applyBorder="1" applyAlignment="1">
      <alignment horizontal="center" vertical="top"/>
    </xf>
    <xf numFmtId="164" fontId="5" fillId="7" borderId="8" xfId="0" applyNumberFormat="1" applyFont="1" applyFill="1" applyBorder="1" applyAlignment="1">
      <alignment horizontal="center" vertical="top"/>
    </xf>
    <xf numFmtId="164" fontId="5" fillId="7" borderId="0" xfId="0" applyNumberFormat="1" applyFont="1" applyFill="1" applyBorder="1" applyAlignment="1">
      <alignment horizontal="center" vertical="top"/>
    </xf>
    <xf numFmtId="164" fontId="4" fillId="7" borderId="60" xfId="0" applyNumberFormat="1" applyFont="1" applyFill="1" applyBorder="1" applyAlignment="1">
      <alignment horizontal="center"/>
    </xf>
    <xf numFmtId="164" fontId="1" fillId="0" borderId="28" xfId="0" applyNumberFormat="1" applyFont="1" applyBorder="1" applyAlignment="1">
      <alignment horizontal="center" vertical="top"/>
    </xf>
    <xf numFmtId="164" fontId="1" fillId="0" borderId="62" xfId="0" applyNumberFormat="1" applyFont="1" applyBorder="1" applyAlignment="1">
      <alignment horizontal="center" vertical="top"/>
    </xf>
    <xf numFmtId="164" fontId="5" fillId="7" borderId="58" xfId="0" applyNumberFormat="1" applyFont="1" applyFill="1" applyBorder="1" applyAlignment="1">
      <alignment horizontal="center" vertical="top"/>
    </xf>
    <xf numFmtId="164" fontId="5" fillId="7" borderId="43" xfId="0" applyNumberFormat="1" applyFont="1" applyFill="1" applyBorder="1" applyAlignment="1">
      <alignment horizontal="center" vertical="top"/>
    </xf>
    <xf numFmtId="164" fontId="5" fillId="7" borderId="15" xfId="0" applyNumberFormat="1" applyFont="1" applyFill="1" applyBorder="1" applyAlignment="1">
      <alignment horizontal="center" vertical="top"/>
    </xf>
    <xf numFmtId="164" fontId="5" fillId="7" borderId="5" xfId="0" applyNumberFormat="1" applyFont="1" applyFill="1" applyBorder="1" applyAlignment="1">
      <alignment horizontal="center" vertical="top"/>
    </xf>
    <xf numFmtId="164" fontId="1" fillId="8" borderId="38" xfId="0" applyNumberFormat="1" applyFont="1" applyFill="1" applyBorder="1" applyAlignment="1">
      <alignment horizontal="center" vertical="top"/>
    </xf>
    <xf numFmtId="164" fontId="1" fillId="7" borderId="60" xfId="0" applyNumberFormat="1" applyFont="1" applyFill="1" applyBorder="1" applyAlignment="1">
      <alignment horizontal="center" vertical="top"/>
    </xf>
    <xf numFmtId="164" fontId="1" fillId="7" borderId="28" xfId="0" applyNumberFormat="1" applyFont="1" applyFill="1" applyBorder="1" applyAlignment="1">
      <alignment horizontal="center" vertical="top"/>
    </xf>
    <xf numFmtId="164" fontId="4" fillId="7" borderId="8" xfId="0" applyNumberFormat="1" applyFont="1" applyFill="1" applyBorder="1" applyAlignment="1">
      <alignment horizontal="center" vertical="top"/>
    </xf>
    <xf numFmtId="164" fontId="1" fillId="8" borderId="62" xfId="0" applyNumberFormat="1" applyFont="1" applyFill="1" applyBorder="1" applyAlignment="1">
      <alignment horizontal="center" vertical="top"/>
    </xf>
    <xf numFmtId="164" fontId="4" fillId="0" borderId="69" xfId="0" applyNumberFormat="1" applyFont="1" applyFill="1" applyBorder="1" applyAlignment="1">
      <alignment horizontal="center" vertical="top"/>
    </xf>
    <xf numFmtId="164" fontId="5" fillId="7" borderId="18" xfId="0" applyNumberFormat="1" applyFont="1" applyFill="1" applyBorder="1" applyAlignment="1">
      <alignment horizontal="center" vertical="top"/>
    </xf>
    <xf numFmtId="164" fontId="2" fillId="7" borderId="72" xfId="0" applyNumberFormat="1" applyFont="1" applyFill="1" applyBorder="1" applyAlignment="1">
      <alignment horizontal="center" vertical="top"/>
    </xf>
    <xf numFmtId="164" fontId="2" fillId="7" borderId="40" xfId="0" applyNumberFormat="1" applyFont="1" applyFill="1" applyBorder="1" applyAlignment="1">
      <alignment horizontal="center" vertical="top"/>
    </xf>
    <xf numFmtId="164" fontId="5" fillId="2" borderId="23" xfId="0" applyNumberFormat="1" applyFont="1" applyFill="1" applyBorder="1" applyAlignment="1">
      <alignment horizontal="center" vertical="top"/>
    </xf>
    <xf numFmtId="164" fontId="5" fillId="3" borderId="23" xfId="0" applyNumberFormat="1" applyFont="1" applyFill="1" applyBorder="1" applyAlignment="1">
      <alignment horizontal="center" vertical="top"/>
    </xf>
    <xf numFmtId="164" fontId="4" fillId="5" borderId="15" xfId="0" applyNumberFormat="1" applyFont="1" applyFill="1" applyBorder="1" applyAlignment="1">
      <alignment horizontal="center" vertical="top"/>
    </xf>
    <xf numFmtId="164" fontId="4" fillId="5" borderId="27" xfId="0" applyNumberFormat="1" applyFont="1" applyFill="1" applyBorder="1" applyAlignment="1">
      <alignment horizontal="center" vertical="top"/>
    </xf>
    <xf numFmtId="164" fontId="4" fillId="5" borderId="28" xfId="0" applyNumberFormat="1" applyFont="1" applyFill="1" applyBorder="1" applyAlignment="1">
      <alignment horizontal="center" vertical="top"/>
    </xf>
    <xf numFmtId="164" fontId="1" fillId="5" borderId="59" xfId="0" applyNumberFormat="1" applyFont="1" applyFill="1" applyBorder="1" applyAlignment="1">
      <alignment horizontal="center" vertical="top"/>
    </xf>
    <xf numFmtId="164" fontId="1" fillId="5" borderId="77" xfId="0" applyNumberFormat="1" applyFont="1" applyFill="1" applyBorder="1" applyAlignment="1">
      <alignment horizontal="center" vertical="top"/>
    </xf>
    <xf numFmtId="164" fontId="4" fillId="5" borderId="8" xfId="0" applyNumberFormat="1" applyFont="1" applyFill="1" applyBorder="1" applyAlignment="1">
      <alignment horizontal="center" vertical="top" wrapText="1"/>
    </xf>
    <xf numFmtId="164" fontId="5" fillId="2" borderId="79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vertical="top"/>
    </xf>
    <xf numFmtId="164" fontId="1" fillId="8" borderId="9" xfId="0" applyNumberFormat="1" applyFont="1" applyFill="1" applyBorder="1" applyAlignment="1">
      <alignment horizontal="center" vertical="top"/>
    </xf>
    <xf numFmtId="164" fontId="4" fillId="0" borderId="23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textRotation="90" wrapText="1"/>
    </xf>
    <xf numFmtId="3" fontId="1" fillId="8" borderId="37" xfId="0" applyNumberFormat="1" applyFont="1" applyFill="1" applyBorder="1" applyAlignment="1">
      <alignment horizontal="center" vertical="top"/>
    </xf>
    <xf numFmtId="3" fontId="4" fillId="0" borderId="63" xfId="0" applyNumberFormat="1" applyFont="1" applyBorder="1" applyAlignment="1">
      <alignment horizontal="center" vertical="top"/>
    </xf>
    <xf numFmtId="3" fontId="1" fillId="0" borderId="43" xfId="0" applyNumberFormat="1" applyFont="1" applyFill="1" applyBorder="1" applyAlignment="1">
      <alignment horizontal="center" vertical="top"/>
    </xf>
    <xf numFmtId="3" fontId="1" fillId="0" borderId="61" xfId="0" applyNumberFormat="1" applyFont="1" applyFill="1" applyBorder="1" applyAlignment="1">
      <alignment horizontal="center" vertical="top"/>
    </xf>
    <xf numFmtId="3" fontId="1" fillId="8" borderId="38" xfId="0" applyNumberFormat="1" applyFont="1" applyFill="1" applyBorder="1" applyAlignment="1">
      <alignment horizontal="center" vertical="top"/>
    </xf>
    <xf numFmtId="3" fontId="1" fillId="7" borderId="60" xfId="0" applyNumberFormat="1" applyFont="1" applyFill="1" applyBorder="1" applyAlignment="1">
      <alignment horizontal="center" vertical="top"/>
    </xf>
    <xf numFmtId="3" fontId="1" fillId="7" borderId="40" xfId="0" applyNumberFormat="1" applyFont="1" applyFill="1" applyBorder="1" applyAlignment="1">
      <alignment horizontal="center" vertical="top"/>
    </xf>
    <xf numFmtId="3" fontId="4" fillId="0" borderId="62" xfId="0" applyNumberFormat="1" applyFont="1" applyFill="1" applyBorder="1" applyAlignment="1">
      <alignment horizontal="center" vertical="top"/>
    </xf>
    <xf numFmtId="3" fontId="4" fillId="0" borderId="6" xfId="0" applyNumberFormat="1" applyFont="1" applyFill="1" applyBorder="1" applyAlignment="1">
      <alignment horizontal="center" vertical="top"/>
    </xf>
    <xf numFmtId="3" fontId="4" fillId="0" borderId="17" xfId="0" applyNumberFormat="1" applyFont="1" applyBorder="1" applyAlignment="1">
      <alignment horizontal="center" vertical="top"/>
    </xf>
    <xf numFmtId="3" fontId="1" fillId="0" borderId="31" xfId="0" applyNumberFormat="1" applyFont="1" applyBorder="1" applyAlignment="1">
      <alignment horizontal="center" vertical="top"/>
    </xf>
    <xf numFmtId="3" fontId="1" fillId="0" borderId="8" xfId="0" applyNumberFormat="1" applyFont="1" applyBorder="1" applyAlignment="1">
      <alignment horizontal="center" vertical="top"/>
    </xf>
    <xf numFmtId="3" fontId="4" fillId="8" borderId="41" xfId="0" applyNumberFormat="1" applyFont="1" applyFill="1" applyBorder="1" applyAlignment="1">
      <alignment horizontal="center" vertical="top"/>
    </xf>
    <xf numFmtId="3" fontId="4" fillId="7" borderId="18" xfId="0" applyNumberFormat="1" applyFont="1" applyFill="1" applyBorder="1" applyAlignment="1">
      <alignment horizontal="center" vertical="top"/>
    </xf>
    <xf numFmtId="3" fontId="1" fillId="0" borderId="18" xfId="0" applyNumberFormat="1" applyFont="1" applyBorder="1" applyAlignment="1">
      <alignment horizontal="center" vertical="top"/>
    </xf>
    <xf numFmtId="3" fontId="1" fillId="0" borderId="7" xfId="0" applyNumberFormat="1" applyFont="1" applyBorder="1" applyAlignment="1">
      <alignment horizontal="center" vertical="top"/>
    </xf>
    <xf numFmtId="3" fontId="1" fillId="0" borderId="8" xfId="0" applyNumberFormat="1" applyFont="1" applyFill="1" applyBorder="1" applyAlignment="1">
      <alignment horizontal="center" vertical="top"/>
    </xf>
    <xf numFmtId="3" fontId="4" fillId="0" borderId="17" xfId="0" applyNumberFormat="1" applyFont="1" applyFill="1" applyBorder="1" applyAlignment="1">
      <alignment horizontal="center" vertical="top"/>
    </xf>
    <xf numFmtId="3" fontId="1" fillId="7" borderId="8" xfId="0" applyNumberFormat="1" applyFont="1" applyFill="1" applyBorder="1" applyAlignment="1">
      <alignment horizontal="center" vertical="top"/>
    </xf>
    <xf numFmtId="3" fontId="5" fillId="7" borderId="17" xfId="0" applyNumberFormat="1" applyFont="1" applyFill="1" applyBorder="1" applyAlignment="1">
      <alignment horizontal="center" vertical="top"/>
    </xf>
    <xf numFmtId="3" fontId="5" fillId="8" borderId="41" xfId="0" applyNumberFormat="1" applyFont="1" applyFill="1" applyBorder="1" applyAlignment="1">
      <alignment horizontal="center" vertical="top"/>
    </xf>
    <xf numFmtId="3" fontId="5" fillId="7" borderId="69" xfId="0" applyNumberFormat="1" applyFont="1" applyFill="1" applyBorder="1" applyAlignment="1">
      <alignment horizontal="center" vertical="top"/>
    </xf>
    <xf numFmtId="3" fontId="5" fillId="7" borderId="7" xfId="0" applyNumberFormat="1" applyFont="1" applyFill="1" applyBorder="1" applyAlignment="1">
      <alignment horizontal="center" vertical="top"/>
    </xf>
    <xf numFmtId="3" fontId="5" fillId="7" borderId="8" xfId="0" applyNumberFormat="1" applyFont="1" applyFill="1" applyBorder="1" applyAlignment="1">
      <alignment horizontal="center" vertical="top"/>
    </xf>
    <xf numFmtId="3" fontId="4" fillId="8" borderId="17" xfId="0" applyNumberFormat="1" applyFont="1" applyFill="1" applyBorder="1" applyAlignment="1">
      <alignment horizontal="center" vertical="top"/>
    </xf>
    <xf numFmtId="3" fontId="4" fillId="7" borderId="18" xfId="0" applyNumberFormat="1" applyFont="1" applyFill="1" applyBorder="1" applyAlignment="1">
      <alignment horizontal="center"/>
    </xf>
    <xf numFmtId="3" fontId="1" fillId="0" borderId="17" xfId="0" applyNumberFormat="1" applyFont="1" applyBorder="1" applyAlignment="1">
      <alignment horizontal="center" vertical="top"/>
    </xf>
    <xf numFmtId="3" fontId="4" fillId="7" borderId="17" xfId="0" applyNumberFormat="1" applyFont="1" applyFill="1" applyBorder="1" applyAlignment="1">
      <alignment horizontal="center" vertical="top"/>
    </xf>
    <xf numFmtId="3" fontId="1" fillId="8" borderId="41" xfId="0" applyNumberFormat="1" applyFont="1" applyFill="1" applyBorder="1" applyAlignment="1">
      <alignment horizontal="center" vertical="top"/>
    </xf>
    <xf numFmtId="3" fontId="1" fillId="7" borderId="69" xfId="0" applyNumberFormat="1" applyFont="1" applyFill="1" applyBorder="1" applyAlignment="1">
      <alignment horizontal="center" vertical="top"/>
    </xf>
    <xf numFmtId="3" fontId="1" fillId="7" borderId="18" xfId="0" applyNumberFormat="1" applyFont="1" applyFill="1" applyBorder="1" applyAlignment="1">
      <alignment horizontal="center" vertical="top"/>
    </xf>
    <xf numFmtId="3" fontId="4" fillId="0" borderId="8" xfId="0" applyNumberFormat="1" applyFont="1" applyBorder="1" applyAlignment="1">
      <alignment horizontal="center" vertical="top"/>
    </xf>
    <xf numFmtId="3" fontId="4" fillId="0" borderId="7" xfId="0" applyNumberFormat="1" applyFont="1" applyBorder="1" applyAlignment="1">
      <alignment horizontal="center" vertical="top"/>
    </xf>
    <xf numFmtId="3" fontId="1" fillId="7" borderId="31" xfId="0" applyNumberFormat="1" applyFont="1" applyFill="1" applyBorder="1" applyAlignment="1">
      <alignment horizontal="center" vertical="top"/>
    </xf>
    <xf numFmtId="3" fontId="5" fillId="7" borderId="0" xfId="0" applyNumberFormat="1" applyFont="1" applyFill="1" applyBorder="1" applyAlignment="1">
      <alignment horizontal="center" vertical="top"/>
    </xf>
    <xf numFmtId="3" fontId="5" fillId="7" borderId="18" xfId="0" applyNumberFormat="1" applyFont="1" applyFill="1" applyBorder="1" applyAlignment="1">
      <alignment horizontal="center" vertical="top"/>
    </xf>
    <xf numFmtId="3" fontId="1" fillId="7" borderId="7" xfId="0" applyNumberFormat="1" applyFont="1" applyFill="1" applyBorder="1" applyAlignment="1">
      <alignment horizontal="center" vertical="top"/>
    </xf>
    <xf numFmtId="3" fontId="4" fillId="7" borderId="8" xfId="0" applyNumberFormat="1" applyFont="1" applyFill="1" applyBorder="1" applyAlignment="1">
      <alignment horizontal="center" vertical="top"/>
    </xf>
    <xf numFmtId="3" fontId="4" fillId="7" borderId="7" xfId="0" applyNumberFormat="1" applyFont="1" applyFill="1" applyBorder="1" applyAlignment="1">
      <alignment horizontal="center" vertical="top"/>
    </xf>
    <xf numFmtId="3" fontId="1" fillId="8" borderId="17" xfId="0" applyNumberFormat="1" applyFont="1" applyFill="1" applyBorder="1" applyAlignment="1">
      <alignment horizontal="center" vertical="top"/>
    </xf>
    <xf numFmtId="3" fontId="1" fillId="0" borderId="18" xfId="0" applyNumberFormat="1" applyFont="1" applyFill="1" applyBorder="1" applyAlignment="1">
      <alignment horizontal="center" vertical="top"/>
    </xf>
    <xf numFmtId="3" fontId="1" fillId="0" borderId="31" xfId="0" applyNumberFormat="1" applyFont="1" applyFill="1" applyBorder="1" applyAlignment="1">
      <alignment horizontal="center" vertical="top"/>
    </xf>
    <xf numFmtId="3" fontId="1" fillId="0" borderId="7" xfId="0" applyNumberFormat="1" applyFont="1" applyFill="1" applyBorder="1" applyAlignment="1">
      <alignment horizontal="center" vertical="top"/>
    </xf>
    <xf numFmtId="3" fontId="4" fillId="7" borderId="31" xfId="0" applyNumberFormat="1" applyFont="1" applyFill="1" applyBorder="1" applyAlignment="1">
      <alignment horizontal="center" vertical="top"/>
    </xf>
    <xf numFmtId="3" fontId="4" fillId="0" borderId="69" xfId="0" applyNumberFormat="1" applyFont="1" applyFill="1" applyBorder="1" applyAlignment="1">
      <alignment horizontal="center" vertical="top"/>
    </xf>
    <xf numFmtId="3" fontId="4" fillId="0" borderId="18" xfId="0" applyNumberFormat="1" applyFont="1" applyFill="1" applyBorder="1" applyAlignment="1">
      <alignment horizontal="center" vertical="top"/>
    </xf>
    <xf numFmtId="3" fontId="1" fillId="7" borderId="17" xfId="0" applyNumberFormat="1" applyFont="1" applyFill="1" applyBorder="1" applyAlignment="1">
      <alignment horizontal="center" vertical="top"/>
    </xf>
    <xf numFmtId="3" fontId="2" fillId="7" borderId="69" xfId="0" applyNumberFormat="1" applyFont="1" applyFill="1" applyBorder="1" applyAlignment="1">
      <alignment horizontal="center" vertical="top"/>
    </xf>
    <xf numFmtId="3" fontId="2" fillId="7" borderId="31" xfId="0" applyNumberFormat="1" applyFont="1" applyFill="1" applyBorder="1" applyAlignment="1">
      <alignment horizontal="center" vertical="top"/>
    </xf>
    <xf numFmtId="3" fontId="5" fillId="8" borderId="48" xfId="0" applyNumberFormat="1" applyFont="1" applyFill="1" applyBorder="1" applyAlignment="1">
      <alignment horizontal="center" vertical="top" wrapText="1"/>
    </xf>
    <xf numFmtId="3" fontId="5" fillId="8" borderId="48" xfId="0" applyNumberFormat="1" applyFont="1" applyFill="1" applyBorder="1" applyAlignment="1">
      <alignment horizontal="center" vertical="top"/>
    </xf>
    <xf numFmtId="3" fontId="1" fillId="8" borderId="78" xfId="0" applyNumberFormat="1" applyFont="1" applyFill="1" applyBorder="1" applyAlignment="1">
      <alignment horizontal="center" vertical="top"/>
    </xf>
    <xf numFmtId="3" fontId="1" fillId="0" borderId="29" xfId="0" applyNumberFormat="1" applyFont="1" applyFill="1" applyBorder="1" applyAlignment="1">
      <alignment horizontal="center" vertical="top"/>
    </xf>
    <xf numFmtId="3" fontId="4" fillId="7" borderId="30" xfId="0" applyNumberFormat="1" applyFont="1" applyFill="1" applyBorder="1" applyAlignment="1">
      <alignment horizontal="center" vertical="top"/>
    </xf>
    <xf numFmtId="3" fontId="1" fillId="0" borderId="9" xfId="0" applyNumberFormat="1" applyFont="1" applyFill="1" applyBorder="1" applyAlignment="1">
      <alignment horizontal="center" vertical="top"/>
    </xf>
    <xf numFmtId="3" fontId="1" fillId="0" borderId="58" xfId="0" applyNumberFormat="1" applyFont="1" applyFill="1" applyBorder="1" applyAlignment="1">
      <alignment horizontal="center" vertical="top"/>
    </xf>
    <xf numFmtId="3" fontId="5" fillId="8" borderId="4" xfId="0" applyNumberFormat="1" applyFont="1" applyFill="1" applyBorder="1" applyAlignment="1">
      <alignment horizontal="center" vertical="top"/>
    </xf>
    <xf numFmtId="3" fontId="5" fillId="8" borderId="73" xfId="0" applyNumberFormat="1" applyFont="1" applyFill="1" applyBorder="1" applyAlignment="1">
      <alignment horizontal="center" vertical="top"/>
    </xf>
    <xf numFmtId="3" fontId="5" fillId="8" borderId="51" xfId="0" applyNumberFormat="1" applyFont="1" applyFill="1" applyBorder="1" applyAlignment="1">
      <alignment horizontal="center" vertical="top"/>
    </xf>
    <xf numFmtId="3" fontId="5" fillId="8" borderId="56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top"/>
    </xf>
    <xf numFmtId="3" fontId="1" fillId="0" borderId="5" xfId="0" applyNumberFormat="1" applyFont="1" applyFill="1" applyBorder="1" applyAlignment="1">
      <alignment horizontal="center" vertical="top"/>
    </xf>
    <xf numFmtId="3" fontId="1" fillId="0" borderId="69" xfId="0" applyNumberFormat="1" applyFont="1" applyFill="1" applyBorder="1" applyAlignment="1">
      <alignment horizontal="center" vertical="top"/>
    </xf>
    <xf numFmtId="3" fontId="2" fillId="8" borderId="56" xfId="0" applyNumberFormat="1" applyFont="1" applyFill="1" applyBorder="1" applyAlignment="1">
      <alignment horizontal="center" vertical="top"/>
    </xf>
    <xf numFmtId="3" fontId="2" fillId="8" borderId="51" xfId="0" applyNumberFormat="1" applyFont="1" applyFill="1" applyBorder="1" applyAlignment="1">
      <alignment horizontal="center" vertical="top"/>
    </xf>
    <xf numFmtId="3" fontId="4" fillId="0" borderId="16" xfId="0" applyNumberFormat="1" applyFont="1" applyBorder="1" applyAlignment="1">
      <alignment horizontal="center" vertical="top"/>
    </xf>
    <xf numFmtId="3" fontId="1" fillId="8" borderId="16" xfId="0" applyNumberFormat="1" applyFont="1" applyFill="1" applyBorder="1" applyAlignment="1">
      <alignment horizontal="center" vertical="top"/>
    </xf>
    <xf numFmtId="3" fontId="1" fillId="0" borderId="13" xfId="0" applyNumberFormat="1" applyFont="1" applyFill="1" applyBorder="1" applyAlignment="1">
      <alignment horizontal="center" vertical="top"/>
    </xf>
    <xf numFmtId="3" fontId="4" fillId="7" borderId="10" xfId="0" applyNumberFormat="1" applyFont="1" applyFill="1" applyBorder="1" applyAlignment="1">
      <alignment horizontal="center" vertical="top"/>
    </xf>
    <xf numFmtId="3" fontId="4" fillId="7" borderId="24" xfId="0" applyNumberFormat="1" applyFont="1" applyFill="1" applyBorder="1" applyAlignment="1">
      <alignment horizontal="center" vertical="top"/>
    </xf>
    <xf numFmtId="3" fontId="2" fillId="2" borderId="23" xfId="0" applyNumberFormat="1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/>
    </xf>
    <xf numFmtId="3" fontId="4" fillId="0" borderId="16" xfId="0" applyNumberFormat="1" applyFont="1" applyFill="1" applyBorder="1" applyAlignment="1">
      <alignment horizontal="center" vertical="top" wrapText="1"/>
    </xf>
    <xf numFmtId="3" fontId="4" fillId="8" borderId="22" xfId="0" applyNumberFormat="1" applyFont="1" applyFill="1" applyBorder="1" applyAlignment="1">
      <alignment horizontal="center" vertical="top"/>
    </xf>
    <xf numFmtId="3" fontId="4" fillId="5" borderId="13" xfId="0" applyNumberFormat="1" applyFont="1" applyFill="1" applyBorder="1" applyAlignment="1">
      <alignment horizontal="center" vertical="top"/>
    </xf>
    <xf numFmtId="3" fontId="4" fillId="5" borderId="39" xfId="0" applyNumberFormat="1" applyFont="1" applyFill="1" applyBorder="1" applyAlignment="1">
      <alignment horizontal="center" vertical="top"/>
    </xf>
    <xf numFmtId="3" fontId="4" fillId="0" borderId="10" xfId="0" applyNumberFormat="1" applyFont="1" applyFill="1" applyBorder="1" applyAlignment="1">
      <alignment horizontal="center" vertical="top"/>
    </xf>
    <xf numFmtId="3" fontId="5" fillId="8" borderId="48" xfId="0" applyNumberFormat="1" applyFont="1" applyFill="1" applyBorder="1" applyAlignment="1">
      <alignment horizontal="center" wrapText="1"/>
    </xf>
    <xf numFmtId="3" fontId="5" fillId="8" borderId="48" xfId="0" applyNumberFormat="1" applyFont="1" applyFill="1" applyBorder="1" applyAlignment="1">
      <alignment horizontal="center"/>
    </xf>
    <xf numFmtId="3" fontId="5" fillId="8" borderId="4" xfId="0" applyNumberFormat="1" applyFont="1" applyFill="1" applyBorder="1" applyAlignment="1">
      <alignment horizontal="center"/>
    </xf>
    <xf numFmtId="3" fontId="5" fillId="8" borderId="46" xfId="0" applyNumberFormat="1" applyFont="1" applyFill="1" applyBorder="1" applyAlignment="1">
      <alignment horizontal="center"/>
    </xf>
    <xf numFmtId="3" fontId="5" fillId="8" borderId="45" xfId="0" applyNumberFormat="1" applyFont="1" applyFill="1" applyBorder="1" applyAlignment="1">
      <alignment horizontal="center"/>
    </xf>
    <xf numFmtId="3" fontId="5" fillId="8" borderId="56" xfId="0" applyNumberFormat="1" applyFont="1" applyFill="1" applyBorder="1" applyAlignment="1">
      <alignment horizontal="center"/>
    </xf>
    <xf numFmtId="3" fontId="4" fillId="0" borderId="74" xfId="0" applyNumberFormat="1" applyFont="1" applyFill="1" applyBorder="1" applyAlignment="1">
      <alignment horizontal="center" vertical="top"/>
    </xf>
    <xf numFmtId="3" fontId="4" fillId="0" borderId="3" xfId="0" applyNumberFormat="1" applyFont="1" applyFill="1" applyBorder="1" applyAlignment="1">
      <alignment horizontal="center" vertical="top"/>
    </xf>
    <xf numFmtId="3" fontId="4" fillId="7" borderId="0" xfId="0" applyNumberFormat="1" applyFont="1" applyFill="1" applyBorder="1" applyAlignment="1">
      <alignment horizontal="center" vertical="top"/>
    </xf>
    <xf numFmtId="3" fontId="5" fillId="8" borderId="46" xfId="0" applyNumberFormat="1" applyFont="1" applyFill="1" applyBorder="1" applyAlignment="1">
      <alignment horizontal="center" vertical="top" wrapText="1"/>
    </xf>
    <xf numFmtId="3" fontId="5" fillId="8" borderId="47" xfId="0" applyNumberFormat="1" applyFont="1" applyFill="1" applyBorder="1" applyAlignment="1">
      <alignment horizontal="center" vertical="top"/>
    </xf>
    <xf numFmtId="3" fontId="5" fillId="8" borderId="46" xfId="0" applyNumberFormat="1" applyFont="1" applyFill="1" applyBorder="1" applyAlignment="1">
      <alignment horizontal="center" vertical="top"/>
    </xf>
    <xf numFmtId="3" fontId="5" fillId="8" borderId="45" xfId="0" applyNumberFormat="1" applyFont="1" applyFill="1" applyBorder="1" applyAlignment="1">
      <alignment horizontal="center" vertical="top"/>
    </xf>
    <xf numFmtId="3" fontId="4" fillId="0" borderId="3" xfId="0" applyNumberFormat="1" applyFont="1" applyFill="1" applyBorder="1" applyAlignment="1">
      <alignment horizontal="center" vertical="top" wrapText="1"/>
    </xf>
    <xf numFmtId="3" fontId="1" fillId="8" borderId="36" xfId="0" applyNumberFormat="1" applyFont="1" applyFill="1" applyBorder="1" applyAlignment="1">
      <alignment horizontal="center" vertical="top"/>
    </xf>
    <xf numFmtId="3" fontId="1" fillId="5" borderId="29" xfId="0" applyNumberFormat="1" applyFont="1" applyFill="1" applyBorder="1" applyAlignment="1">
      <alignment horizontal="center" vertical="top"/>
    </xf>
    <xf numFmtId="3" fontId="1" fillId="5" borderId="30" xfId="0" applyNumberFormat="1" applyFont="1" applyFill="1" applyBorder="1" applyAlignment="1">
      <alignment horizontal="center" vertical="top"/>
    </xf>
    <xf numFmtId="3" fontId="2" fillId="8" borderId="48" xfId="0" applyNumberFormat="1" applyFont="1" applyFill="1" applyBorder="1" applyAlignment="1">
      <alignment horizontal="center" vertical="top"/>
    </xf>
    <xf numFmtId="3" fontId="2" fillId="8" borderId="4" xfId="0" applyNumberFormat="1" applyFont="1" applyFill="1" applyBorder="1" applyAlignment="1">
      <alignment horizontal="center" vertical="top"/>
    </xf>
    <xf numFmtId="3" fontId="2" fillId="8" borderId="46" xfId="0" applyNumberFormat="1" applyFont="1" applyFill="1" applyBorder="1" applyAlignment="1">
      <alignment horizontal="center" vertical="top"/>
    </xf>
    <xf numFmtId="3" fontId="2" fillId="8" borderId="45" xfId="0" applyNumberFormat="1" applyFont="1" applyFill="1" applyBorder="1" applyAlignment="1">
      <alignment horizontal="center" vertical="top"/>
    </xf>
    <xf numFmtId="3" fontId="4" fillId="0" borderId="74" xfId="0" applyNumberFormat="1" applyFont="1" applyBorder="1" applyAlignment="1">
      <alignment horizontal="center" vertical="top"/>
    </xf>
    <xf numFmtId="3" fontId="4" fillId="0" borderId="24" xfId="0" applyNumberFormat="1" applyFont="1" applyBorder="1" applyAlignment="1">
      <alignment horizontal="center" vertical="top"/>
    </xf>
    <xf numFmtId="3" fontId="4" fillId="0" borderId="10" xfId="0" applyNumberFormat="1" applyFont="1" applyBorder="1" applyAlignment="1">
      <alignment horizontal="center" vertical="top"/>
    </xf>
    <xf numFmtId="3" fontId="4" fillId="8" borderId="42" xfId="0" applyNumberFormat="1" applyFont="1" applyFill="1" applyBorder="1" applyAlignment="1">
      <alignment horizontal="center" vertical="top"/>
    </xf>
    <xf numFmtId="3" fontId="4" fillId="0" borderId="69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4" fillId="0" borderId="65" xfId="0" applyNumberFormat="1" applyFont="1" applyBorder="1" applyAlignment="1">
      <alignment horizontal="center" vertical="top"/>
    </xf>
    <xf numFmtId="3" fontId="2" fillId="8" borderId="47" xfId="0" applyNumberFormat="1" applyFont="1" applyFill="1" applyBorder="1" applyAlignment="1">
      <alignment horizontal="center" vertical="top"/>
    </xf>
    <xf numFmtId="3" fontId="1" fillId="8" borderId="42" xfId="0" applyNumberFormat="1" applyFont="1" applyFill="1" applyBorder="1" applyAlignment="1">
      <alignment horizontal="center" vertical="top"/>
    </xf>
    <xf numFmtId="3" fontId="4" fillId="0" borderId="8" xfId="0" applyNumberFormat="1" applyFont="1" applyFill="1" applyBorder="1" applyAlignment="1">
      <alignment horizontal="center" vertical="top"/>
    </xf>
    <xf numFmtId="3" fontId="4" fillId="0" borderId="7" xfId="0" applyNumberFormat="1" applyFont="1" applyFill="1" applyBorder="1" applyAlignment="1">
      <alignment horizontal="center" vertical="top"/>
    </xf>
    <xf numFmtId="3" fontId="5" fillId="2" borderId="23" xfId="0" applyNumberFormat="1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/>
    </xf>
    <xf numFmtId="3" fontId="2" fillId="3" borderId="23" xfId="0" applyNumberFormat="1" applyFont="1" applyFill="1" applyBorder="1" applyAlignment="1">
      <alignment horizontal="center" vertical="top"/>
    </xf>
    <xf numFmtId="3" fontId="2" fillId="3" borderId="1" xfId="0" applyNumberFormat="1" applyFont="1" applyFill="1" applyBorder="1" applyAlignment="1">
      <alignment horizontal="center" vertical="top"/>
    </xf>
    <xf numFmtId="3" fontId="5" fillId="3" borderId="23" xfId="0" applyNumberFormat="1" applyFont="1" applyFill="1" applyBorder="1" applyAlignment="1">
      <alignment horizontal="center" vertical="top"/>
    </xf>
    <xf numFmtId="3" fontId="5" fillId="3" borderId="1" xfId="0" applyNumberFormat="1" applyFont="1" applyFill="1" applyBorder="1" applyAlignment="1">
      <alignment horizontal="center" vertical="top"/>
    </xf>
    <xf numFmtId="3" fontId="4" fillId="0" borderId="24" xfId="0" applyNumberFormat="1" applyFont="1" applyFill="1" applyBorder="1" applyAlignment="1">
      <alignment horizontal="center" vertical="top"/>
    </xf>
    <xf numFmtId="3" fontId="4" fillId="0" borderId="67" xfId="0" applyNumberFormat="1" applyFont="1" applyFill="1" applyBorder="1" applyAlignment="1">
      <alignment horizontal="center" vertical="top"/>
    </xf>
    <xf numFmtId="3" fontId="4" fillId="8" borderId="37" xfId="0" applyNumberFormat="1" applyFont="1" applyFill="1" applyBorder="1" applyAlignment="1">
      <alignment horizontal="center" vertical="top"/>
    </xf>
    <xf numFmtId="3" fontId="4" fillId="5" borderId="52" xfId="0" applyNumberFormat="1" applyFont="1" applyFill="1" applyBorder="1" applyAlignment="1">
      <alignment horizontal="center" vertical="top"/>
    </xf>
    <xf numFmtId="3" fontId="4" fillId="5" borderId="53" xfId="0" applyNumberFormat="1" applyFont="1" applyFill="1" applyBorder="1" applyAlignment="1">
      <alignment horizontal="center" vertical="top"/>
    </xf>
    <xf numFmtId="3" fontId="4" fillId="5" borderId="6" xfId="0" applyNumberFormat="1" applyFont="1" applyFill="1" applyBorder="1" applyAlignment="1">
      <alignment horizontal="center" vertical="top"/>
    </xf>
    <xf numFmtId="3" fontId="4" fillId="0" borderId="28" xfId="0" applyNumberFormat="1" applyFont="1" applyFill="1" applyBorder="1" applyAlignment="1">
      <alignment horizontal="center" vertical="top"/>
    </xf>
    <xf numFmtId="3" fontId="4" fillId="8" borderId="38" xfId="0" applyNumberFormat="1" applyFont="1" applyFill="1" applyBorder="1" applyAlignment="1">
      <alignment horizontal="center" vertical="top"/>
    </xf>
    <xf numFmtId="3" fontId="4" fillId="5" borderId="34" xfId="0" applyNumberFormat="1" applyFont="1" applyFill="1" applyBorder="1" applyAlignment="1">
      <alignment horizontal="center" vertical="top"/>
    </xf>
    <xf numFmtId="3" fontId="4" fillId="5" borderId="40" xfId="0" applyNumberFormat="1" applyFont="1" applyFill="1" applyBorder="1" applyAlignment="1">
      <alignment horizontal="center" vertical="top"/>
    </xf>
    <xf numFmtId="3" fontId="4" fillId="0" borderId="63" xfId="0" applyNumberFormat="1" applyFont="1" applyFill="1" applyBorder="1" applyAlignment="1">
      <alignment horizontal="center" vertical="top"/>
    </xf>
    <xf numFmtId="3" fontId="4" fillId="5" borderId="54" xfId="0" applyNumberFormat="1" applyFont="1" applyFill="1" applyBorder="1" applyAlignment="1">
      <alignment horizontal="center" vertical="top"/>
    </xf>
    <xf numFmtId="3" fontId="4" fillId="5" borderId="61" xfId="0" applyNumberFormat="1" applyFont="1" applyFill="1" applyBorder="1" applyAlignment="1">
      <alignment horizontal="center" vertical="top"/>
    </xf>
    <xf numFmtId="3" fontId="4" fillId="5" borderId="8" xfId="0" applyNumberFormat="1" applyFont="1" applyFill="1" applyBorder="1" applyAlignment="1">
      <alignment horizontal="center" vertical="top"/>
    </xf>
    <xf numFmtId="3" fontId="5" fillId="8" borderId="67" xfId="0" applyNumberFormat="1" applyFont="1" applyFill="1" applyBorder="1" applyAlignment="1">
      <alignment horizontal="center" vertical="top"/>
    </xf>
    <xf numFmtId="3" fontId="5" fillId="8" borderId="68" xfId="0" applyNumberFormat="1" applyFont="1" applyFill="1" applyBorder="1" applyAlignment="1">
      <alignment horizontal="center" vertical="top"/>
    </xf>
    <xf numFmtId="3" fontId="5" fillId="8" borderId="26" xfId="0" applyNumberFormat="1" applyFont="1" applyFill="1" applyBorder="1" applyAlignment="1">
      <alignment horizontal="center" vertical="top"/>
    </xf>
    <xf numFmtId="3" fontId="5" fillId="8" borderId="2" xfId="0" applyNumberFormat="1" applyFont="1" applyFill="1" applyBorder="1" applyAlignment="1">
      <alignment horizontal="center" vertical="top"/>
    </xf>
    <xf numFmtId="3" fontId="4" fillId="5" borderId="60" xfId="0" applyNumberFormat="1" applyFont="1" applyFill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26" xfId="0" applyNumberFormat="1" applyFont="1" applyFill="1" applyBorder="1" applyAlignment="1">
      <alignment horizontal="center" vertical="top"/>
    </xf>
    <xf numFmtId="3" fontId="4" fillId="5" borderId="43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3" fontId="4" fillId="0" borderId="62" xfId="0" applyNumberFormat="1" applyFont="1" applyFill="1" applyBorder="1" applyAlignment="1">
      <alignment horizontal="center" vertical="top" wrapText="1"/>
    </xf>
    <xf numFmtId="3" fontId="4" fillId="5" borderId="27" xfId="0" applyNumberFormat="1" applyFont="1" applyFill="1" applyBorder="1" applyAlignment="1">
      <alignment horizontal="center" vertical="top"/>
    </xf>
    <xf numFmtId="3" fontId="4" fillId="5" borderId="28" xfId="0" applyNumberFormat="1" applyFont="1" applyFill="1" applyBorder="1" applyAlignment="1">
      <alignment horizontal="center" vertical="top"/>
    </xf>
    <xf numFmtId="3" fontId="4" fillId="5" borderId="35" xfId="0" applyNumberFormat="1" applyFont="1" applyFill="1" applyBorder="1" applyAlignment="1">
      <alignment horizontal="center" vertical="top"/>
    </xf>
    <xf numFmtId="3" fontId="4" fillId="5" borderId="68" xfId="0" applyNumberFormat="1" applyFont="1" applyFill="1" applyBorder="1" applyAlignment="1">
      <alignment horizontal="center" vertical="top"/>
    </xf>
    <xf numFmtId="3" fontId="4" fillId="5" borderId="26" xfId="0" applyNumberFormat="1" applyFont="1" applyFill="1" applyBorder="1" applyAlignment="1">
      <alignment horizontal="center" vertical="top"/>
    </xf>
    <xf numFmtId="3" fontId="5" fillId="8" borderId="62" xfId="0" applyNumberFormat="1" applyFont="1" applyFill="1" applyBorder="1" applyAlignment="1">
      <alignment horizontal="center" vertical="top" wrapText="1"/>
    </xf>
    <xf numFmtId="3" fontId="2" fillId="8" borderId="38" xfId="0" applyNumberFormat="1" applyFont="1" applyFill="1" applyBorder="1" applyAlignment="1">
      <alignment horizontal="center" vertical="top"/>
    </xf>
    <xf numFmtId="3" fontId="2" fillId="8" borderId="27" xfId="0" applyNumberFormat="1" applyFont="1" applyFill="1" applyBorder="1" applyAlignment="1">
      <alignment horizontal="center" vertical="top"/>
    </xf>
    <xf numFmtId="3" fontId="2" fillId="8" borderId="60" xfId="0" applyNumberFormat="1" applyFont="1" applyFill="1" applyBorder="1" applyAlignment="1">
      <alignment horizontal="center" vertical="top"/>
    </xf>
    <xf numFmtId="3" fontId="2" fillId="8" borderId="28" xfId="0" applyNumberFormat="1" applyFont="1" applyFill="1" applyBorder="1" applyAlignment="1">
      <alignment horizontal="center" vertical="top"/>
    </xf>
    <xf numFmtId="3" fontId="4" fillId="5" borderId="74" xfId="0" applyNumberFormat="1" applyFont="1" applyFill="1" applyBorder="1" applyAlignment="1">
      <alignment horizontal="center" vertical="top"/>
    </xf>
    <xf numFmtId="3" fontId="4" fillId="7" borderId="33" xfId="0" applyNumberFormat="1" applyFont="1" applyFill="1" applyBorder="1" applyAlignment="1">
      <alignment horizontal="center" vertical="top"/>
    </xf>
    <xf numFmtId="3" fontId="4" fillId="7" borderId="68" xfId="0" applyNumberFormat="1" applyFont="1" applyFill="1" applyBorder="1" applyAlignment="1">
      <alignment horizontal="center" vertical="top"/>
    </xf>
    <xf numFmtId="3" fontId="4" fillId="7" borderId="53" xfId="0" applyNumberFormat="1" applyFont="1" applyFill="1" applyBorder="1" applyAlignment="1">
      <alignment horizontal="center" vertical="top"/>
    </xf>
    <xf numFmtId="3" fontId="4" fillId="5" borderId="67" xfId="0" applyNumberFormat="1" applyFont="1" applyFill="1" applyBorder="1" applyAlignment="1">
      <alignment horizontal="center" vertical="top" wrapText="1"/>
    </xf>
    <xf numFmtId="3" fontId="4" fillId="5" borderId="33" xfId="0" applyNumberFormat="1" applyFont="1" applyFill="1" applyBorder="1" applyAlignment="1">
      <alignment horizontal="center" vertical="top"/>
    </xf>
    <xf numFmtId="3" fontId="4" fillId="5" borderId="62" xfId="0" applyNumberFormat="1" applyFont="1" applyFill="1" applyBorder="1" applyAlignment="1">
      <alignment horizontal="center" vertical="top" wrapText="1"/>
    </xf>
    <xf numFmtId="3" fontId="4" fillId="5" borderId="72" xfId="0" applyNumberFormat="1" applyFont="1" applyFill="1" applyBorder="1" applyAlignment="1">
      <alignment horizontal="center" vertical="top"/>
    </xf>
    <xf numFmtId="3" fontId="2" fillId="8" borderId="72" xfId="0" applyNumberFormat="1" applyFont="1" applyFill="1" applyBorder="1" applyAlignment="1">
      <alignment horizontal="center" vertical="top"/>
    </xf>
    <xf numFmtId="3" fontId="2" fillId="8" borderId="40" xfId="0" applyNumberFormat="1" applyFont="1" applyFill="1" applyBorder="1" applyAlignment="1">
      <alignment horizontal="center" vertical="top"/>
    </xf>
    <xf numFmtId="3" fontId="2" fillId="8" borderId="6" xfId="0" applyNumberFormat="1" applyFont="1" applyFill="1" applyBorder="1" applyAlignment="1">
      <alignment horizontal="center" vertical="top"/>
    </xf>
    <xf numFmtId="3" fontId="4" fillId="0" borderId="27" xfId="0" applyNumberFormat="1" applyFont="1" applyFill="1" applyBorder="1" applyAlignment="1">
      <alignment horizontal="center" vertical="top"/>
    </xf>
    <xf numFmtId="3" fontId="5" fillId="8" borderId="67" xfId="0" applyNumberFormat="1" applyFont="1" applyFill="1" applyBorder="1" applyAlignment="1">
      <alignment horizontal="center" vertical="top" wrapText="1"/>
    </xf>
    <xf numFmtId="3" fontId="5" fillId="8" borderId="35" xfId="0" applyNumberFormat="1" applyFont="1" applyFill="1" applyBorder="1" applyAlignment="1">
      <alignment horizontal="center" vertical="top"/>
    </xf>
    <xf numFmtId="3" fontId="5" fillId="8" borderId="37" xfId="0" applyNumberFormat="1" applyFont="1" applyFill="1" applyBorder="1" applyAlignment="1">
      <alignment horizontal="center" vertical="top"/>
    </xf>
    <xf numFmtId="3" fontId="5" fillId="8" borderId="6" xfId="0" applyNumberFormat="1" applyFont="1" applyFill="1" applyBorder="1" applyAlignment="1">
      <alignment horizontal="center" vertical="top"/>
    </xf>
    <xf numFmtId="3" fontId="5" fillId="8" borderId="28" xfId="0" applyNumberFormat="1" applyFont="1" applyFill="1" applyBorder="1" applyAlignment="1">
      <alignment horizontal="center" vertical="top"/>
    </xf>
    <xf numFmtId="3" fontId="2" fillId="8" borderId="49" xfId="0" applyNumberFormat="1" applyFont="1" applyFill="1" applyBorder="1" applyAlignment="1">
      <alignment horizontal="center" vertical="top"/>
    </xf>
    <xf numFmtId="3" fontId="2" fillId="8" borderId="73" xfId="0" applyNumberFormat="1" applyFont="1" applyFill="1" applyBorder="1" applyAlignment="1">
      <alignment horizontal="center" vertical="top"/>
    </xf>
    <xf numFmtId="3" fontId="1" fillId="8" borderId="22" xfId="0" applyNumberFormat="1" applyFont="1" applyFill="1" applyBorder="1" applyAlignment="1">
      <alignment horizontal="center" vertical="top"/>
    </xf>
    <xf numFmtId="3" fontId="1" fillId="5" borderId="3" xfId="0" applyNumberFormat="1" applyFont="1" applyFill="1" applyBorder="1" applyAlignment="1">
      <alignment horizontal="center" vertical="top"/>
    </xf>
    <xf numFmtId="3" fontId="1" fillId="5" borderId="66" xfId="0" applyNumberFormat="1" applyFont="1" applyFill="1" applyBorder="1" applyAlignment="1">
      <alignment horizontal="center" vertical="top"/>
    </xf>
    <xf numFmtId="3" fontId="1" fillId="5" borderId="39" xfId="0" applyNumberFormat="1" applyFont="1" applyFill="1" applyBorder="1" applyAlignment="1">
      <alignment horizontal="center" vertical="top"/>
    </xf>
    <xf numFmtId="3" fontId="1" fillId="0" borderId="10" xfId="0" applyNumberFormat="1" applyFont="1" applyFill="1" applyBorder="1" applyAlignment="1">
      <alignment horizontal="center" vertical="top"/>
    </xf>
    <xf numFmtId="3" fontId="4" fillId="0" borderId="17" xfId="0" applyNumberFormat="1" applyFont="1" applyFill="1" applyBorder="1" applyAlignment="1">
      <alignment horizontal="center" vertical="top" wrapText="1"/>
    </xf>
    <xf numFmtId="3" fontId="1" fillId="5" borderId="0" xfId="0" applyNumberFormat="1" applyFont="1" applyFill="1" applyBorder="1" applyAlignment="1">
      <alignment horizontal="center" vertical="top"/>
    </xf>
    <xf numFmtId="3" fontId="1" fillId="5" borderId="54" xfId="0" applyNumberFormat="1" applyFont="1" applyFill="1" applyBorder="1" applyAlignment="1">
      <alignment horizontal="center" vertical="top"/>
    </xf>
    <xf numFmtId="3" fontId="1" fillId="5" borderId="61" xfId="0" applyNumberFormat="1" applyFont="1" applyFill="1" applyBorder="1" applyAlignment="1">
      <alignment horizontal="center" vertical="top"/>
    </xf>
    <xf numFmtId="3" fontId="1" fillId="7" borderId="10" xfId="0" applyNumberFormat="1" applyFont="1" applyFill="1" applyBorder="1" applyAlignment="1">
      <alignment horizontal="center" vertical="top"/>
    </xf>
    <xf numFmtId="3" fontId="4" fillId="0" borderId="78" xfId="0" applyNumberFormat="1" applyFont="1" applyFill="1" applyBorder="1" applyAlignment="1">
      <alignment horizontal="center" vertical="top" wrapText="1"/>
    </xf>
    <xf numFmtId="3" fontId="1" fillId="5" borderId="59" xfId="0" applyNumberFormat="1" applyFont="1" applyFill="1" applyBorder="1" applyAlignment="1">
      <alignment horizontal="center" vertical="top"/>
    </xf>
    <xf numFmtId="3" fontId="1" fillId="5" borderId="77" xfId="0" applyNumberFormat="1" applyFont="1" applyFill="1" applyBorder="1" applyAlignment="1">
      <alignment horizontal="center" vertical="top"/>
    </xf>
    <xf numFmtId="3" fontId="4" fillId="7" borderId="60" xfId="0" applyNumberFormat="1" applyFont="1" applyFill="1" applyBorder="1" applyAlignment="1">
      <alignment horizontal="center" vertical="top"/>
    </xf>
    <xf numFmtId="3" fontId="4" fillId="7" borderId="40" xfId="0" applyNumberFormat="1" applyFont="1" applyFill="1" applyBorder="1" applyAlignment="1">
      <alignment horizontal="center" vertical="top"/>
    </xf>
    <xf numFmtId="3" fontId="4" fillId="5" borderId="6" xfId="0" applyNumberFormat="1" applyFont="1" applyFill="1" applyBorder="1" applyAlignment="1">
      <alignment horizontal="center" vertical="top" wrapText="1"/>
    </xf>
    <xf numFmtId="3" fontId="4" fillId="5" borderId="8" xfId="0" applyNumberFormat="1" applyFont="1" applyFill="1" applyBorder="1" applyAlignment="1">
      <alignment horizontal="center" vertical="top" wrapText="1"/>
    </xf>
    <xf numFmtId="3" fontId="5" fillId="8" borderId="49" xfId="0" applyNumberFormat="1" applyFont="1" applyFill="1" applyBorder="1" applyAlignment="1">
      <alignment horizontal="center" vertical="top"/>
    </xf>
    <xf numFmtId="3" fontId="4" fillId="0" borderId="63" xfId="0" applyNumberFormat="1" applyFont="1" applyFill="1" applyBorder="1" applyAlignment="1">
      <alignment horizontal="center" vertical="top" wrapText="1"/>
    </xf>
    <xf numFmtId="3" fontId="4" fillId="0" borderId="58" xfId="0" applyNumberFormat="1" applyFont="1" applyBorder="1" applyAlignment="1">
      <alignment horizontal="center" vertical="center" wrapText="1"/>
    </xf>
    <xf numFmtId="3" fontId="1" fillId="5" borderId="15" xfId="0" applyNumberFormat="1" applyFont="1" applyFill="1" applyBorder="1" applyAlignment="1">
      <alignment horizontal="center" vertical="top"/>
    </xf>
    <xf numFmtId="3" fontId="5" fillId="8" borderId="57" xfId="0" applyNumberFormat="1" applyFont="1" applyFill="1" applyBorder="1" applyAlignment="1">
      <alignment horizontal="center" vertical="top" wrapText="1"/>
    </xf>
    <xf numFmtId="3" fontId="5" fillId="8" borderId="20" xfId="0" applyNumberFormat="1" applyFont="1" applyFill="1" applyBorder="1" applyAlignment="1">
      <alignment horizontal="center" vertical="top"/>
    </xf>
    <xf numFmtId="3" fontId="5" fillId="8" borderId="44" xfId="0" applyNumberFormat="1" applyFont="1" applyFill="1" applyBorder="1" applyAlignment="1">
      <alignment horizontal="center" vertical="top"/>
    </xf>
    <xf numFmtId="3" fontId="5" fillId="8" borderId="19" xfId="0" applyNumberFormat="1" applyFont="1" applyFill="1" applyBorder="1" applyAlignment="1">
      <alignment horizontal="center" vertical="top"/>
    </xf>
    <xf numFmtId="3" fontId="2" fillId="8" borderId="71" xfId="0" applyNumberFormat="1" applyFont="1" applyFill="1" applyBorder="1" applyAlignment="1">
      <alignment horizontal="center" vertical="top"/>
    </xf>
    <xf numFmtId="3" fontId="2" fillId="8" borderId="50" xfId="0" applyNumberFormat="1" applyFont="1" applyFill="1" applyBorder="1" applyAlignment="1">
      <alignment horizontal="center" vertical="top"/>
    </xf>
    <xf numFmtId="3" fontId="2" fillId="2" borderId="55" xfId="0" applyNumberFormat="1" applyFont="1" applyFill="1" applyBorder="1" applyAlignment="1">
      <alignment horizontal="center" vertical="top"/>
    </xf>
    <xf numFmtId="3" fontId="5" fillId="2" borderId="12" xfId="0" applyNumberFormat="1" applyFont="1" applyFill="1" applyBorder="1" applyAlignment="1">
      <alignment horizontal="center" vertical="top"/>
    </xf>
    <xf numFmtId="3" fontId="5" fillId="2" borderId="11" xfId="0" applyNumberFormat="1" applyFont="1" applyFill="1" applyBorder="1" applyAlignment="1">
      <alignment horizontal="center" vertical="top"/>
    </xf>
    <xf numFmtId="3" fontId="5" fillId="2" borderId="55" xfId="0" applyNumberFormat="1" applyFont="1" applyFill="1" applyBorder="1" applyAlignment="1">
      <alignment horizontal="center" vertical="top"/>
    </xf>
    <xf numFmtId="3" fontId="5" fillId="2" borderId="79" xfId="0" applyNumberFormat="1" applyFont="1" applyFill="1" applyBorder="1" applyAlignment="1">
      <alignment horizontal="center" vertical="top"/>
    </xf>
    <xf numFmtId="3" fontId="2" fillId="2" borderId="55" xfId="0" applyNumberFormat="1" applyFont="1" applyFill="1" applyBorder="1" applyAlignment="1">
      <alignment vertical="top"/>
    </xf>
    <xf numFmtId="3" fontId="5" fillId="8" borderId="56" xfId="0" applyNumberFormat="1" applyFont="1" applyFill="1" applyBorder="1" applyAlignment="1">
      <alignment horizontal="center" vertical="top" wrapText="1"/>
    </xf>
    <xf numFmtId="3" fontId="1" fillId="0" borderId="10" xfId="0" applyNumberFormat="1" applyFont="1" applyBorder="1" applyAlignment="1">
      <alignment horizontal="center" vertical="top"/>
    </xf>
    <xf numFmtId="3" fontId="1" fillId="7" borderId="13" xfId="0" applyNumberFormat="1" applyFont="1" applyFill="1" applyBorder="1" applyAlignment="1">
      <alignment horizontal="center" vertical="top"/>
    </xf>
    <xf numFmtId="3" fontId="1" fillId="7" borderId="39" xfId="0" applyNumberFormat="1" applyFont="1" applyFill="1" applyBorder="1" applyAlignment="1">
      <alignment horizontal="center" vertical="top"/>
    </xf>
    <xf numFmtId="3" fontId="1" fillId="7" borderId="24" xfId="0" applyNumberFormat="1" applyFont="1" applyFill="1" applyBorder="1" applyAlignment="1">
      <alignment horizontal="center" vertical="top"/>
    </xf>
    <xf numFmtId="3" fontId="1" fillId="7" borderId="43" xfId="0" applyNumberFormat="1" applyFont="1" applyFill="1" applyBorder="1" applyAlignment="1">
      <alignment horizontal="center" vertical="top"/>
    </xf>
    <xf numFmtId="3" fontId="2" fillId="8" borderId="56" xfId="0" applyNumberFormat="1" applyFont="1" applyFill="1" applyBorder="1" applyAlignment="1">
      <alignment horizontal="center" vertical="top" wrapText="1"/>
    </xf>
    <xf numFmtId="3" fontId="2" fillId="2" borderId="11" xfId="0" applyNumberFormat="1" applyFont="1" applyFill="1" applyBorder="1" applyAlignment="1">
      <alignment horizontal="center" vertical="top"/>
    </xf>
    <xf numFmtId="3" fontId="2" fillId="2" borderId="25" xfId="0" applyNumberFormat="1" applyFont="1" applyFill="1" applyBorder="1" applyAlignment="1">
      <alignment horizontal="center" vertical="top"/>
    </xf>
    <xf numFmtId="3" fontId="1" fillId="0" borderId="16" xfId="0" applyNumberFormat="1" applyFont="1" applyFill="1" applyBorder="1" applyAlignment="1">
      <alignment horizontal="center" vertical="top" wrapText="1"/>
    </xf>
    <xf numFmtId="3" fontId="1" fillId="5" borderId="13" xfId="0" applyNumberFormat="1" applyFont="1" applyFill="1" applyBorder="1" applyAlignment="1">
      <alignment horizontal="center" vertical="top"/>
    </xf>
    <xf numFmtId="3" fontId="1" fillId="5" borderId="74" xfId="0" applyNumberFormat="1" applyFont="1" applyFill="1" applyBorder="1" applyAlignment="1">
      <alignment horizontal="center" vertical="top"/>
    </xf>
    <xf numFmtId="3" fontId="1" fillId="0" borderId="24" xfId="0" applyNumberFormat="1" applyFont="1" applyFill="1" applyBorder="1" applyAlignment="1">
      <alignment horizontal="center" vertical="top"/>
    </xf>
    <xf numFmtId="3" fontId="1" fillId="0" borderId="17" xfId="0" applyNumberFormat="1" applyFont="1" applyFill="1" applyBorder="1" applyAlignment="1">
      <alignment horizontal="center" vertical="top" wrapText="1"/>
    </xf>
    <xf numFmtId="3" fontId="1" fillId="5" borderId="18" xfId="0" applyNumberFormat="1" applyFont="1" applyFill="1" applyBorder="1" applyAlignment="1">
      <alignment horizontal="center" vertical="top"/>
    </xf>
    <xf numFmtId="3" fontId="1" fillId="5" borderId="31" xfId="0" applyNumberFormat="1" applyFont="1" applyFill="1" applyBorder="1" applyAlignment="1">
      <alignment horizontal="center" vertical="top"/>
    </xf>
    <xf numFmtId="3" fontId="1" fillId="7" borderId="5" xfId="0" applyNumberFormat="1" applyFont="1" applyFill="1" applyBorder="1" applyAlignment="1">
      <alignment horizontal="center" vertical="top"/>
    </xf>
    <xf numFmtId="3" fontId="1" fillId="7" borderId="15" xfId="0" applyNumberFormat="1" applyFont="1" applyFill="1" applyBorder="1" applyAlignment="1">
      <alignment horizontal="center" vertical="top"/>
    </xf>
    <xf numFmtId="3" fontId="1" fillId="7" borderId="63" xfId="0" applyNumberFormat="1" applyFont="1" applyFill="1" applyBorder="1" applyAlignment="1">
      <alignment horizontal="center" vertical="top"/>
    </xf>
    <xf numFmtId="3" fontId="2" fillId="8" borderId="48" xfId="0" applyNumberFormat="1" applyFont="1" applyFill="1" applyBorder="1" applyAlignment="1">
      <alignment horizontal="center" vertical="top" wrapText="1"/>
    </xf>
    <xf numFmtId="3" fontId="1" fillId="0" borderId="59" xfId="0" applyNumberFormat="1" applyFont="1" applyBorder="1" applyAlignment="1">
      <alignment horizontal="center" vertical="top"/>
    </xf>
    <xf numFmtId="3" fontId="1" fillId="8" borderId="9" xfId="0" applyNumberFormat="1" applyFont="1" applyFill="1" applyBorder="1" applyAlignment="1">
      <alignment horizontal="center" vertical="top"/>
    </xf>
    <xf numFmtId="3" fontId="1" fillId="5" borderId="64" xfId="0" applyNumberFormat="1" applyFont="1" applyFill="1" applyBorder="1" applyAlignment="1">
      <alignment horizontal="center" vertical="top"/>
    </xf>
    <xf numFmtId="3" fontId="2" fillId="8" borderId="27" xfId="0" applyNumberFormat="1" applyFont="1" applyFill="1" applyBorder="1" applyAlignment="1">
      <alignment horizontal="center" vertical="top" wrapText="1"/>
    </xf>
    <xf numFmtId="3" fontId="1" fillId="0" borderId="16" xfId="0" applyNumberFormat="1" applyFont="1" applyBorder="1" applyAlignment="1">
      <alignment horizontal="center" vertical="top"/>
    </xf>
    <xf numFmtId="3" fontId="1" fillId="0" borderId="15" xfId="0" applyNumberFormat="1" applyFont="1" applyFill="1" applyBorder="1" applyAlignment="1">
      <alignment horizontal="center" vertical="top"/>
    </xf>
    <xf numFmtId="3" fontId="2" fillId="2" borderId="12" xfId="0" applyNumberFormat="1" applyFont="1" applyFill="1" applyBorder="1" applyAlignment="1">
      <alignment horizontal="center" vertical="top"/>
    </xf>
    <xf numFmtId="3" fontId="2" fillId="2" borderId="79" xfId="0" applyNumberFormat="1" applyFont="1" applyFill="1" applyBorder="1" applyAlignment="1">
      <alignment horizontal="center" vertical="top"/>
    </xf>
    <xf numFmtId="3" fontId="2" fillId="3" borderId="20" xfId="0" applyNumberFormat="1" applyFont="1" applyFill="1" applyBorder="1" applyAlignment="1">
      <alignment horizontal="center" vertical="top"/>
    </xf>
    <xf numFmtId="3" fontId="2" fillId="3" borderId="19" xfId="0" applyNumberFormat="1" applyFont="1" applyFill="1" applyBorder="1" applyAlignment="1">
      <alignment horizontal="center" vertical="top"/>
    </xf>
    <xf numFmtId="3" fontId="2" fillId="3" borderId="21" xfId="0" applyNumberFormat="1" applyFont="1" applyFill="1" applyBorder="1" applyAlignment="1">
      <alignment horizontal="center" vertical="top"/>
    </xf>
    <xf numFmtId="3" fontId="2" fillId="3" borderId="55" xfId="0" applyNumberFormat="1" applyFont="1" applyFill="1" applyBorder="1" applyAlignment="1">
      <alignment horizontal="center" vertical="top"/>
    </xf>
    <xf numFmtId="3" fontId="2" fillId="4" borderId="50" xfId="0" applyNumberFormat="1" applyFont="1" applyFill="1" applyBorder="1" applyAlignment="1">
      <alignment horizontal="center" vertical="top"/>
    </xf>
    <xf numFmtId="3" fontId="2" fillId="4" borderId="20" xfId="0" applyNumberFormat="1" applyFont="1" applyFill="1" applyBorder="1" applyAlignment="1">
      <alignment horizontal="center" vertical="top"/>
    </xf>
    <xf numFmtId="3" fontId="2" fillId="4" borderId="19" xfId="0" applyNumberFormat="1" applyFont="1" applyFill="1" applyBorder="1" applyAlignment="1">
      <alignment horizontal="center" vertical="top"/>
    </xf>
    <xf numFmtId="3" fontId="2" fillId="4" borderId="21" xfId="0" applyNumberFormat="1" applyFont="1" applyFill="1" applyBorder="1" applyAlignment="1">
      <alignment horizontal="center" vertical="top"/>
    </xf>
    <xf numFmtId="3" fontId="2" fillId="4" borderId="44" xfId="0" applyNumberFormat="1" applyFont="1" applyFill="1" applyBorder="1" applyAlignment="1">
      <alignment horizontal="center" vertical="top"/>
    </xf>
    <xf numFmtId="3" fontId="2" fillId="7" borderId="3" xfId="0" applyNumberFormat="1" applyFont="1" applyFill="1" applyBorder="1" applyAlignment="1">
      <alignment horizontal="center" vertical="top"/>
    </xf>
    <xf numFmtId="3" fontId="4" fillId="0" borderId="23" xfId="0" applyNumberFormat="1" applyFont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top" wrapText="1"/>
    </xf>
    <xf numFmtId="3" fontId="5" fillId="4" borderId="10" xfId="0" applyNumberFormat="1" applyFont="1" applyFill="1" applyBorder="1" applyAlignment="1">
      <alignment horizontal="center" vertical="top" wrapText="1"/>
    </xf>
    <xf numFmtId="3" fontId="1" fillId="0" borderId="35" xfId="0" applyNumberFormat="1" applyFont="1" applyBorder="1" applyAlignment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3" fontId="4" fillId="0" borderId="5" xfId="0" applyNumberFormat="1" applyFont="1" applyFill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top" wrapText="1"/>
    </xf>
    <xf numFmtId="3" fontId="2" fillId="4" borderId="55" xfId="0" applyNumberFormat="1" applyFont="1" applyFill="1" applyBorder="1" applyAlignment="1">
      <alignment horizontal="center" vertical="top" wrapText="1"/>
    </xf>
    <xf numFmtId="3" fontId="5" fillId="4" borderId="23" xfId="0" applyNumberFormat="1" applyFont="1" applyFill="1" applyBorder="1" applyAlignment="1">
      <alignment horizontal="center" vertical="top" wrapText="1"/>
    </xf>
    <xf numFmtId="3" fontId="1" fillId="5" borderId="58" xfId="0" applyNumberFormat="1" applyFont="1" applyFill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top" wrapText="1"/>
    </xf>
    <xf numFmtId="3" fontId="1" fillId="5" borderId="35" xfId="0" applyNumberFormat="1" applyFont="1" applyFill="1" applyBorder="1" applyAlignment="1">
      <alignment horizontal="center" vertical="top" wrapText="1"/>
    </xf>
    <xf numFmtId="3" fontId="4" fillId="0" borderId="6" xfId="0" applyNumberFormat="1" applyFont="1" applyFill="1" applyBorder="1" applyAlignment="1">
      <alignment horizontal="center" vertical="top" wrapText="1"/>
    </xf>
    <xf numFmtId="3" fontId="2" fillId="8" borderId="55" xfId="0" applyNumberFormat="1" applyFont="1" applyFill="1" applyBorder="1" applyAlignment="1">
      <alignment horizontal="center" vertical="top" wrapText="1"/>
    </xf>
    <xf numFmtId="3" fontId="5" fillId="8" borderId="23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right" vertical="top"/>
    </xf>
    <xf numFmtId="3" fontId="1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textRotation="90" wrapText="1"/>
    </xf>
    <xf numFmtId="3" fontId="1" fillId="0" borderId="0" xfId="0" applyNumberFormat="1" applyFont="1" applyBorder="1" applyAlignment="1">
      <alignment vertical="top"/>
    </xf>
    <xf numFmtId="3" fontId="2" fillId="0" borderId="0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horizontal="center" vertical="top"/>
    </xf>
    <xf numFmtId="3" fontId="1" fillId="0" borderId="0" xfId="0" applyNumberFormat="1" applyFont="1" applyAlignment="1">
      <alignment vertical="top"/>
    </xf>
    <xf numFmtId="49" fontId="2" fillId="7" borderId="0" xfId="0" applyNumberFormat="1" applyFont="1" applyFill="1" applyBorder="1" applyAlignment="1">
      <alignment horizontal="center" vertical="top"/>
    </xf>
    <xf numFmtId="49" fontId="2" fillId="7" borderId="0" xfId="0" applyNumberFormat="1" applyFont="1" applyFill="1" applyBorder="1" applyAlignment="1">
      <alignment horizontal="right" vertical="top"/>
    </xf>
    <xf numFmtId="1" fontId="2" fillId="7" borderId="0" xfId="0" applyNumberFormat="1" applyFont="1" applyFill="1" applyBorder="1" applyAlignment="1">
      <alignment horizontal="center" vertical="top"/>
    </xf>
    <xf numFmtId="3" fontId="4" fillId="7" borderId="3" xfId="0" applyNumberFormat="1" applyFont="1" applyFill="1" applyBorder="1" applyAlignment="1">
      <alignment horizontal="center" vertical="top" wrapText="1"/>
    </xf>
    <xf numFmtId="49" fontId="2" fillId="2" borderId="14" xfId="0" applyNumberFormat="1" applyFont="1" applyFill="1" applyBorder="1" applyAlignment="1">
      <alignment vertical="top"/>
    </xf>
    <xf numFmtId="49" fontId="2" fillId="2" borderId="76" xfId="0" applyNumberFormat="1" applyFont="1" applyFill="1" applyBorder="1" applyAlignment="1">
      <alignment vertical="top"/>
    </xf>
    <xf numFmtId="3" fontId="2" fillId="5" borderId="0" xfId="0" applyNumberFormat="1" applyFont="1" applyFill="1" applyBorder="1" applyAlignment="1">
      <alignment horizontal="center" vertical="top"/>
    </xf>
    <xf numFmtId="3" fontId="2" fillId="5" borderId="31" xfId="0" applyNumberFormat="1" applyFont="1" applyFill="1" applyBorder="1" applyAlignment="1">
      <alignment horizontal="center" vertical="top"/>
    </xf>
    <xf numFmtId="3" fontId="1" fillId="0" borderId="43" xfId="0" applyNumberFormat="1" applyFont="1" applyBorder="1" applyAlignment="1">
      <alignment horizontal="center" vertical="top"/>
    </xf>
    <xf numFmtId="3" fontId="1" fillId="0" borderId="61" xfId="0" applyNumberFormat="1" applyFont="1" applyBorder="1" applyAlignment="1">
      <alignment horizontal="center" vertical="top"/>
    </xf>
    <xf numFmtId="164" fontId="1" fillId="0" borderId="17" xfId="0" applyNumberFormat="1" applyFont="1" applyBorder="1" applyAlignment="1">
      <alignment horizontal="left" vertical="top"/>
    </xf>
    <xf numFmtId="3" fontId="1" fillId="0" borderId="0" xfId="0" applyNumberFormat="1" applyFont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5" fillId="8" borderId="51" xfId="0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64" fontId="1" fillId="0" borderId="41" xfId="0" applyNumberFormat="1" applyFont="1" applyBorder="1" applyAlignment="1">
      <alignment horizontal="left" vertical="top" wrapText="1"/>
    </xf>
    <xf numFmtId="164" fontId="1" fillId="0" borderId="20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49" fontId="5" fillId="2" borderId="18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left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1" fillId="5" borderId="42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49" fontId="5" fillId="3" borderId="22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0" fontId="1" fillId="0" borderId="38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4" fillId="0" borderId="60" xfId="0" applyFont="1" applyFill="1" applyBorder="1" applyAlignment="1">
      <alignment horizontal="center" vertical="top" wrapText="1"/>
    </xf>
    <xf numFmtId="3" fontId="4" fillId="0" borderId="67" xfId="0" applyNumberFormat="1" applyFont="1" applyFill="1" applyBorder="1" applyAlignment="1">
      <alignment horizontal="center" vertical="top" wrapText="1"/>
    </xf>
    <xf numFmtId="3" fontId="4" fillId="0" borderId="55" xfId="0" applyNumberFormat="1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2" fillId="0" borderId="39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0" fontId="4" fillId="0" borderId="66" xfId="0" applyFont="1" applyFill="1" applyBorder="1" applyAlignment="1">
      <alignment horizontal="center" vertical="center" textRotation="90" wrapText="1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0" fontId="1" fillId="0" borderId="38" xfId="0" applyFont="1" applyBorder="1" applyAlignment="1">
      <alignment horizontal="left" vertical="top" wrapText="1"/>
    </xf>
    <xf numFmtId="49" fontId="1" fillId="7" borderId="31" xfId="0" applyNumberFormat="1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1" fillId="5" borderId="38" xfId="0" applyFont="1" applyFill="1" applyBorder="1" applyAlignment="1">
      <alignment horizontal="left" vertical="top" wrapText="1"/>
    </xf>
    <xf numFmtId="164" fontId="4" fillId="0" borderId="62" xfId="0" applyNumberFormat="1" applyFont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1" fillId="5" borderId="41" xfId="0" applyFont="1" applyFill="1" applyBorder="1" applyAlignment="1">
      <alignment horizontal="left" vertical="top"/>
    </xf>
    <xf numFmtId="0" fontId="1" fillId="7" borderId="18" xfId="0" applyNumberFormat="1" applyFont="1" applyFill="1" applyBorder="1" applyAlignment="1">
      <alignment horizontal="center" vertical="top"/>
    </xf>
    <xf numFmtId="0" fontId="1" fillId="7" borderId="31" xfId="0" applyNumberFormat="1" applyFont="1" applyFill="1" applyBorder="1" applyAlignment="1">
      <alignment horizontal="center" vertical="top"/>
    </xf>
    <xf numFmtId="0" fontId="2" fillId="0" borderId="44" xfId="0" applyNumberFormat="1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60" xfId="0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horizontal="center" vertical="top" wrapText="1"/>
    </xf>
    <xf numFmtId="165" fontId="15" fillId="5" borderId="41" xfId="0" applyNumberFormat="1" applyFont="1" applyFill="1" applyBorder="1" applyAlignment="1">
      <alignment vertical="top" wrapText="1"/>
    </xf>
    <xf numFmtId="0" fontId="15" fillId="5" borderId="18" xfId="0" applyNumberFormat="1" applyFont="1" applyFill="1" applyBorder="1" applyAlignment="1">
      <alignment horizontal="center" vertical="top"/>
    </xf>
    <xf numFmtId="0" fontId="15" fillId="5" borderId="31" xfId="0" applyNumberFormat="1" applyFont="1" applyFill="1" applyBorder="1" applyAlignment="1">
      <alignment horizontal="center" vertical="top"/>
    </xf>
    <xf numFmtId="165" fontId="15" fillId="5" borderId="42" xfId="0" applyNumberFormat="1" applyFont="1" applyFill="1" applyBorder="1" applyAlignment="1">
      <alignment vertical="top" wrapText="1"/>
    </xf>
    <xf numFmtId="0" fontId="15" fillId="5" borderId="43" xfId="0" applyNumberFormat="1" applyFont="1" applyFill="1" applyBorder="1" applyAlignment="1">
      <alignment horizontal="center" vertical="top"/>
    </xf>
    <xf numFmtId="0" fontId="15" fillId="5" borderId="61" xfId="0" applyNumberFormat="1" applyFont="1" applyFill="1" applyBorder="1" applyAlignment="1">
      <alignment horizontal="center" vertical="top"/>
    </xf>
    <xf numFmtId="165" fontId="15" fillId="5" borderId="38" xfId="0" applyNumberFormat="1" applyFont="1" applyFill="1" applyBorder="1" applyAlignment="1">
      <alignment vertical="top" wrapText="1"/>
    </xf>
    <xf numFmtId="0" fontId="15" fillId="5" borderId="60" xfId="0" applyNumberFormat="1" applyFont="1" applyFill="1" applyBorder="1" applyAlignment="1">
      <alignment horizontal="center" vertical="top"/>
    </xf>
    <xf numFmtId="0" fontId="15" fillId="5" borderId="40" xfId="0" applyNumberFormat="1" applyFont="1" applyFill="1" applyBorder="1" applyAlignment="1">
      <alignment horizontal="center" vertical="top"/>
    </xf>
    <xf numFmtId="3" fontId="5" fillId="8" borderId="6" xfId="0" applyNumberFormat="1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3" fontId="14" fillId="0" borderId="17" xfId="0" applyNumberFormat="1" applyFont="1" applyFill="1" applyBorder="1" applyAlignment="1">
      <alignment horizontal="center" vertical="top" wrapText="1"/>
    </xf>
    <xf numFmtId="3" fontId="14" fillId="8" borderId="41" xfId="0" applyNumberFormat="1" applyFont="1" applyFill="1" applyBorder="1" applyAlignment="1">
      <alignment horizontal="center" vertical="top"/>
    </xf>
    <xf numFmtId="3" fontId="14" fillId="5" borderId="18" xfId="0" applyNumberFormat="1" applyFont="1" applyFill="1" applyBorder="1" applyAlignment="1">
      <alignment horizontal="center" vertical="top"/>
    </xf>
    <xf numFmtId="3" fontId="14" fillId="5" borderId="31" xfId="0" applyNumberFormat="1" applyFont="1" applyFill="1" applyBorder="1" applyAlignment="1">
      <alignment horizontal="center" vertical="top"/>
    </xf>
    <xf numFmtId="3" fontId="14" fillId="0" borderId="8" xfId="0" applyNumberFormat="1" applyFont="1" applyFill="1" applyBorder="1" applyAlignment="1">
      <alignment horizontal="center" vertical="top"/>
    </xf>
    <xf numFmtId="3" fontId="14" fillId="0" borderId="7" xfId="0" applyNumberFormat="1" applyFont="1" applyFill="1" applyBorder="1" applyAlignment="1">
      <alignment horizontal="center" vertical="top"/>
    </xf>
    <xf numFmtId="165" fontId="14" fillId="5" borderId="41" xfId="0" applyNumberFormat="1" applyFont="1" applyFill="1" applyBorder="1" applyAlignment="1">
      <alignment vertical="top" wrapText="1"/>
    </xf>
    <xf numFmtId="0" fontId="14" fillId="5" borderId="18" xfId="0" applyNumberFormat="1" applyFont="1" applyFill="1" applyBorder="1" applyAlignment="1">
      <alignment horizontal="center" vertical="top"/>
    </xf>
    <xf numFmtId="0" fontId="14" fillId="5" borderId="31" xfId="0" applyNumberFormat="1" applyFont="1" applyFill="1" applyBorder="1" applyAlignment="1">
      <alignment horizontal="center" vertical="top"/>
    </xf>
    <xf numFmtId="0" fontId="17" fillId="0" borderId="18" xfId="0" applyFont="1" applyBorder="1" applyAlignment="1">
      <alignment horizontal="center" vertical="top"/>
    </xf>
    <xf numFmtId="0" fontId="15" fillId="0" borderId="31" xfId="0" applyNumberFormat="1" applyFont="1" applyBorder="1" applyAlignment="1">
      <alignment horizontal="center" vertical="top"/>
    </xf>
    <xf numFmtId="0" fontId="15" fillId="5" borderId="67" xfId="0" applyFont="1" applyFill="1" applyBorder="1" applyAlignment="1">
      <alignment horizontal="center" vertical="top"/>
    </xf>
    <xf numFmtId="3" fontId="15" fillId="5" borderId="62" xfId="0" applyNumberFormat="1" applyFont="1" applyFill="1" applyBorder="1" applyAlignment="1">
      <alignment horizontal="center" vertical="top"/>
    </xf>
    <xf numFmtId="3" fontId="15" fillId="8" borderId="38" xfId="0" applyNumberFormat="1" applyFont="1" applyFill="1" applyBorder="1" applyAlignment="1">
      <alignment horizontal="center" vertical="top"/>
    </xf>
    <xf numFmtId="3" fontId="15" fillId="5" borderId="60" xfId="0" applyNumberFormat="1" applyFont="1" applyFill="1" applyBorder="1" applyAlignment="1">
      <alignment horizontal="center" vertical="top"/>
    </xf>
    <xf numFmtId="3" fontId="15" fillId="5" borderId="53" xfId="0" applyNumberFormat="1" applyFont="1" applyFill="1" applyBorder="1" applyAlignment="1">
      <alignment horizontal="center" vertical="top"/>
    </xf>
    <xf numFmtId="3" fontId="15" fillId="0" borderId="2" xfId="0" applyNumberFormat="1" applyFont="1" applyFill="1" applyBorder="1" applyAlignment="1">
      <alignment horizontal="center" vertical="top"/>
    </xf>
    <xf numFmtId="3" fontId="15" fillId="0" borderId="26" xfId="0" applyNumberFormat="1" applyFont="1" applyFill="1" applyBorder="1" applyAlignment="1">
      <alignment horizontal="center" vertical="top"/>
    </xf>
    <xf numFmtId="0" fontId="15" fillId="0" borderId="18" xfId="0" applyFont="1" applyBorder="1" applyAlignment="1">
      <alignment horizontal="center" vertical="top"/>
    </xf>
    <xf numFmtId="0" fontId="17" fillId="0" borderId="7" xfId="0" applyNumberFormat="1" applyFont="1" applyBorder="1" applyAlignment="1">
      <alignment horizontal="center" vertical="top"/>
    </xf>
    <xf numFmtId="0" fontId="15" fillId="5" borderId="62" xfId="0" applyFont="1" applyFill="1" applyBorder="1" applyAlignment="1">
      <alignment horizontal="center" vertical="top"/>
    </xf>
    <xf numFmtId="3" fontId="15" fillId="5" borderId="40" xfId="0" applyNumberFormat="1" applyFont="1" applyFill="1" applyBorder="1" applyAlignment="1">
      <alignment horizontal="center" vertical="top"/>
    </xf>
    <xf numFmtId="3" fontId="15" fillId="0" borderId="6" xfId="0" applyNumberFormat="1" applyFont="1" applyFill="1" applyBorder="1" applyAlignment="1">
      <alignment horizontal="center" vertical="top"/>
    </xf>
    <xf numFmtId="3" fontId="15" fillId="0" borderId="28" xfId="0" applyNumberFormat="1" applyFont="1" applyFill="1" applyBorder="1" applyAlignment="1">
      <alignment horizontal="center" vertical="top"/>
    </xf>
    <xf numFmtId="0" fontId="15" fillId="5" borderId="17" xfId="0" applyFont="1" applyFill="1" applyBorder="1" applyAlignment="1">
      <alignment horizontal="center" vertical="top"/>
    </xf>
    <xf numFmtId="3" fontId="15" fillId="5" borderId="17" xfId="0" applyNumberFormat="1" applyFont="1" applyFill="1" applyBorder="1" applyAlignment="1">
      <alignment horizontal="center" vertical="top"/>
    </xf>
    <xf numFmtId="3" fontId="15" fillId="8" borderId="17" xfId="0" applyNumberFormat="1" applyFont="1" applyFill="1" applyBorder="1" applyAlignment="1">
      <alignment horizontal="center" vertical="top"/>
    </xf>
    <xf numFmtId="3" fontId="15" fillId="5" borderId="18" xfId="0" applyNumberFormat="1" applyFont="1" applyFill="1" applyBorder="1" applyAlignment="1">
      <alignment horizontal="center" vertical="top"/>
    </xf>
    <xf numFmtId="3" fontId="15" fillId="5" borderId="7" xfId="0" applyNumberFormat="1" applyFont="1" applyFill="1" applyBorder="1" applyAlignment="1">
      <alignment horizontal="center" vertical="top"/>
    </xf>
    <xf numFmtId="3" fontId="15" fillId="0" borderId="8" xfId="0" applyNumberFormat="1" applyFont="1" applyFill="1" applyBorder="1" applyAlignment="1">
      <alignment horizontal="center" vertical="top"/>
    </xf>
    <xf numFmtId="3" fontId="15" fillId="0" borderId="7" xfId="0" applyNumberFormat="1" applyFont="1" applyFill="1" applyBorder="1" applyAlignment="1">
      <alignment horizontal="center" vertical="top"/>
    </xf>
    <xf numFmtId="0" fontId="17" fillId="0" borderId="60" xfId="0" applyFont="1" applyBorder="1" applyAlignment="1">
      <alignment horizontal="center" vertical="top"/>
    </xf>
    <xf numFmtId="0" fontId="17" fillId="0" borderId="28" xfId="0" applyNumberFormat="1" applyFont="1" applyBorder="1" applyAlignment="1">
      <alignment horizontal="center" vertical="top"/>
    </xf>
    <xf numFmtId="0" fontId="15" fillId="5" borderId="63" xfId="0" applyFont="1" applyFill="1" applyBorder="1" applyAlignment="1">
      <alignment horizontal="center" vertical="top"/>
    </xf>
    <xf numFmtId="3" fontId="15" fillId="5" borderId="63" xfId="0" applyNumberFormat="1" applyFont="1" applyFill="1" applyBorder="1" applyAlignment="1">
      <alignment horizontal="center" vertical="top"/>
    </xf>
    <xf numFmtId="3" fontId="15" fillId="8" borderId="63" xfId="0" applyNumberFormat="1" applyFont="1" applyFill="1" applyBorder="1" applyAlignment="1">
      <alignment horizontal="center" vertical="top"/>
    </xf>
    <xf numFmtId="3" fontId="15" fillId="5" borderId="43" xfId="0" applyNumberFormat="1" applyFont="1" applyFill="1" applyBorder="1" applyAlignment="1">
      <alignment horizontal="center" vertical="top"/>
    </xf>
    <xf numFmtId="3" fontId="15" fillId="5" borderId="15" xfId="0" applyNumberFormat="1" applyFont="1" applyFill="1" applyBorder="1" applyAlignment="1">
      <alignment horizontal="center" vertical="top"/>
    </xf>
    <xf numFmtId="3" fontId="15" fillId="0" borderId="5" xfId="0" applyNumberFormat="1" applyFont="1" applyFill="1" applyBorder="1" applyAlignment="1">
      <alignment horizontal="center" vertical="top"/>
    </xf>
    <xf numFmtId="3" fontId="15" fillId="0" borderId="15" xfId="0" applyNumberFormat="1" applyFont="1" applyFill="1" applyBorder="1" applyAlignment="1">
      <alignment horizontal="center" vertical="top"/>
    </xf>
    <xf numFmtId="0" fontId="17" fillId="0" borderId="18" xfId="0" applyFont="1" applyFill="1" applyBorder="1" applyAlignment="1">
      <alignment vertical="top" wrapText="1"/>
    </xf>
    <xf numFmtId="0" fontId="17" fillId="0" borderId="43" xfId="0" applyFont="1" applyFill="1" applyBorder="1" applyAlignment="1">
      <alignment vertical="top" wrapText="1"/>
    </xf>
    <xf numFmtId="0" fontId="17" fillId="0" borderId="15" xfId="0" applyNumberFormat="1" applyFont="1" applyBorder="1" applyAlignment="1">
      <alignment horizontal="center" vertical="top"/>
    </xf>
    <xf numFmtId="0" fontId="17" fillId="0" borderId="18" xfId="0" applyFont="1" applyFill="1" applyBorder="1" applyAlignment="1">
      <alignment horizontal="center" vertical="top" wrapText="1"/>
    </xf>
    <xf numFmtId="3" fontId="15" fillId="8" borderId="41" xfId="0" applyNumberFormat="1" applyFont="1" applyFill="1" applyBorder="1" applyAlignment="1">
      <alignment horizontal="center" vertical="top"/>
    </xf>
    <xf numFmtId="3" fontId="15" fillId="5" borderId="31" xfId="0" applyNumberFormat="1" applyFont="1" applyFill="1" applyBorder="1" applyAlignment="1">
      <alignment horizontal="center" vertical="top"/>
    </xf>
    <xf numFmtId="164" fontId="4" fillId="0" borderId="44" xfId="0" applyNumberFormat="1" applyFont="1" applyFill="1" applyBorder="1" applyAlignment="1">
      <alignment horizontal="center" vertical="top" wrapText="1"/>
    </xf>
    <xf numFmtId="3" fontId="4" fillId="0" borderId="16" xfId="0" applyNumberFormat="1" applyFont="1" applyFill="1" applyBorder="1" applyAlignment="1">
      <alignment horizontal="center" vertical="top"/>
    </xf>
    <xf numFmtId="3" fontId="2" fillId="8" borderId="62" xfId="0" applyNumberFormat="1" applyFont="1" applyFill="1" applyBorder="1" applyAlignment="1">
      <alignment horizontal="center" vertical="top"/>
    </xf>
    <xf numFmtId="0" fontId="4" fillId="0" borderId="72" xfId="0" applyFont="1" applyFill="1" applyBorder="1" applyAlignment="1">
      <alignment vertical="top" wrapText="1"/>
    </xf>
    <xf numFmtId="0" fontId="4" fillId="0" borderId="69" xfId="0" applyFont="1" applyFill="1" applyBorder="1" applyAlignment="1">
      <alignment vertical="top" wrapText="1"/>
    </xf>
    <xf numFmtId="164" fontId="4" fillId="0" borderId="69" xfId="0" applyNumberFormat="1" applyFont="1" applyFill="1" applyBorder="1" applyAlignment="1">
      <alignment horizontal="center" vertical="top" wrapText="1"/>
    </xf>
    <xf numFmtId="0" fontId="4" fillId="0" borderId="40" xfId="0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center" vertical="top"/>
    </xf>
    <xf numFmtId="3" fontId="5" fillId="8" borderId="0" xfId="0" applyNumberFormat="1" applyFont="1" applyFill="1" applyBorder="1" applyAlignment="1">
      <alignment horizontal="center" vertical="top"/>
    </xf>
    <xf numFmtId="3" fontId="4" fillId="0" borderId="43" xfId="0" applyNumberFormat="1" applyFont="1" applyBorder="1" applyAlignment="1">
      <alignment horizontal="center" vertical="top"/>
    </xf>
    <xf numFmtId="3" fontId="4" fillId="0" borderId="60" xfId="0" applyNumberFormat="1" applyFont="1" applyFill="1" applyBorder="1" applyAlignment="1">
      <alignment horizontal="center" vertical="top"/>
    </xf>
    <xf numFmtId="3" fontId="4" fillId="0" borderId="18" xfId="0" applyNumberFormat="1" applyFont="1" applyBorder="1" applyAlignment="1">
      <alignment horizontal="center" vertical="top"/>
    </xf>
    <xf numFmtId="3" fontId="5" fillId="8" borderId="4" xfId="0" applyNumberFormat="1" applyFont="1" applyFill="1" applyBorder="1" applyAlignment="1">
      <alignment horizontal="center" vertical="top" wrapText="1"/>
    </xf>
    <xf numFmtId="3" fontId="4" fillId="0" borderId="13" xfId="0" applyNumberFormat="1" applyFont="1" applyBorder="1" applyAlignment="1">
      <alignment horizontal="center" vertical="top"/>
    </xf>
    <xf numFmtId="3" fontId="2" fillId="3" borderId="12" xfId="0" applyNumberFormat="1" applyFont="1" applyFill="1" applyBorder="1" applyAlignment="1">
      <alignment horizontal="center" vertical="top"/>
    </xf>
    <xf numFmtId="3" fontId="4" fillId="0" borderId="13" xfId="0" applyNumberFormat="1" applyFont="1" applyFill="1" applyBorder="1" applyAlignment="1">
      <alignment horizontal="center" vertical="top" wrapText="1"/>
    </xf>
    <xf numFmtId="3" fontId="5" fillId="8" borderId="4" xfId="0" applyNumberFormat="1" applyFont="1" applyFill="1" applyBorder="1" applyAlignment="1">
      <alignment horizontal="center" wrapText="1"/>
    </xf>
    <xf numFmtId="3" fontId="2" fillId="3" borderId="11" xfId="0" applyNumberFormat="1" applyFont="1" applyFill="1" applyBorder="1" applyAlignment="1">
      <alignment horizontal="center" vertical="top"/>
    </xf>
    <xf numFmtId="3" fontId="4" fillId="0" borderId="68" xfId="0" applyNumberFormat="1" applyFont="1" applyFill="1" applyBorder="1" applyAlignment="1">
      <alignment horizontal="center" vertical="top"/>
    </xf>
    <xf numFmtId="3" fontId="4" fillId="0" borderId="60" xfId="0" applyNumberFormat="1" applyFont="1" applyFill="1" applyBorder="1" applyAlignment="1">
      <alignment horizontal="center" vertical="top" wrapText="1"/>
    </xf>
    <xf numFmtId="3" fontId="4" fillId="0" borderId="68" xfId="0" applyNumberFormat="1" applyFont="1" applyFill="1" applyBorder="1" applyAlignment="1">
      <alignment horizontal="center" vertical="top" wrapText="1"/>
    </xf>
    <xf numFmtId="3" fontId="5" fillId="8" borderId="60" xfId="0" applyNumberFormat="1" applyFont="1" applyFill="1" applyBorder="1" applyAlignment="1">
      <alignment horizontal="center" vertical="top" wrapText="1"/>
    </xf>
    <xf numFmtId="3" fontId="5" fillId="8" borderId="68" xfId="0" applyNumberFormat="1" applyFont="1" applyFill="1" applyBorder="1" applyAlignment="1">
      <alignment horizontal="center" vertical="top" wrapText="1"/>
    </xf>
    <xf numFmtId="3" fontId="4" fillId="0" borderId="18" xfId="0" applyNumberFormat="1" applyFont="1" applyFill="1" applyBorder="1" applyAlignment="1">
      <alignment horizontal="center" vertical="top" wrapText="1"/>
    </xf>
    <xf numFmtId="3" fontId="5" fillId="8" borderId="19" xfId="0" applyNumberFormat="1" applyFont="1" applyFill="1" applyBorder="1" applyAlignment="1">
      <alignment horizontal="center" vertical="top" wrapText="1"/>
    </xf>
    <xf numFmtId="3" fontId="1" fillId="0" borderId="24" xfId="0" applyNumberFormat="1" applyFont="1" applyBorder="1" applyAlignment="1">
      <alignment horizontal="center" vertical="top"/>
    </xf>
    <xf numFmtId="3" fontId="2" fillId="8" borderId="51" xfId="0" applyNumberFormat="1" applyFont="1" applyFill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center" vertical="top"/>
    </xf>
    <xf numFmtId="3" fontId="2" fillId="8" borderId="4" xfId="0" applyNumberFormat="1" applyFont="1" applyFill="1" applyBorder="1" applyAlignment="1">
      <alignment horizontal="center" vertical="top" wrapText="1"/>
    </xf>
    <xf numFmtId="3" fontId="2" fillId="4" borderId="57" xfId="0" applyNumberFormat="1" applyFont="1" applyFill="1" applyBorder="1" applyAlignment="1">
      <alignment horizontal="center" vertical="top"/>
    </xf>
    <xf numFmtId="3" fontId="2" fillId="8" borderId="46" xfId="0" applyNumberFormat="1" applyFont="1" applyFill="1" applyBorder="1" applyAlignment="1">
      <alignment horizontal="center" vertical="top" wrapText="1"/>
    </xf>
    <xf numFmtId="3" fontId="1" fillId="0" borderId="18" xfId="0" applyNumberFormat="1" applyFont="1" applyFill="1" applyBorder="1" applyAlignment="1">
      <alignment horizontal="center" vertical="top" wrapText="1"/>
    </xf>
    <xf numFmtId="3" fontId="1" fillId="0" borderId="29" xfId="0" applyNumberFormat="1" applyFont="1" applyBorder="1" applyAlignment="1">
      <alignment horizontal="center" vertical="top"/>
    </xf>
    <xf numFmtId="3" fontId="2" fillId="8" borderId="60" xfId="0" applyNumberFormat="1" applyFont="1" applyFill="1" applyBorder="1" applyAlignment="1">
      <alignment horizontal="center" vertical="top" wrapText="1"/>
    </xf>
    <xf numFmtId="3" fontId="2" fillId="4" borderId="13" xfId="0" applyNumberFormat="1" applyFont="1" applyFill="1" applyBorder="1" applyAlignment="1">
      <alignment horizontal="center" vertical="top" wrapText="1"/>
    </xf>
    <xf numFmtId="3" fontId="1" fillId="0" borderId="68" xfId="0" applyNumberFormat="1" applyFont="1" applyBorder="1" applyAlignment="1">
      <alignment horizontal="center" vertical="top" wrapText="1"/>
    </xf>
    <xf numFmtId="3" fontId="1" fillId="5" borderId="68" xfId="0" applyNumberFormat="1" applyFont="1" applyFill="1" applyBorder="1" applyAlignment="1">
      <alignment horizontal="center" vertical="top" wrapText="1"/>
    </xf>
    <xf numFmtId="3" fontId="18" fillId="0" borderId="1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8" fillId="0" borderId="0" xfId="0" applyFont="1" applyBorder="1" applyAlignment="1">
      <alignment vertical="top"/>
    </xf>
    <xf numFmtId="3" fontId="18" fillId="0" borderId="76" xfId="0" applyNumberFormat="1" applyFont="1" applyBorder="1" applyAlignment="1">
      <alignment horizontal="center" vertical="center" wrapText="1"/>
    </xf>
    <xf numFmtId="3" fontId="5" fillId="8" borderId="2" xfId="0" applyNumberFormat="1" applyFont="1" applyFill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top" wrapText="1"/>
    </xf>
    <xf numFmtId="3" fontId="4" fillId="0" borderId="29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 wrapText="1"/>
    </xf>
    <xf numFmtId="3" fontId="5" fillId="8" borderId="17" xfId="0" applyNumberFormat="1" applyFont="1" applyFill="1" applyBorder="1" applyAlignment="1">
      <alignment horizontal="center" vertical="top"/>
    </xf>
    <xf numFmtId="0" fontId="4" fillId="7" borderId="60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3" fontId="1" fillId="7" borderId="6" xfId="0" applyNumberFormat="1" applyFont="1" applyFill="1" applyBorder="1" applyAlignment="1">
      <alignment horizontal="center" vertical="top"/>
    </xf>
    <xf numFmtId="3" fontId="4" fillId="0" borderId="60" xfId="0" applyNumberFormat="1" applyFont="1" applyBorder="1" applyAlignment="1">
      <alignment horizontal="center" vertical="top"/>
    </xf>
    <xf numFmtId="3" fontId="4" fillId="0" borderId="40" xfId="0" applyNumberFormat="1" applyFont="1" applyBorder="1" applyAlignment="1">
      <alignment horizontal="center" vertical="top"/>
    </xf>
    <xf numFmtId="3" fontId="1" fillId="0" borderId="18" xfId="0" applyNumberFormat="1" applyFont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5" borderId="31" xfId="0" applyNumberFormat="1" applyFont="1" applyFill="1" applyBorder="1" applyAlignment="1">
      <alignment horizontal="center" vertical="top"/>
    </xf>
    <xf numFmtId="0" fontId="1" fillId="0" borderId="4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2" fillId="0" borderId="44" xfId="0" applyNumberFormat="1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 wrapText="1"/>
    </xf>
    <xf numFmtId="0" fontId="1" fillId="0" borderId="40" xfId="0" applyNumberFormat="1" applyFont="1" applyFill="1" applyBorder="1" applyAlignment="1">
      <alignment horizontal="center" vertical="top"/>
    </xf>
    <xf numFmtId="0" fontId="1" fillId="0" borderId="31" xfId="0" applyNumberFormat="1" applyFont="1" applyFill="1" applyBorder="1" applyAlignment="1">
      <alignment horizontal="center" vertical="top"/>
    </xf>
    <xf numFmtId="3" fontId="1" fillId="0" borderId="74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3" fontId="4" fillId="0" borderId="33" xfId="0" applyNumberFormat="1" applyFont="1" applyBorder="1" applyAlignment="1">
      <alignment horizontal="center" vertical="top"/>
    </xf>
    <xf numFmtId="3" fontId="4" fillId="0" borderId="72" xfId="0" applyNumberFormat="1" applyFont="1" applyFill="1" applyBorder="1" applyAlignment="1">
      <alignment horizontal="center" vertical="top"/>
    </xf>
    <xf numFmtId="3" fontId="4" fillId="0" borderId="9" xfId="0" applyNumberFormat="1" applyFont="1" applyBorder="1" applyAlignment="1">
      <alignment horizontal="center" vertical="top"/>
    </xf>
    <xf numFmtId="3" fontId="4" fillId="0" borderId="64" xfId="0" applyNumberFormat="1" applyFont="1" applyBorder="1" applyAlignment="1">
      <alignment horizontal="center" vertical="top"/>
    </xf>
    <xf numFmtId="165" fontId="4" fillId="5" borderId="69" xfId="0" applyNumberFormat="1" applyFont="1" applyFill="1" applyBorder="1" applyAlignment="1">
      <alignment vertical="top" wrapText="1"/>
    </xf>
    <xf numFmtId="3" fontId="2" fillId="4" borderId="24" xfId="0" applyNumberFormat="1" applyFont="1" applyFill="1" applyBorder="1" applyAlignment="1">
      <alignment horizontal="center" vertical="top" wrapText="1"/>
    </xf>
    <xf numFmtId="3" fontId="1" fillId="0" borderId="53" xfId="0" applyNumberFormat="1" applyFont="1" applyBorder="1" applyAlignment="1">
      <alignment horizontal="center" vertical="top" wrapText="1"/>
    </xf>
    <xf numFmtId="0" fontId="1" fillId="5" borderId="43" xfId="0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vertical="top"/>
    </xf>
    <xf numFmtId="3" fontId="2" fillId="4" borderId="16" xfId="0" applyNumberFormat="1" applyFont="1" applyFill="1" applyBorder="1" applyAlignment="1">
      <alignment horizontal="center" vertical="top" wrapText="1"/>
    </xf>
    <xf numFmtId="3" fontId="1" fillId="5" borderId="53" xfId="0" applyNumberFormat="1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 wrapText="1"/>
    </xf>
    <xf numFmtId="0" fontId="4" fillId="0" borderId="36" xfId="0" applyFont="1" applyFill="1" applyBorder="1" applyAlignment="1">
      <alignment horizontal="left" vertical="top" wrapText="1"/>
    </xf>
    <xf numFmtId="3" fontId="1" fillId="0" borderId="26" xfId="0" applyNumberFormat="1" applyFont="1" applyBorder="1" applyAlignment="1">
      <alignment horizontal="center" vertical="top" wrapText="1"/>
    </xf>
    <xf numFmtId="0" fontId="4" fillId="5" borderId="29" xfId="0" applyNumberFormat="1" applyFont="1" applyFill="1" applyBorder="1" applyAlignment="1">
      <alignment horizontal="center" vertical="top"/>
    </xf>
    <xf numFmtId="0" fontId="4" fillId="5" borderId="72" xfId="0" applyNumberFormat="1" applyFont="1" applyFill="1" applyBorder="1" applyAlignment="1">
      <alignment horizontal="center" vertical="top"/>
    </xf>
    <xf numFmtId="0" fontId="1" fillId="7" borderId="43" xfId="0" applyFont="1" applyFill="1" applyBorder="1" applyAlignment="1">
      <alignment vertical="top" wrapText="1"/>
    </xf>
    <xf numFmtId="0" fontId="1" fillId="5" borderId="41" xfId="0" applyFont="1" applyFill="1" applyBorder="1" applyAlignment="1">
      <alignment vertical="top" wrapText="1"/>
    </xf>
    <xf numFmtId="0" fontId="1" fillId="5" borderId="18" xfId="0" applyNumberFormat="1" applyFont="1" applyFill="1" applyBorder="1" applyAlignment="1">
      <alignment horizontal="center" vertical="top"/>
    </xf>
    <xf numFmtId="0" fontId="1" fillId="5" borderId="7" xfId="0" applyNumberFormat="1" applyFont="1" applyFill="1" applyBorder="1" applyAlignment="1">
      <alignment horizontal="center" vertical="top"/>
    </xf>
    <xf numFmtId="0" fontId="1" fillId="5" borderId="42" xfId="0" applyFont="1" applyFill="1" applyBorder="1" applyAlignment="1">
      <alignment horizontal="left" vertical="top"/>
    </xf>
    <xf numFmtId="0" fontId="1" fillId="7" borderId="43" xfId="0" applyNumberFormat="1" applyFont="1" applyFill="1" applyBorder="1" applyAlignment="1">
      <alignment horizontal="center" vertical="top"/>
    </xf>
    <xf numFmtId="0" fontId="1" fillId="7" borderId="61" xfId="0" applyNumberFormat="1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  <xf numFmtId="3" fontId="1" fillId="0" borderId="28" xfId="0" applyNumberFormat="1" applyFont="1" applyBorder="1" applyAlignment="1">
      <alignment horizontal="center" vertical="top"/>
    </xf>
    <xf numFmtId="3" fontId="2" fillId="4" borderId="10" xfId="0" applyNumberFormat="1" applyFont="1" applyFill="1" applyBorder="1" applyAlignment="1">
      <alignment horizontal="center" vertical="top" wrapText="1"/>
    </xf>
    <xf numFmtId="3" fontId="1" fillId="0" borderId="8" xfId="0" applyNumberFormat="1" applyFont="1" applyBorder="1" applyAlignment="1">
      <alignment horizontal="center" vertical="top" wrapText="1"/>
    </xf>
    <xf numFmtId="3" fontId="2" fillId="4" borderId="2" xfId="0" applyNumberFormat="1" applyFont="1" applyFill="1" applyBorder="1" applyAlignment="1">
      <alignment horizontal="center" vertical="top" wrapText="1"/>
    </xf>
    <xf numFmtId="3" fontId="1" fillId="5" borderId="5" xfId="0" applyNumberFormat="1" applyFont="1" applyFill="1" applyBorder="1" applyAlignment="1">
      <alignment horizontal="center" vertical="top" wrapText="1"/>
    </xf>
    <xf numFmtId="3" fontId="1" fillId="5" borderId="6" xfId="0" applyNumberFormat="1" applyFont="1" applyFill="1" applyBorder="1" applyAlignment="1">
      <alignment horizontal="center" vertical="top" wrapText="1"/>
    </xf>
    <xf numFmtId="3" fontId="4" fillId="0" borderId="24" xfId="0" applyNumberFormat="1" applyFont="1" applyFill="1" applyBorder="1" applyAlignment="1">
      <alignment horizontal="center" vertical="top" wrapText="1"/>
    </xf>
    <xf numFmtId="3" fontId="4" fillId="0" borderId="28" xfId="0" applyNumberFormat="1" applyFont="1" applyFill="1" applyBorder="1" applyAlignment="1">
      <alignment horizontal="center" vertical="top" wrapText="1"/>
    </xf>
    <xf numFmtId="3" fontId="5" fillId="8" borderId="51" xfId="0" applyNumberFormat="1" applyFont="1" applyFill="1" applyBorder="1" applyAlignment="1">
      <alignment horizontal="center" vertical="top" wrapText="1"/>
    </xf>
    <xf numFmtId="3" fontId="4" fillId="0" borderId="7" xfId="0" applyNumberFormat="1" applyFont="1" applyFill="1" applyBorder="1" applyAlignment="1">
      <alignment horizontal="center" vertical="top" wrapText="1"/>
    </xf>
    <xf numFmtId="3" fontId="4" fillId="5" borderId="68" xfId="0" applyNumberFormat="1" applyFont="1" applyFill="1" applyBorder="1" applyAlignment="1">
      <alignment horizontal="center" vertical="top" wrapText="1"/>
    </xf>
    <xf numFmtId="3" fontId="4" fillId="5" borderId="60" xfId="0" applyNumberFormat="1" applyFont="1" applyFill="1" applyBorder="1" applyAlignment="1">
      <alignment horizontal="center" vertical="top" wrapText="1"/>
    </xf>
    <xf numFmtId="165" fontId="4" fillId="5" borderId="22" xfId="0" applyNumberFormat="1" applyFont="1" applyFill="1" applyBorder="1" applyAlignment="1">
      <alignment vertical="top" wrapText="1"/>
    </xf>
    <xf numFmtId="0" fontId="1" fillId="0" borderId="74" xfId="0" applyFont="1" applyBorder="1" applyAlignment="1">
      <alignment vertical="top"/>
    </xf>
    <xf numFmtId="3" fontId="5" fillId="8" borderId="27" xfId="0" applyNumberFormat="1" applyFont="1" applyFill="1" applyBorder="1" applyAlignment="1">
      <alignment horizontal="center" vertical="top"/>
    </xf>
    <xf numFmtId="0" fontId="4" fillId="0" borderId="60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1" fillId="0" borderId="68" xfId="0" applyFont="1" applyBorder="1" applyAlignment="1">
      <alignment vertical="top"/>
    </xf>
    <xf numFmtId="3" fontId="4" fillId="0" borderId="35" xfId="0" applyNumberFormat="1" applyFont="1" applyFill="1" applyBorder="1" applyAlignment="1">
      <alignment horizontal="center" vertical="top"/>
    </xf>
    <xf numFmtId="0" fontId="1" fillId="0" borderId="53" xfId="0" applyFont="1" applyBorder="1" applyAlignment="1">
      <alignment horizontal="center" vertical="top"/>
    </xf>
    <xf numFmtId="3" fontId="4" fillId="0" borderId="15" xfId="0" applyNumberFormat="1" applyFont="1" applyBorder="1" applyAlignment="1">
      <alignment horizontal="center" vertical="top"/>
    </xf>
    <xf numFmtId="3" fontId="5" fillId="8" borderId="51" xfId="0" applyNumberFormat="1" applyFont="1" applyFill="1" applyBorder="1" applyAlignment="1">
      <alignment horizontal="center" wrapText="1"/>
    </xf>
    <xf numFmtId="3" fontId="2" fillId="3" borderId="79" xfId="0" applyNumberFormat="1" applyFont="1" applyFill="1" applyBorder="1" applyAlignment="1">
      <alignment horizontal="center" vertical="top"/>
    </xf>
    <xf numFmtId="3" fontId="4" fillId="5" borderId="28" xfId="0" applyNumberFormat="1" applyFont="1" applyFill="1" applyBorder="1" applyAlignment="1">
      <alignment horizontal="center" vertical="top" wrapText="1"/>
    </xf>
    <xf numFmtId="3" fontId="5" fillId="8" borderId="28" xfId="0" applyNumberFormat="1" applyFont="1" applyFill="1" applyBorder="1" applyAlignment="1">
      <alignment horizontal="center" vertical="top" wrapText="1"/>
    </xf>
    <xf numFmtId="3" fontId="5" fillId="8" borderId="26" xfId="0" applyNumberFormat="1" applyFont="1" applyFill="1" applyBorder="1" applyAlignment="1">
      <alignment horizontal="center" vertical="top" wrapText="1"/>
    </xf>
    <xf numFmtId="3" fontId="4" fillId="0" borderId="15" xfId="0" applyNumberFormat="1" applyFont="1" applyFill="1" applyBorder="1" applyAlignment="1">
      <alignment horizontal="center" vertical="top" wrapText="1"/>
    </xf>
    <xf numFmtId="3" fontId="5" fillId="8" borderId="71" xfId="0" applyNumberFormat="1" applyFont="1" applyFill="1" applyBorder="1" applyAlignment="1">
      <alignment horizontal="center" vertical="top" wrapText="1"/>
    </xf>
    <xf numFmtId="3" fontId="1" fillId="0" borderId="24" xfId="0" applyNumberFormat="1" applyFont="1" applyFill="1" applyBorder="1" applyAlignment="1">
      <alignment horizontal="center" vertical="top" wrapText="1"/>
    </xf>
    <xf numFmtId="3" fontId="1" fillId="0" borderId="7" xfId="0" applyNumberFormat="1" applyFont="1" applyFill="1" applyBorder="1" applyAlignment="1">
      <alignment horizontal="center" vertical="top" wrapText="1"/>
    </xf>
    <xf numFmtId="3" fontId="2" fillId="8" borderId="28" xfId="0" applyNumberFormat="1" applyFont="1" applyFill="1" applyBorder="1" applyAlignment="1">
      <alignment horizontal="center" vertical="top" wrapText="1"/>
    </xf>
    <xf numFmtId="3" fontId="4" fillId="8" borderId="68" xfId="0" applyNumberFormat="1" applyFont="1" applyFill="1" applyBorder="1" applyAlignment="1">
      <alignment horizontal="center" vertical="top"/>
    </xf>
    <xf numFmtId="3" fontId="4" fillId="8" borderId="60" xfId="0" applyNumberFormat="1" applyFont="1" applyFill="1" applyBorder="1" applyAlignment="1">
      <alignment horizontal="center" vertical="top"/>
    </xf>
    <xf numFmtId="3" fontId="4" fillId="8" borderId="18" xfId="0" applyNumberFormat="1" applyFont="1" applyFill="1" applyBorder="1" applyAlignment="1">
      <alignment horizontal="center" vertical="top"/>
    </xf>
    <xf numFmtId="3" fontId="4" fillId="8" borderId="43" xfId="0" applyNumberFormat="1" applyFont="1" applyFill="1" applyBorder="1" applyAlignment="1">
      <alignment horizontal="center" vertical="top"/>
    </xf>
    <xf numFmtId="3" fontId="4" fillId="8" borderId="29" xfId="0" applyNumberFormat="1" applyFont="1" applyFill="1" applyBorder="1" applyAlignment="1">
      <alignment horizontal="center" vertical="top"/>
    </xf>
    <xf numFmtId="3" fontId="4" fillId="8" borderId="13" xfId="0" applyNumberFormat="1" applyFont="1" applyFill="1" applyBorder="1" applyAlignment="1">
      <alignment horizontal="center" vertical="top"/>
    </xf>
    <xf numFmtId="3" fontId="4" fillId="8" borderId="67" xfId="0" applyNumberFormat="1" applyFont="1" applyFill="1" applyBorder="1" applyAlignment="1">
      <alignment horizontal="center" vertical="top"/>
    </xf>
    <xf numFmtId="3" fontId="4" fillId="8" borderId="16" xfId="0" applyNumberFormat="1" applyFont="1" applyFill="1" applyBorder="1" applyAlignment="1">
      <alignment horizontal="center" vertical="top"/>
    </xf>
    <xf numFmtId="3" fontId="4" fillId="8" borderId="13" xfId="0" applyNumberFormat="1" applyFont="1" applyFill="1" applyBorder="1" applyAlignment="1">
      <alignment horizontal="center" vertical="top" wrapText="1"/>
    </xf>
    <xf numFmtId="3" fontId="4" fillId="8" borderId="3" xfId="0" applyNumberFormat="1" applyFont="1" applyFill="1" applyBorder="1" applyAlignment="1">
      <alignment horizontal="center" vertical="top" wrapText="1"/>
    </xf>
    <xf numFmtId="3" fontId="2" fillId="2" borderId="76" xfId="0" applyNumberFormat="1" applyFont="1" applyFill="1" applyBorder="1" applyAlignment="1">
      <alignment horizontal="center" vertical="top"/>
    </xf>
    <xf numFmtId="3" fontId="4" fillId="8" borderId="63" xfId="0" applyNumberFormat="1" applyFont="1" applyFill="1" applyBorder="1" applyAlignment="1">
      <alignment horizontal="center" vertical="top"/>
    </xf>
    <xf numFmtId="0" fontId="5" fillId="8" borderId="17" xfId="0" applyFont="1" applyFill="1" applyBorder="1" applyAlignment="1">
      <alignment horizontal="center" vertical="top" wrapText="1"/>
    </xf>
    <xf numFmtId="3" fontId="5" fillId="8" borderId="17" xfId="0" applyNumberFormat="1" applyFont="1" applyFill="1" applyBorder="1" applyAlignment="1">
      <alignment horizontal="center" vertical="top" wrapText="1"/>
    </xf>
    <xf numFmtId="3" fontId="5" fillId="8" borderId="7" xfId="0" applyNumberFormat="1" applyFont="1" applyFill="1" applyBorder="1" applyAlignment="1">
      <alignment horizontal="center" vertical="top" wrapText="1"/>
    </xf>
    <xf numFmtId="0" fontId="4" fillId="5" borderId="19" xfId="0" applyFont="1" applyFill="1" applyBorder="1" applyAlignment="1">
      <alignment vertical="top" wrapText="1"/>
    </xf>
    <xf numFmtId="3" fontId="4" fillId="8" borderId="16" xfId="0" applyNumberFormat="1" applyFont="1" applyFill="1" applyBorder="1" applyAlignment="1">
      <alignment horizontal="center" vertical="top" wrapText="1"/>
    </xf>
    <xf numFmtId="3" fontId="4" fillId="8" borderId="17" xfId="0" applyNumberFormat="1" applyFont="1" applyFill="1" applyBorder="1" applyAlignment="1">
      <alignment horizontal="center" vertical="top" wrapText="1"/>
    </xf>
    <xf numFmtId="3" fontId="4" fillId="8" borderId="67" xfId="0" applyNumberFormat="1" applyFont="1" applyFill="1" applyBorder="1" applyAlignment="1">
      <alignment horizontal="center" vertical="top" wrapText="1"/>
    </xf>
    <xf numFmtId="3" fontId="4" fillId="8" borderId="38" xfId="0" applyNumberFormat="1" applyFont="1" applyFill="1" applyBorder="1" applyAlignment="1">
      <alignment horizontal="center" vertical="top" wrapText="1"/>
    </xf>
    <xf numFmtId="3" fontId="4" fillId="8" borderId="62" xfId="0" applyNumberFormat="1" applyFont="1" applyFill="1" applyBorder="1" applyAlignment="1">
      <alignment horizontal="center" vertical="top" wrapText="1"/>
    </xf>
    <xf numFmtId="3" fontId="4" fillId="8" borderId="68" xfId="0" applyNumberFormat="1" applyFont="1" applyFill="1" applyBorder="1" applyAlignment="1">
      <alignment horizontal="center" vertical="top" wrapText="1"/>
    </xf>
    <xf numFmtId="3" fontId="4" fillId="8" borderId="60" xfId="0" applyNumberFormat="1" applyFont="1" applyFill="1" applyBorder="1" applyAlignment="1">
      <alignment horizontal="center" vertical="top" wrapText="1"/>
    </xf>
    <xf numFmtId="3" fontId="4" fillId="8" borderId="18" xfId="0" applyNumberFormat="1" applyFont="1" applyFill="1" applyBorder="1" applyAlignment="1">
      <alignment horizontal="center" vertical="top" wrapText="1"/>
    </xf>
    <xf numFmtId="3" fontId="4" fillId="8" borderId="29" xfId="0" applyNumberFormat="1" applyFont="1" applyFill="1" applyBorder="1" applyAlignment="1">
      <alignment horizontal="center" vertical="top" wrapText="1"/>
    </xf>
    <xf numFmtId="3" fontId="4" fillId="8" borderId="63" xfId="0" applyNumberFormat="1" applyFont="1" applyFill="1" applyBorder="1" applyAlignment="1">
      <alignment horizontal="center" vertical="top" wrapText="1"/>
    </xf>
    <xf numFmtId="3" fontId="1" fillId="8" borderId="13" xfId="0" applyNumberFormat="1" applyFont="1" applyFill="1" applyBorder="1" applyAlignment="1">
      <alignment horizontal="center" vertical="top" wrapText="1"/>
    </xf>
    <xf numFmtId="3" fontId="1" fillId="8" borderId="60" xfId="0" applyNumberFormat="1" applyFont="1" applyFill="1" applyBorder="1" applyAlignment="1">
      <alignment horizontal="center" vertical="top" wrapText="1"/>
    </xf>
    <xf numFmtId="3" fontId="1" fillId="8" borderId="17" xfId="0" applyNumberFormat="1" applyFont="1" applyFill="1" applyBorder="1" applyAlignment="1">
      <alignment horizontal="center" vertical="top" wrapText="1"/>
    </xf>
    <xf numFmtId="3" fontId="1" fillId="8" borderId="63" xfId="0" applyNumberFormat="1" applyFont="1" applyFill="1" applyBorder="1" applyAlignment="1">
      <alignment horizontal="center" vertical="top"/>
    </xf>
    <xf numFmtId="3" fontId="1" fillId="8" borderId="16" xfId="0" applyNumberFormat="1" applyFont="1" applyFill="1" applyBorder="1" applyAlignment="1">
      <alignment horizontal="center" vertical="top" wrapText="1"/>
    </xf>
    <xf numFmtId="3" fontId="1" fillId="8" borderId="5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3" fontId="1" fillId="8" borderId="1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vertical="center"/>
    </xf>
    <xf numFmtId="49" fontId="5" fillId="3" borderId="48" xfId="0" applyNumberFormat="1" applyFont="1" applyFill="1" applyBorder="1" applyAlignment="1">
      <alignment horizontal="center" vertical="top"/>
    </xf>
    <xf numFmtId="49" fontId="5" fillId="2" borderId="47" xfId="0" applyNumberFormat="1" applyFont="1" applyFill="1" applyBorder="1" applyAlignment="1">
      <alignment horizontal="center" vertical="top"/>
    </xf>
    <xf numFmtId="49" fontId="2" fillId="2" borderId="70" xfId="0" applyNumberFormat="1" applyFont="1" applyFill="1" applyBorder="1" applyAlignment="1">
      <alignment horizontal="center" vertical="top"/>
    </xf>
    <xf numFmtId="0" fontId="1" fillId="0" borderId="32" xfId="0" applyNumberFormat="1" applyFont="1" applyFill="1" applyBorder="1" applyAlignment="1">
      <alignment horizontal="center" vertical="top"/>
    </xf>
    <xf numFmtId="49" fontId="2" fillId="2" borderId="32" xfId="0" applyNumberFormat="1" applyFont="1" applyFill="1" applyBorder="1" applyAlignment="1">
      <alignment horizontal="center" vertical="top"/>
    </xf>
    <xf numFmtId="49" fontId="2" fillId="2" borderId="70" xfId="0" applyNumberFormat="1" applyFont="1" applyFill="1" applyBorder="1" applyAlignment="1">
      <alignment vertical="top"/>
    </xf>
    <xf numFmtId="0" fontId="1" fillId="0" borderId="23" xfId="0" applyFont="1" applyBorder="1" applyAlignment="1">
      <alignment vertical="top"/>
    </xf>
    <xf numFmtId="3" fontId="2" fillId="2" borderId="16" xfId="0" applyNumberFormat="1" applyFont="1" applyFill="1" applyBorder="1" applyAlignment="1">
      <alignment horizontal="center" vertical="top"/>
    </xf>
    <xf numFmtId="3" fontId="2" fillId="2" borderId="13" xfId="0" applyNumberFormat="1" applyFont="1" applyFill="1" applyBorder="1" applyAlignment="1">
      <alignment horizontal="center" vertical="top"/>
    </xf>
    <xf numFmtId="3" fontId="4" fillId="5" borderId="2" xfId="0" applyNumberFormat="1" applyFont="1" applyFill="1" applyBorder="1" applyAlignment="1">
      <alignment horizontal="center" vertical="top"/>
    </xf>
    <xf numFmtId="0" fontId="4" fillId="0" borderId="67" xfId="0" applyFont="1" applyFill="1" applyBorder="1" applyAlignment="1">
      <alignment horizontal="center" vertical="top"/>
    </xf>
    <xf numFmtId="0" fontId="4" fillId="0" borderId="62" xfId="0" applyFont="1" applyFill="1" applyBorder="1" applyAlignment="1">
      <alignment horizontal="center" vertical="top"/>
    </xf>
    <xf numFmtId="0" fontId="5" fillId="8" borderId="67" xfId="0" applyFont="1" applyFill="1" applyBorder="1" applyAlignment="1">
      <alignment horizontal="center" vertical="top"/>
    </xf>
    <xf numFmtId="49" fontId="5" fillId="5" borderId="13" xfId="0" applyNumberFormat="1" applyFont="1" applyFill="1" applyBorder="1" applyAlignment="1">
      <alignment vertical="top"/>
    </xf>
    <xf numFmtId="49" fontId="2" fillId="5" borderId="19" xfId="0" applyNumberFormat="1" applyFont="1" applyFill="1" applyBorder="1" applyAlignment="1">
      <alignment horizontal="center" vertical="top"/>
    </xf>
    <xf numFmtId="0" fontId="1" fillId="0" borderId="37" xfId="0" applyFont="1" applyBorder="1" applyAlignment="1">
      <alignment vertical="top" wrapText="1"/>
    </xf>
    <xf numFmtId="3" fontId="4" fillId="8" borderId="27" xfId="0" applyNumberFormat="1" applyFont="1" applyFill="1" applyBorder="1" applyAlignment="1">
      <alignment horizontal="center" vertical="top"/>
    </xf>
    <xf numFmtId="3" fontId="4" fillId="8" borderId="0" xfId="0" applyNumberFormat="1" applyFont="1" applyFill="1" applyBorder="1" applyAlignment="1">
      <alignment horizontal="center" vertical="top"/>
    </xf>
    <xf numFmtId="3" fontId="4" fillId="8" borderId="75" xfId="0" applyNumberFormat="1" applyFont="1" applyFill="1" applyBorder="1" applyAlignment="1">
      <alignment horizontal="center" vertical="top"/>
    </xf>
    <xf numFmtId="3" fontId="4" fillId="8" borderId="10" xfId="0" applyNumberFormat="1" applyFont="1" applyFill="1" applyBorder="1" applyAlignment="1">
      <alignment horizontal="center" vertical="top" wrapText="1"/>
    </xf>
    <xf numFmtId="3" fontId="4" fillId="8" borderId="2" xfId="0" applyNumberFormat="1" applyFont="1" applyFill="1" applyBorder="1" applyAlignment="1">
      <alignment horizontal="center" vertical="top"/>
    </xf>
    <xf numFmtId="3" fontId="4" fillId="8" borderId="6" xfId="0" applyNumberFormat="1" applyFont="1" applyFill="1" applyBorder="1" applyAlignment="1">
      <alignment horizontal="center" vertical="top"/>
    </xf>
    <xf numFmtId="3" fontId="4" fillId="8" borderId="8" xfId="0" applyNumberFormat="1" applyFont="1" applyFill="1" applyBorder="1" applyAlignment="1">
      <alignment horizontal="center" vertical="top"/>
    </xf>
    <xf numFmtId="3" fontId="4" fillId="8" borderId="2" xfId="0" applyNumberFormat="1" applyFont="1" applyFill="1" applyBorder="1" applyAlignment="1">
      <alignment horizontal="center" vertical="top" wrapText="1"/>
    </xf>
    <xf numFmtId="3" fontId="4" fillId="8" borderId="6" xfId="0" applyNumberFormat="1" applyFont="1" applyFill="1" applyBorder="1" applyAlignment="1">
      <alignment horizontal="center" vertical="top" wrapText="1"/>
    </xf>
    <xf numFmtId="3" fontId="4" fillId="8" borderId="10" xfId="0" applyNumberFormat="1" applyFont="1" applyFill="1" applyBorder="1" applyAlignment="1">
      <alignment horizontal="center" vertical="top"/>
    </xf>
    <xf numFmtId="3" fontId="1" fillId="8" borderId="8" xfId="0" applyNumberFormat="1" applyFont="1" applyFill="1" applyBorder="1" applyAlignment="1">
      <alignment horizontal="center" vertical="top"/>
    </xf>
    <xf numFmtId="0" fontId="4" fillId="7" borderId="13" xfId="0" applyFont="1" applyFill="1" applyBorder="1" applyAlignment="1">
      <alignment vertical="top" wrapText="1"/>
    </xf>
    <xf numFmtId="0" fontId="4" fillId="7" borderId="18" xfId="0" applyFont="1" applyFill="1" applyBorder="1" applyAlignment="1">
      <alignment vertical="top" wrapText="1"/>
    </xf>
    <xf numFmtId="165" fontId="1" fillId="5" borderId="22" xfId="0" applyNumberFormat="1" applyFont="1" applyFill="1" applyBorder="1" applyAlignment="1">
      <alignment vertical="top" wrapText="1"/>
    </xf>
    <xf numFmtId="165" fontId="1" fillId="5" borderId="37" xfId="0" applyNumberFormat="1" applyFont="1" applyFill="1" applyBorder="1" applyAlignment="1">
      <alignment vertical="top" wrapText="1"/>
    </xf>
    <xf numFmtId="0" fontId="1" fillId="0" borderId="68" xfId="0" applyNumberFormat="1" applyFont="1" applyFill="1" applyBorder="1" applyAlignment="1">
      <alignment horizontal="center" vertical="top"/>
    </xf>
    <xf numFmtId="3" fontId="2" fillId="8" borderId="8" xfId="0" applyNumberFormat="1" applyFont="1" applyFill="1" applyBorder="1" applyAlignment="1">
      <alignment horizontal="center" vertical="top"/>
    </xf>
    <xf numFmtId="3" fontId="1" fillId="7" borderId="2" xfId="0" applyNumberFormat="1" applyFont="1" applyFill="1" applyBorder="1" applyAlignment="1">
      <alignment horizontal="center" vertical="top"/>
    </xf>
    <xf numFmtId="3" fontId="1" fillId="0" borderId="2" xfId="0" applyNumberFormat="1" applyFont="1" applyFill="1" applyBorder="1" applyAlignment="1">
      <alignment horizontal="center" vertical="top"/>
    </xf>
    <xf numFmtId="0" fontId="1" fillId="0" borderId="35" xfId="0" applyNumberFormat="1" applyFont="1" applyFill="1" applyBorder="1" applyAlignment="1">
      <alignment horizontal="center" vertical="top"/>
    </xf>
    <xf numFmtId="0" fontId="4" fillId="7" borderId="68" xfId="0" applyFont="1" applyFill="1" applyBorder="1" applyAlignment="1">
      <alignment vertical="top" wrapText="1"/>
    </xf>
    <xf numFmtId="3" fontId="4" fillId="5" borderId="18" xfId="0" applyNumberFormat="1" applyFont="1" applyFill="1" applyBorder="1" applyAlignment="1">
      <alignment horizontal="center" vertical="top"/>
    </xf>
    <xf numFmtId="3" fontId="5" fillId="2" borderId="76" xfId="0" applyNumberFormat="1" applyFont="1" applyFill="1" applyBorder="1" applyAlignment="1">
      <alignment horizontal="center" vertical="top"/>
    </xf>
    <xf numFmtId="3" fontId="2" fillId="2" borderId="24" xfId="0" applyNumberFormat="1" applyFont="1" applyFill="1" applyBorder="1" applyAlignment="1">
      <alignment horizontal="center" vertical="top"/>
    </xf>
    <xf numFmtId="3" fontId="1" fillId="0" borderId="60" xfId="0" applyNumberFormat="1" applyFont="1" applyFill="1" applyBorder="1" applyAlignment="1">
      <alignment horizontal="center" vertical="top" wrapText="1"/>
    </xf>
    <xf numFmtId="3" fontId="1" fillId="0" borderId="28" xfId="0" applyNumberFormat="1" applyFont="1" applyFill="1" applyBorder="1" applyAlignment="1">
      <alignment horizontal="center" vertical="top" wrapText="1"/>
    </xf>
    <xf numFmtId="3" fontId="1" fillId="8" borderId="67" xfId="0" applyNumberFormat="1" applyFont="1" applyFill="1" applyBorder="1" applyAlignment="1">
      <alignment horizontal="center" vertical="top" wrapText="1"/>
    </xf>
    <xf numFmtId="3" fontId="18" fillId="8" borderId="12" xfId="0" applyNumberFormat="1" applyFont="1" applyFill="1" applyBorder="1" applyAlignment="1">
      <alignment horizontal="center" vertical="center" wrapText="1"/>
    </xf>
    <xf numFmtId="3" fontId="2" fillId="4" borderId="62" xfId="0" applyNumberFormat="1" applyFont="1" applyFill="1" applyBorder="1" applyAlignment="1">
      <alignment horizontal="center" vertical="top" wrapText="1"/>
    </xf>
    <xf numFmtId="3" fontId="2" fillId="4" borderId="60" xfId="0" applyNumberFormat="1" applyFont="1" applyFill="1" applyBorder="1" applyAlignment="1">
      <alignment horizontal="center" vertical="top" wrapText="1"/>
    </xf>
    <xf numFmtId="3" fontId="2" fillId="4" borderId="28" xfId="0" applyNumberFormat="1" applyFont="1" applyFill="1" applyBorder="1" applyAlignment="1">
      <alignment horizontal="center" vertical="top" wrapText="1"/>
    </xf>
    <xf numFmtId="0" fontId="4" fillId="7" borderId="60" xfId="0" applyFont="1" applyFill="1" applyBorder="1" applyAlignment="1">
      <alignment vertical="top" wrapText="1"/>
    </xf>
    <xf numFmtId="165" fontId="1" fillId="5" borderId="38" xfId="0" applyNumberFormat="1" applyFont="1" applyFill="1" applyBorder="1" applyAlignment="1">
      <alignment vertical="top" wrapText="1"/>
    </xf>
    <xf numFmtId="0" fontId="5" fillId="7" borderId="39" xfId="0" applyNumberFormat="1" applyFont="1" applyFill="1" applyBorder="1" applyAlignment="1">
      <alignment horizontal="center" vertical="top"/>
    </xf>
    <xf numFmtId="0" fontId="5" fillId="7" borderId="21" xfId="0" applyNumberFormat="1" applyFont="1" applyFill="1" applyBorder="1" applyAlignment="1">
      <alignment vertical="top"/>
    </xf>
    <xf numFmtId="0" fontId="5" fillId="7" borderId="40" xfId="0" applyNumberFormat="1" applyFont="1" applyFill="1" applyBorder="1" applyAlignment="1">
      <alignment horizontal="center" vertical="top"/>
    </xf>
    <xf numFmtId="3" fontId="1" fillId="8" borderId="3" xfId="0" applyNumberFormat="1" applyFont="1" applyFill="1" applyBorder="1" applyAlignment="1">
      <alignment horizontal="center" vertical="top"/>
    </xf>
    <xf numFmtId="3" fontId="1" fillId="8" borderId="10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top"/>
    </xf>
    <xf numFmtId="3" fontId="4" fillId="0" borderId="29" xfId="0" applyNumberFormat="1" applyFont="1" applyFill="1" applyBorder="1" applyAlignment="1">
      <alignment horizontal="center" vertical="top" wrapText="1"/>
    </xf>
    <xf numFmtId="3" fontId="4" fillId="0" borderId="77" xfId="0" applyNumberFormat="1" applyFont="1" applyFill="1" applyBorder="1" applyAlignment="1">
      <alignment horizontal="center" vertical="top" wrapText="1"/>
    </xf>
    <xf numFmtId="3" fontId="1" fillId="0" borderId="13" xfId="0" applyNumberFormat="1" applyFont="1" applyFill="1" applyBorder="1" applyAlignment="1">
      <alignment horizontal="center" vertical="top" wrapText="1"/>
    </xf>
    <xf numFmtId="3" fontId="1" fillId="8" borderId="74" xfId="0" applyNumberFormat="1" applyFont="1" applyFill="1" applyBorder="1" applyAlignment="1">
      <alignment horizontal="center" vertical="top"/>
    </xf>
    <xf numFmtId="3" fontId="1" fillId="8" borderId="18" xfId="0" applyNumberFormat="1" applyFont="1" applyFill="1" applyBorder="1" applyAlignment="1">
      <alignment horizontal="center" vertical="top" wrapText="1"/>
    </xf>
    <xf numFmtId="3" fontId="1" fillId="8" borderId="43" xfId="0" applyNumberFormat="1" applyFont="1" applyFill="1" applyBorder="1" applyAlignment="1">
      <alignment horizontal="center" vertical="top"/>
    </xf>
    <xf numFmtId="3" fontId="5" fillId="8" borderId="45" xfId="0" applyNumberFormat="1" applyFont="1" applyFill="1" applyBorder="1" applyAlignment="1">
      <alignment horizontal="center" vertical="top" wrapText="1"/>
    </xf>
    <xf numFmtId="3" fontId="1" fillId="8" borderId="78" xfId="0" applyNumberFormat="1" applyFont="1" applyFill="1" applyBorder="1" applyAlignment="1">
      <alignment horizontal="center" vertical="top" wrapText="1"/>
    </xf>
    <xf numFmtId="3" fontId="1" fillId="0" borderId="29" xfId="0" applyNumberFormat="1" applyFont="1" applyBorder="1" applyAlignment="1">
      <alignment horizontal="center" vertical="top" wrapText="1"/>
    </xf>
    <xf numFmtId="3" fontId="1" fillId="0" borderId="30" xfId="0" applyNumberFormat="1" applyFont="1" applyBorder="1" applyAlignment="1">
      <alignment horizontal="center" vertical="top" wrapText="1"/>
    </xf>
    <xf numFmtId="3" fontId="4" fillId="8" borderId="12" xfId="0" applyNumberFormat="1" applyFont="1" applyFill="1" applyBorder="1" applyAlignment="1">
      <alignment horizontal="center" vertical="center" wrapText="1"/>
    </xf>
    <xf numFmtId="3" fontId="2" fillId="4" borderId="67" xfId="0" applyNumberFormat="1" applyFont="1" applyFill="1" applyBorder="1" applyAlignment="1">
      <alignment horizontal="center" vertical="top" wrapText="1"/>
    </xf>
    <xf numFmtId="3" fontId="1" fillId="8" borderId="63" xfId="0" applyNumberFormat="1" applyFont="1" applyFill="1" applyBorder="1" applyAlignment="1">
      <alignment horizontal="center" vertical="top" wrapText="1"/>
    </xf>
    <xf numFmtId="3" fontId="1" fillId="8" borderId="62" xfId="0" applyNumberFormat="1" applyFont="1" applyFill="1" applyBorder="1" applyAlignment="1">
      <alignment horizontal="center" vertical="top" wrapText="1"/>
    </xf>
    <xf numFmtId="3" fontId="1" fillId="7" borderId="28" xfId="0" applyNumberFormat="1" applyFont="1" applyFill="1" applyBorder="1" applyAlignment="1">
      <alignment horizontal="center" vertical="top" wrapText="1"/>
    </xf>
    <xf numFmtId="3" fontId="4" fillId="0" borderId="28" xfId="0" applyNumberFormat="1" applyFont="1" applyBorder="1" applyAlignment="1">
      <alignment horizontal="center" vertical="top" wrapText="1"/>
    </xf>
    <xf numFmtId="3" fontId="5" fillId="4" borderId="26" xfId="0" applyNumberFormat="1" applyFont="1" applyFill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center" vertical="top" wrapText="1"/>
    </xf>
    <xf numFmtId="3" fontId="1" fillId="5" borderId="28" xfId="0" applyNumberFormat="1" applyFont="1" applyFill="1" applyBorder="1" applyAlignment="1">
      <alignment horizontal="center" vertical="top" wrapText="1"/>
    </xf>
    <xf numFmtId="3" fontId="1" fillId="7" borderId="2" xfId="0" applyNumberFormat="1" applyFont="1" applyFill="1" applyBorder="1" applyAlignment="1">
      <alignment horizontal="center" vertical="top" wrapText="1"/>
    </xf>
    <xf numFmtId="0" fontId="4" fillId="7" borderId="13" xfId="0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center" textRotation="90" wrapText="1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5" fillId="8" borderId="51" xfId="0" applyFont="1" applyFill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49" fontId="2" fillId="2" borderId="14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49" fontId="5" fillId="2" borderId="18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52" xfId="0" applyFont="1" applyFill="1" applyBorder="1" applyAlignment="1">
      <alignment horizontal="left" vertical="top" wrapText="1"/>
    </xf>
    <xf numFmtId="49" fontId="5" fillId="3" borderId="57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49" fontId="1" fillId="7" borderId="31" xfId="0" applyNumberFormat="1" applyFont="1" applyFill="1" applyBorder="1" applyAlignment="1">
      <alignment horizontal="center" vertical="top" wrapText="1"/>
    </xf>
    <xf numFmtId="0" fontId="2" fillId="0" borderId="21" xfId="0" applyNumberFormat="1" applyFont="1" applyBorder="1" applyAlignment="1">
      <alignment horizontal="center" vertical="top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4" fillId="7" borderId="32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center" vertical="center" textRotation="90" wrapText="1"/>
    </xf>
    <xf numFmtId="49" fontId="5" fillId="0" borderId="61" xfId="0" applyNumberFormat="1" applyFont="1" applyFill="1" applyBorder="1" applyAlignment="1">
      <alignment horizontal="center" vertical="top"/>
    </xf>
    <xf numFmtId="3" fontId="4" fillId="0" borderId="26" xfId="0" applyNumberFormat="1" applyFont="1" applyFill="1" applyBorder="1" applyAlignment="1">
      <alignment horizontal="center" vertical="top" wrapText="1"/>
    </xf>
    <xf numFmtId="3" fontId="1" fillId="8" borderId="0" xfId="0" applyNumberFormat="1" applyFont="1" applyFill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3" fontId="4" fillId="8" borderId="43" xfId="0" applyNumberFormat="1" applyFont="1" applyFill="1" applyBorder="1" applyAlignment="1">
      <alignment horizontal="center" vertical="top" wrapText="1"/>
    </xf>
    <xf numFmtId="3" fontId="4" fillId="0" borderId="43" xfId="0" applyNumberFormat="1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3" borderId="20" xfId="0" applyNumberFormat="1" applyFont="1" applyFill="1" applyBorder="1" applyAlignment="1">
      <alignment horizontal="center" vertical="top"/>
    </xf>
    <xf numFmtId="0" fontId="5" fillId="5" borderId="32" xfId="0" applyNumberFormat="1" applyFont="1" applyFill="1" applyBorder="1" applyAlignment="1">
      <alignment horizontal="center" vertical="top"/>
    </xf>
    <xf numFmtId="0" fontId="4" fillId="7" borderId="60" xfId="0" applyFont="1" applyFill="1" applyBorder="1" applyAlignment="1">
      <alignment horizontal="left" vertical="top" wrapText="1"/>
    </xf>
    <xf numFmtId="0" fontId="14" fillId="7" borderId="19" xfId="0" applyFont="1" applyFill="1" applyBorder="1" applyAlignment="1">
      <alignment horizontal="left" vertical="top" wrapText="1"/>
    </xf>
    <xf numFmtId="3" fontId="14" fillId="0" borderId="7" xfId="0" applyNumberFormat="1" applyFont="1" applyBorder="1" applyAlignment="1">
      <alignment horizontal="center" vertical="top"/>
    </xf>
    <xf numFmtId="3" fontId="14" fillId="0" borderId="29" xfId="0" applyNumberFormat="1" applyFont="1" applyBorder="1" applyAlignment="1">
      <alignment horizontal="center" vertical="top"/>
    </xf>
    <xf numFmtId="3" fontId="14" fillId="0" borderId="24" xfId="0" applyNumberFormat="1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38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center" textRotation="90" wrapText="1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5" fillId="8" borderId="51" xfId="0" applyFont="1" applyFill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165" fontId="4" fillId="0" borderId="17" xfId="0" applyNumberFormat="1" applyFont="1" applyFill="1" applyBorder="1" applyAlignment="1">
      <alignment horizontal="left" vertical="top" wrapText="1"/>
    </xf>
    <xf numFmtId="49" fontId="5" fillId="3" borderId="22" xfId="0" applyNumberFormat="1" applyFont="1" applyFill="1" applyBorder="1" applyAlignment="1">
      <alignment horizontal="center" vertical="top"/>
    </xf>
    <xf numFmtId="0" fontId="1" fillId="5" borderId="42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left" vertical="top" wrapText="1"/>
    </xf>
    <xf numFmtId="49" fontId="2" fillId="3" borderId="41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49" fontId="5" fillId="2" borderId="18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0" fontId="5" fillId="0" borderId="68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164" fontId="1" fillId="0" borderId="20" xfId="0" applyNumberFormat="1" applyFont="1" applyBorder="1" applyAlignment="1">
      <alignment horizontal="left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0" fontId="1" fillId="0" borderId="39" xfId="0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64" fontId="1" fillId="0" borderId="41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2" fillId="0" borderId="39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0" fontId="4" fillId="0" borderId="66" xfId="0" applyFont="1" applyFill="1" applyBorder="1" applyAlignment="1">
      <alignment horizontal="center" vertical="center" textRotation="90" wrapText="1"/>
    </xf>
    <xf numFmtId="49" fontId="1" fillId="7" borderId="31" xfId="0" applyNumberFormat="1" applyFont="1" applyFill="1" applyBorder="1" applyAlignment="1">
      <alignment horizontal="center" vertical="top" wrapText="1"/>
    </xf>
    <xf numFmtId="0" fontId="2" fillId="0" borderId="21" xfId="0" applyNumberFormat="1" applyFont="1" applyBorder="1" applyAlignment="1">
      <alignment horizontal="center" vertical="top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0" fontId="4" fillId="0" borderId="60" xfId="0" applyFont="1" applyFill="1" applyBorder="1" applyAlignment="1">
      <alignment horizontal="center" vertical="top" wrapText="1"/>
    </xf>
    <xf numFmtId="165" fontId="1" fillId="5" borderId="20" xfId="0" applyNumberFormat="1" applyFont="1" applyFill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5" fillId="0" borderId="18" xfId="0" applyFont="1" applyFill="1" applyBorder="1" applyAlignment="1">
      <alignment horizontal="center" vertical="top" wrapText="1"/>
    </xf>
    <xf numFmtId="0" fontId="1" fillId="0" borderId="41" xfId="0" applyFont="1" applyBorder="1" applyAlignment="1">
      <alignment vertical="top" wrapText="1"/>
    </xf>
    <xf numFmtId="0" fontId="2" fillId="0" borderId="19" xfId="0" applyFont="1" applyFill="1" applyBorder="1" applyAlignment="1">
      <alignment horizontal="center" vertical="center" textRotation="90" wrapText="1"/>
    </xf>
    <xf numFmtId="164" fontId="4" fillId="5" borderId="41" xfId="0" applyNumberFormat="1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left" vertical="top" wrapText="1"/>
    </xf>
    <xf numFmtId="0" fontId="1" fillId="5" borderId="38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3" fontId="4" fillId="0" borderId="76" xfId="0" applyNumberFormat="1" applyFont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Fill="1" applyBorder="1" applyAlignment="1">
      <alignment horizontal="center" vertical="top" wrapText="1"/>
    </xf>
    <xf numFmtId="3" fontId="1" fillId="8" borderId="68" xfId="0" applyNumberFormat="1" applyFont="1" applyFill="1" applyBorder="1" applyAlignment="1">
      <alignment horizontal="center" vertical="top"/>
    </xf>
    <xf numFmtId="3" fontId="1" fillId="7" borderId="13" xfId="0" applyNumberFormat="1" applyFont="1" applyFill="1" applyBorder="1" applyAlignment="1">
      <alignment horizontal="center" vertical="top" wrapText="1"/>
    </xf>
    <xf numFmtId="3" fontId="1" fillId="7" borderId="24" xfId="0" applyNumberFormat="1" applyFont="1" applyFill="1" applyBorder="1" applyAlignment="1">
      <alignment horizontal="center" vertical="top" wrapText="1"/>
    </xf>
    <xf numFmtId="3" fontId="13" fillId="0" borderId="68" xfId="0" applyNumberFormat="1" applyFont="1" applyBorder="1" applyAlignment="1">
      <alignment horizontal="center" vertical="top"/>
    </xf>
    <xf numFmtId="3" fontId="13" fillId="0" borderId="15" xfId="0" applyNumberFormat="1" applyFont="1" applyBorder="1" applyAlignment="1">
      <alignment horizontal="center" vertical="top"/>
    </xf>
    <xf numFmtId="3" fontId="4" fillId="8" borderId="54" xfId="0" applyNumberFormat="1" applyFont="1" applyFill="1" applyBorder="1" applyAlignment="1">
      <alignment horizontal="center" vertical="top"/>
    </xf>
    <xf numFmtId="3" fontId="14" fillId="0" borderId="15" xfId="0" applyNumberFormat="1" applyFont="1" applyBorder="1" applyAlignment="1">
      <alignment horizontal="center" vertical="top"/>
    </xf>
    <xf numFmtId="3" fontId="14" fillId="7" borderId="7" xfId="0" applyNumberFormat="1" applyFont="1" applyFill="1" applyBorder="1" applyAlignment="1">
      <alignment horizontal="center" vertical="top"/>
    </xf>
    <xf numFmtId="3" fontId="14" fillId="0" borderId="13" xfId="0" applyNumberFormat="1" applyFont="1" applyBorder="1" applyAlignment="1">
      <alignment horizontal="center" vertical="top"/>
    </xf>
    <xf numFmtId="165" fontId="4" fillId="0" borderId="38" xfId="0" applyNumberFormat="1" applyFont="1" applyFill="1" applyBorder="1" applyAlignment="1">
      <alignment horizontal="left" vertical="top" wrapText="1"/>
    </xf>
    <xf numFmtId="165" fontId="4" fillId="0" borderId="20" xfId="0" applyNumberFormat="1" applyFont="1" applyFill="1" applyBorder="1" applyAlignment="1">
      <alignment horizontal="left" vertical="top" wrapText="1"/>
    </xf>
    <xf numFmtId="0" fontId="1" fillId="0" borderId="38" xfId="0" applyFont="1" applyFill="1" applyBorder="1" applyAlignment="1">
      <alignment horizontal="left" vertical="top" wrapText="1"/>
    </xf>
    <xf numFmtId="0" fontId="1" fillId="0" borderId="41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horizontal="left" vertical="top" wrapText="1"/>
    </xf>
    <xf numFmtId="0" fontId="4" fillId="5" borderId="60" xfId="0" applyFont="1" applyFill="1" applyBorder="1" applyAlignment="1">
      <alignment horizontal="left" vertical="top" wrapText="1"/>
    </xf>
    <xf numFmtId="0" fontId="4" fillId="5" borderId="19" xfId="0" applyFont="1" applyFill="1" applyBorder="1" applyAlignment="1">
      <alignment horizontal="left" vertical="top" wrapText="1"/>
    </xf>
    <xf numFmtId="49" fontId="2" fillId="2" borderId="29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3" borderId="70" xfId="0" applyNumberFormat="1" applyFont="1" applyFill="1" applyBorder="1" applyAlignment="1">
      <alignment horizontal="right" vertical="top"/>
    </xf>
    <xf numFmtId="49" fontId="2" fillId="3" borderId="44" xfId="0" applyNumberFormat="1" applyFont="1" applyFill="1" applyBorder="1" applyAlignment="1">
      <alignment horizontal="right" vertical="top"/>
    </xf>
    <xf numFmtId="0" fontId="5" fillId="3" borderId="66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4" xfId="0" applyFont="1" applyFill="1" applyBorder="1" applyAlignment="1">
      <alignment horizontal="left" vertical="top" wrapText="1"/>
    </xf>
    <xf numFmtId="164" fontId="2" fillId="3" borderId="12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164" fontId="2" fillId="3" borderId="76" xfId="0" applyNumberFormat="1" applyFont="1" applyFill="1" applyBorder="1" applyAlignment="1">
      <alignment horizontal="center" vertical="top"/>
    </xf>
    <xf numFmtId="0" fontId="1" fillId="0" borderId="75" xfId="0" applyFont="1" applyFill="1" applyBorder="1" applyAlignment="1">
      <alignment horizontal="left" vertical="top" wrapText="1"/>
    </xf>
    <xf numFmtId="0" fontId="1" fillId="0" borderId="47" xfId="0" applyFont="1" applyFill="1" applyBorder="1" applyAlignment="1">
      <alignment horizontal="left" vertical="top" wrapText="1"/>
    </xf>
    <xf numFmtId="49" fontId="1" fillId="0" borderId="29" xfId="0" applyNumberFormat="1" applyFont="1" applyBorder="1" applyAlignment="1">
      <alignment horizontal="center" vertical="top" wrapText="1"/>
    </xf>
    <xf numFmtId="49" fontId="1" fillId="0" borderId="18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center" textRotation="90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left" vertical="top" wrapText="1"/>
    </xf>
    <xf numFmtId="0" fontId="5" fillId="8" borderId="47" xfId="0" applyFont="1" applyFill="1" applyBorder="1" applyAlignment="1">
      <alignment horizontal="center" vertical="top" wrapText="1"/>
    </xf>
    <xf numFmtId="0" fontId="5" fillId="8" borderId="46" xfId="0" applyFont="1" applyFill="1" applyBorder="1" applyAlignment="1">
      <alignment horizontal="center" vertical="top" wrapText="1"/>
    </xf>
    <xf numFmtId="0" fontId="5" fillId="8" borderId="51" xfId="0" applyFont="1" applyFill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5" borderId="75" xfId="0" applyNumberFormat="1" applyFont="1" applyFill="1" applyBorder="1" applyAlignment="1">
      <alignment horizontal="center" vertical="top"/>
    </xf>
    <xf numFmtId="49" fontId="2" fillId="5" borderId="34" xfId="0" applyNumberFormat="1" applyFont="1" applyFill="1" applyBorder="1" applyAlignment="1">
      <alignment horizontal="center" vertical="top"/>
    </xf>
    <xf numFmtId="49" fontId="2" fillId="3" borderId="78" xfId="0" applyNumberFormat="1" applyFont="1" applyFill="1" applyBorder="1" applyAlignment="1">
      <alignment horizontal="center" vertical="top"/>
    </xf>
    <xf numFmtId="49" fontId="2" fillId="3" borderId="62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0" fontId="4" fillId="5" borderId="66" xfId="0" applyFont="1" applyFill="1" applyBorder="1" applyAlignment="1">
      <alignment horizontal="left" vertical="top" wrapText="1"/>
    </xf>
    <xf numFmtId="0" fontId="4" fillId="5" borderId="32" xfId="0" applyFont="1" applyFill="1" applyBorder="1" applyAlignment="1">
      <alignment horizontal="left" vertical="top" wrapText="1"/>
    </xf>
    <xf numFmtId="0" fontId="5" fillId="0" borderId="30" xfId="0" applyNumberFormat="1" applyFont="1" applyBorder="1" applyAlignment="1">
      <alignment horizontal="center" vertical="top"/>
    </xf>
    <xf numFmtId="0" fontId="5" fillId="0" borderId="40" xfId="0" applyNumberFormat="1" applyFont="1" applyBorder="1" applyAlignment="1">
      <alignment horizontal="center" vertical="top"/>
    </xf>
    <xf numFmtId="0" fontId="5" fillId="0" borderId="13" xfId="0" applyFont="1" applyFill="1" applyBorder="1" applyAlignment="1">
      <alignment vertical="center" textRotation="90" wrapText="1"/>
    </xf>
    <xf numFmtId="0" fontId="5" fillId="0" borderId="18" xfId="0" applyFont="1" applyFill="1" applyBorder="1" applyAlignment="1">
      <alignment vertical="center" textRotation="90" wrapText="1"/>
    </xf>
    <xf numFmtId="0" fontId="5" fillId="0" borderId="19" xfId="0" applyFont="1" applyFill="1" applyBorder="1" applyAlignment="1">
      <alignment vertical="center" textRotation="90" wrapText="1"/>
    </xf>
    <xf numFmtId="0" fontId="2" fillId="0" borderId="30" xfId="0" applyNumberFormat="1" applyFont="1" applyFill="1" applyBorder="1" applyAlignment="1">
      <alignment horizontal="center" vertical="top"/>
    </xf>
    <xf numFmtId="0" fontId="2" fillId="0" borderId="45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0" fontId="5" fillId="0" borderId="75" xfId="0" applyNumberFormat="1" applyFont="1" applyFill="1" applyBorder="1" applyAlignment="1">
      <alignment horizontal="center" vertical="top"/>
    </xf>
    <xf numFmtId="0" fontId="5" fillId="0" borderId="34" xfId="0" applyNumberFormat="1" applyFont="1" applyFill="1" applyBorder="1" applyAlignment="1">
      <alignment horizontal="center" vertical="top"/>
    </xf>
    <xf numFmtId="49" fontId="4" fillId="0" borderId="29" xfId="0" applyNumberFormat="1" applyFont="1" applyBorder="1" applyAlignment="1">
      <alignment horizontal="center" vertical="top"/>
    </xf>
    <xf numFmtId="49" fontId="4" fillId="0" borderId="60" xfId="0" applyNumberFormat="1" applyFont="1" applyBorder="1" applyAlignment="1">
      <alignment horizontal="center" vertical="top"/>
    </xf>
    <xf numFmtId="49" fontId="4" fillId="0" borderId="29" xfId="0" applyNumberFormat="1" applyFont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49" fontId="2" fillId="2" borderId="12" xfId="0" applyNumberFormat="1" applyFont="1" applyFill="1" applyBorder="1" applyAlignment="1">
      <alignment horizontal="left" vertical="top" wrapText="1"/>
    </xf>
    <xf numFmtId="49" fontId="2" fillId="2" borderId="55" xfId="0" applyNumberFormat="1" applyFont="1" applyFill="1" applyBorder="1" applyAlignment="1">
      <alignment horizontal="left" vertical="top" wrapText="1"/>
    </xf>
    <xf numFmtId="49" fontId="2" fillId="2" borderId="76" xfId="0" applyNumberFormat="1" applyFont="1" applyFill="1" applyBorder="1" applyAlignment="1">
      <alignment horizontal="left" vertical="top" wrapText="1"/>
    </xf>
    <xf numFmtId="49" fontId="2" fillId="2" borderId="60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center" textRotation="90" wrapText="1"/>
    </xf>
    <xf numFmtId="0" fontId="5" fillId="0" borderId="60" xfId="0" applyFont="1" applyFill="1" applyBorder="1" applyAlignment="1">
      <alignment horizontal="center" vertical="center" textRotation="90" wrapText="1"/>
    </xf>
    <xf numFmtId="49" fontId="2" fillId="3" borderId="48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164" fontId="5" fillId="2" borderId="76" xfId="0" applyNumberFormat="1" applyFont="1" applyFill="1" applyBorder="1" applyAlignment="1">
      <alignment horizontal="center" vertical="top"/>
    </xf>
    <xf numFmtId="0" fontId="5" fillId="0" borderId="66" xfId="0" applyNumberFormat="1" applyFont="1" applyFill="1" applyBorder="1" applyAlignment="1">
      <alignment horizontal="center" vertical="top"/>
    </xf>
    <xf numFmtId="0" fontId="5" fillId="0" borderId="70" xfId="0" applyNumberFormat="1" applyFont="1" applyFill="1" applyBorder="1" applyAlignment="1">
      <alignment horizontal="center" vertical="top"/>
    </xf>
    <xf numFmtId="0" fontId="4" fillId="7" borderId="13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 wrapText="1"/>
    </xf>
    <xf numFmtId="49" fontId="4" fillId="0" borderId="32" xfId="0" applyNumberFormat="1" applyFont="1" applyBorder="1" applyAlignment="1">
      <alignment horizontal="center" vertical="top"/>
    </xf>
    <xf numFmtId="49" fontId="4" fillId="0" borderId="70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18" xfId="0" applyFont="1" applyFill="1" applyBorder="1" applyAlignment="1">
      <alignment horizontal="center" vertical="center" textRotation="90" wrapText="1"/>
    </xf>
    <xf numFmtId="0" fontId="5" fillId="0" borderId="19" xfId="0" applyFont="1" applyFill="1" applyBorder="1" applyAlignment="1">
      <alignment horizontal="center" vertical="center" textRotation="90" wrapText="1"/>
    </xf>
    <xf numFmtId="49" fontId="2" fillId="5" borderId="47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horizontal="right" vertical="top"/>
    </xf>
    <xf numFmtId="0" fontId="4" fillId="7" borderId="18" xfId="0" applyFont="1" applyFill="1" applyBorder="1" applyAlignment="1">
      <alignment horizontal="left" vertical="top" wrapText="1"/>
    </xf>
    <xf numFmtId="0" fontId="4" fillId="0" borderId="60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horizontal="center" vertical="top"/>
    </xf>
    <xf numFmtId="49" fontId="2" fillId="2" borderId="76" xfId="0" applyNumberFormat="1" applyFont="1" applyFill="1" applyBorder="1" applyAlignment="1">
      <alignment horizontal="center" vertical="top"/>
    </xf>
    <xf numFmtId="0" fontId="5" fillId="5" borderId="60" xfId="0" applyFont="1" applyFill="1" applyBorder="1" applyAlignment="1">
      <alignment horizontal="left" vertical="top" wrapText="1"/>
    </xf>
    <xf numFmtId="0" fontId="5" fillId="5" borderId="18" xfId="0" applyFont="1" applyFill="1" applyBorder="1" applyAlignment="1">
      <alignment horizontal="left" vertical="top" wrapText="1"/>
    </xf>
    <xf numFmtId="0" fontId="2" fillId="0" borderId="30" xfId="0" applyNumberFormat="1" applyFont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0" fontId="2" fillId="0" borderId="45" xfId="0" applyNumberFormat="1" applyFont="1" applyBorder="1" applyAlignment="1">
      <alignment horizontal="center" vertical="top"/>
    </xf>
    <xf numFmtId="0" fontId="4" fillId="5" borderId="13" xfId="0" applyFont="1" applyFill="1" applyBorder="1" applyAlignment="1">
      <alignment horizontal="left" vertical="top" wrapText="1"/>
    </xf>
    <xf numFmtId="0" fontId="5" fillId="0" borderId="39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165" fontId="4" fillId="5" borderId="41" xfId="0" applyNumberFormat="1" applyFont="1" applyFill="1" applyBorder="1" applyAlignment="1">
      <alignment horizontal="left" vertical="top" wrapText="1"/>
    </xf>
    <xf numFmtId="165" fontId="4" fillId="5" borderId="20" xfId="0" applyNumberFormat="1" applyFont="1" applyFill="1" applyBorder="1" applyAlignment="1">
      <alignment horizontal="left" vertical="top" wrapText="1"/>
    </xf>
    <xf numFmtId="164" fontId="1" fillId="5" borderId="22" xfId="0" applyNumberFormat="1" applyFont="1" applyFill="1" applyBorder="1" applyAlignment="1">
      <alignment horizontal="left" vertical="top" wrapText="1"/>
    </xf>
    <xf numFmtId="164" fontId="1" fillId="5" borderId="20" xfId="0" applyNumberFormat="1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2" fillId="2" borderId="55" xfId="0" applyNumberFormat="1" applyFont="1" applyFill="1" applyBorder="1" applyAlignment="1">
      <alignment horizontal="center" vertical="top"/>
    </xf>
    <xf numFmtId="0" fontId="2" fillId="2" borderId="76" xfId="0" applyNumberFormat="1" applyFont="1" applyFill="1" applyBorder="1" applyAlignment="1">
      <alignment horizontal="center" vertical="top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164" fontId="4" fillId="0" borderId="38" xfId="0" applyNumberFormat="1" applyFont="1" applyFill="1" applyBorder="1" applyAlignment="1">
      <alignment horizontal="left" vertical="top" wrapText="1"/>
    </xf>
    <xf numFmtId="164" fontId="4" fillId="0" borderId="41" xfId="0" applyNumberFormat="1" applyFont="1" applyFill="1" applyBorder="1" applyAlignment="1">
      <alignment horizontal="left" vertical="top" wrapText="1"/>
    </xf>
    <xf numFmtId="165" fontId="4" fillId="0" borderId="62" xfId="0" applyNumberFormat="1" applyFont="1" applyFill="1" applyBorder="1" applyAlignment="1">
      <alignment horizontal="left" vertical="top" wrapText="1"/>
    </xf>
    <xf numFmtId="165" fontId="4" fillId="0" borderId="17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165" fontId="4" fillId="0" borderId="41" xfId="0" applyNumberFormat="1" applyFont="1" applyFill="1" applyBorder="1" applyAlignment="1">
      <alignment horizontal="left" vertical="top" wrapText="1"/>
    </xf>
    <xf numFmtId="164" fontId="4" fillId="0" borderId="42" xfId="0" applyNumberFormat="1" applyFont="1" applyFill="1" applyBorder="1" applyAlignment="1">
      <alignment horizontal="left" vertical="top" wrapText="1"/>
    </xf>
    <xf numFmtId="49" fontId="5" fillId="3" borderId="22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0" fontId="5" fillId="0" borderId="3" xfId="0" applyNumberFormat="1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49" fontId="5" fillId="0" borderId="66" xfId="0" applyNumberFormat="1" applyFont="1" applyFill="1" applyBorder="1" applyAlignment="1">
      <alignment horizontal="center" vertical="top"/>
    </xf>
    <xf numFmtId="49" fontId="5" fillId="0" borderId="70" xfId="0" applyNumberFormat="1" applyFont="1" applyFill="1" applyBorder="1" applyAlignment="1">
      <alignment horizontal="center" vertical="top"/>
    </xf>
    <xf numFmtId="0" fontId="5" fillId="5" borderId="13" xfId="0" applyFont="1" applyFill="1" applyBorder="1" applyAlignment="1">
      <alignment horizontal="left" vertical="top" wrapText="1"/>
    </xf>
    <xf numFmtId="0" fontId="5" fillId="5" borderId="19" xfId="0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right" vertical="top"/>
    </xf>
    <xf numFmtId="0" fontId="5" fillId="0" borderId="66" xfId="0" applyFont="1" applyFill="1" applyBorder="1" applyAlignment="1">
      <alignment horizontal="center" vertical="center" textRotation="90" wrapText="1"/>
    </xf>
    <xf numFmtId="0" fontId="5" fillId="0" borderId="70" xfId="0" applyFont="1" applyFill="1" applyBorder="1" applyAlignment="1">
      <alignment horizontal="center" vertical="center" textRotation="90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44" xfId="0" applyNumberFormat="1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top"/>
    </xf>
    <xf numFmtId="0" fontId="5" fillId="0" borderId="44" xfId="0" applyNumberFormat="1" applyFont="1" applyBorder="1" applyAlignment="1">
      <alignment horizontal="center" vertical="top"/>
    </xf>
    <xf numFmtId="164" fontId="4" fillId="0" borderId="22" xfId="0" applyNumberFormat="1" applyFont="1" applyFill="1" applyBorder="1" applyAlignment="1">
      <alignment horizontal="left" vertical="top" wrapText="1"/>
    </xf>
    <xf numFmtId="164" fontId="4" fillId="0" borderId="20" xfId="0" applyNumberFormat="1" applyFont="1" applyFill="1" applyBorder="1" applyAlignment="1">
      <alignment horizontal="left" vertical="top" wrapText="1"/>
    </xf>
    <xf numFmtId="0" fontId="4" fillId="5" borderId="41" xfId="0" applyFont="1" applyFill="1" applyBorder="1" applyAlignment="1">
      <alignment horizontal="left" vertical="top" wrapText="1"/>
    </xf>
    <xf numFmtId="0" fontId="4" fillId="5" borderId="20" xfId="0" applyFont="1" applyFill="1" applyBorder="1" applyAlignment="1">
      <alignment horizontal="left" vertical="top" wrapText="1"/>
    </xf>
    <xf numFmtId="0" fontId="2" fillId="8" borderId="12" xfId="0" applyFont="1" applyFill="1" applyBorder="1" applyAlignment="1">
      <alignment horizontal="right" vertical="top" wrapText="1"/>
    </xf>
    <xf numFmtId="0" fontId="2" fillId="8" borderId="55" xfId="0" applyFont="1" applyFill="1" applyBorder="1" applyAlignment="1">
      <alignment horizontal="right" vertical="top" wrapText="1"/>
    </xf>
    <xf numFmtId="0" fontId="2" fillId="8" borderId="76" xfId="0" applyFont="1" applyFill="1" applyBorder="1" applyAlignment="1">
      <alignment horizontal="right" vertical="top" wrapText="1"/>
    </xf>
    <xf numFmtId="0" fontId="2" fillId="4" borderId="12" xfId="0" applyFont="1" applyFill="1" applyBorder="1" applyAlignment="1">
      <alignment horizontal="right" vertical="top" wrapText="1"/>
    </xf>
    <xf numFmtId="0" fontId="2" fillId="4" borderId="55" xfId="0" applyFont="1" applyFill="1" applyBorder="1" applyAlignment="1">
      <alignment horizontal="right" vertical="top" wrapText="1"/>
    </xf>
    <xf numFmtId="0" fontId="2" fillId="4" borderId="76" xfId="0" applyFont="1" applyFill="1" applyBorder="1" applyAlignment="1">
      <alignment horizontal="right" vertical="top" wrapText="1"/>
    </xf>
    <xf numFmtId="0" fontId="1" fillId="5" borderId="42" xfId="0" applyFont="1" applyFill="1" applyBorder="1" applyAlignment="1">
      <alignment horizontal="left" vertical="top" wrapText="1"/>
    </xf>
    <xf numFmtId="0" fontId="1" fillId="5" borderId="43" xfId="0" applyFont="1" applyFill="1" applyBorder="1" applyAlignment="1">
      <alignment horizontal="left" vertical="top" wrapText="1"/>
    </xf>
    <xf numFmtId="0" fontId="1" fillId="5" borderId="61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46" xfId="0" applyFont="1" applyFill="1" applyBorder="1" applyAlignment="1">
      <alignment horizontal="left" vertical="top" wrapText="1"/>
    </xf>
    <xf numFmtId="0" fontId="1" fillId="0" borderId="51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0" fontId="1" fillId="5" borderId="68" xfId="0" applyFont="1" applyFill="1" applyBorder="1" applyAlignment="1">
      <alignment horizontal="left" vertical="top" wrapText="1"/>
    </xf>
    <xf numFmtId="0" fontId="1" fillId="5" borderId="53" xfId="0" applyFont="1" applyFill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68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0" fontId="1" fillId="5" borderId="48" xfId="0" applyFont="1" applyFill="1" applyBorder="1" applyAlignment="1">
      <alignment horizontal="left" vertical="top" wrapText="1"/>
    </xf>
    <xf numFmtId="0" fontId="1" fillId="5" borderId="46" xfId="0" applyFont="1" applyFill="1" applyBorder="1" applyAlignment="1">
      <alignment horizontal="left" vertical="top" wrapText="1"/>
    </xf>
    <xf numFmtId="0" fontId="1" fillId="5" borderId="51" xfId="0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center" vertical="top"/>
    </xf>
    <xf numFmtId="164" fontId="4" fillId="0" borderId="67" xfId="0" applyNumberFormat="1" applyFont="1" applyFill="1" applyBorder="1" applyAlignment="1">
      <alignment horizontal="center" vertical="top" wrapText="1"/>
    </xf>
    <xf numFmtId="164" fontId="4" fillId="0" borderId="35" xfId="0" applyNumberFormat="1" applyFont="1" applyFill="1" applyBorder="1" applyAlignment="1">
      <alignment horizontal="center" vertical="top" wrapText="1"/>
    </xf>
    <xf numFmtId="164" fontId="5" fillId="4" borderId="16" xfId="0" applyNumberFormat="1" applyFont="1" applyFill="1" applyBorder="1" applyAlignment="1">
      <alignment horizontal="center" vertical="top" wrapText="1"/>
    </xf>
    <xf numFmtId="164" fontId="5" fillId="4" borderId="3" xfId="0" applyNumberFormat="1" applyFont="1" applyFill="1" applyBorder="1" applyAlignment="1">
      <alignment horizontal="center" vertical="top" wrapText="1"/>
    </xf>
    <xf numFmtId="0" fontId="2" fillId="4" borderId="78" xfId="0" applyFont="1" applyFill="1" applyBorder="1" applyAlignment="1">
      <alignment horizontal="right" vertical="top" wrapText="1"/>
    </xf>
    <xf numFmtId="0" fontId="2" fillId="4" borderId="59" xfId="0" applyFont="1" applyFill="1" applyBorder="1" applyAlignment="1">
      <alignment horizontal="right" vertical="top" wrapText="1"/>
    </xf>
    <xf numFmtId="0" fontId="2" fillId="4" borderId="77" xfId="0" applyFont="1" applyFill="1" applyBorder="1" applyAlignment="1">
      <alignment horizontal="right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top" wrapText="1"/>
    </xf>
    <xf numFmtId="164" fontId="2" fillId="2" borderId="16" xfId="0" applyNumberFormat="1" applyFont="1" applyFill="1" applyBorder="1" applyAlignment="1">
      <alignment horizontal="center" vertical="top"/>
    </xf>
    <xf numFmtId="164" fontId="2" fillId="2" borderId="3" xfId="0" applyNumberFormat="1" applyFont="1" applyFill="1" applyBorder="1" applyAlignment="1">
      <alignment horizontal="center" vertical="top"/>
    </xf>
    <xf numFmtId="164" fontId="2" fillId="2" borderId="24" xfId="0" applyNumberFormat="1" applyFont="1" applyFill="1" applyBorder="1" applyAlignment="1">
      <alignment horizontal="center" vertical="top"/>
    </xf>
    <xf numFmtId="164" fontId="4" fillId="0" borderId="22" xfId="0" applyNumberFormat="1" applyFont="1" applyBorder="1" applyAlignment="1">
      <alignment horizontal="left" vertical="top" wrapText="1"/>
    </xf>
    <xf numFmtId="164" fontId="4" fillId="0" borderId="20" xfId="0" applyNumberFormat="1" applyFont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49" fontId="2" fillId="3" borderId="55" xfId="0" applyNumberFormat="1" applyFont="1" applyFill="1" applyBorder="1" applyAlignment="1">
      <alignment horizontal="right" vertical="top"/>
    </xf>
    <xf numFmtId="49" fontId="2" fillId="4" borderId="55" xfId="0" applyNumberFormat="1" applyFont="1" applyFill="1" applyBorder="1" applyAlignment="1">
      <alignment horizontal="right" vertical="top"/>
    </xf>
    <xf numFmtId="49" fontId="2" fillId="3" borderId="41" xfId="0" applyNumberFormat="1" applyFont="1" applyFill="1" applyBorder="1" applyAlignment="1">
      <alignment horizontal="center" vertical="top"/>
    </xf>
    <xf numFmtId="0" fontId="5" fillId="0" borderId="39" xfId="0" applyNumberFormat="1" applyFont="1" applyFill="1" applyBorder="1" applyAlignment="1">
      <alignment horizontal="center" vertical="top"/>
    </xf>
    <xf numFmtId="0" fontId="5" fillId="0" borderId="31" xfId="0" applyNumberFormat="1" applyFont="1" applyFill="1" applyBorder="1" applyAlignment="1">
      <alignment horizontal="center" vertical="top"/>
    </xf>
    <xf numFmtId="0" fontId="5" fillId="0" borderId="21" xfId="0" applyNumberFormat="1" applyFont="1" applyFill="1" applyBorder="1" applyAlignment="1">
      <alignment horizontal="center" vertical="top"/>
    </xf>
    <xf numFmtId="164" fontId="5" fillId="8" borderId="12" xfId="0" applyNumberFormat="1" applyFont="1" applyFill="1" applyBorder="1" applyAlignment="1">
      <alignment horizontal="center" vertical="top" wrapText="1"/>
    </xf>
    <xf numFmtId="164" fontId="5" fillId="8" borderId="55" xfId="0" applyNumberFormat="1" applyFont="1" applyFill="1" applyBorder="1" applyAlignment="1">
      <alignment horizontal="center" vertical="top" wrapText="1"/>
    </xf>
    <xf numFmtId="164" fontId="4" fillId="0" borderId="67" xfId="0" applyNumberFormat="1" applyFont="1" applyBorder="1" applyAlignment="1">
      <alignment horizontal="center" vertical="top" wrapText="1"/>
    </xf>
    <xf numFmtId="164" fontId="4" fillId="0" borderId="35" xfId="0" applyNumberFormat="1" applyFont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center" wrapText="1"/>
    </xf>
    <xf numFmtId="164" fontId="2" fillId="4" borderId="57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164" fontId="2" fillId="4" borderId="71" xfId="0" applyNumberFormat="1" applyFont="1" applyFill="1" applyBorder="1" applyAlignment="1">
      <alignment horizontal="center" vertical="top"/>
    </xf>
    <xf numFmtId="49" fontId="2" fillId="0" borderId="44" xfId="0" applyNumberFormat="1" applyFont="1" applyFill="1" applyBorder="1" applyAlignment="1">
      <alignment horizontal="center" wrapText="1"/>
    </xf>
    <xf numFmtId="164" fontId="5" fillId="4" borderId="12" xfId="0" applyNumberFormat="1" applyFont="1" applyFill="1" applyBorder="1" applyAlignment="1">
      <alignment horizontal="center" vertical="top" wrapText="1"/>
    </xf>
    <xf numFmtId="164" fontId="5" fillId="4" borderId="55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/>
    </xf>
    <xf numFmtId="164" fontId="4" fillId="0" borderId="48" xfId="0" applyNumberFormat="1" applyFont="1" applyFill="1" applyBorder="1" applyAlignment="1">
      <alignment horizontal="center" vertical="top" wrapText="1"/>
    </xf>
    <xf numFmtId="164" fontId="4" fillId="0" borderId="46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top"/>
    </xf>
    <xf numFmtId="164" fontId="4" fillId="0" borderId="51" xfId="0" applyNumberFormat="1" applyFont="1" applyFill="1" applyBorder="1" applyAlignment="1">
      <alignment horizontal="center" vertical="top" wrapText="1"/>
    </xf>
    <xf numFmtId="49" fontId="5" fillId="3" borderId="41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49" fontId="2" fillId="2" borderId="19" xfId="0" applyNumberFormat="1" applyFont="1" applyFill="1" applyBorder="1" applyAlignment="1">
      <alignment horizontal="right" vertical="top"/>
    </xf>
    <xf numFmtId="0" fontId="5" fillId="0" borderId="75" xfId="0" applyNumberFormat="1" applyFont="1" applyBorder="1" applyAlignment="1">
      <alignment horizontal="center" vertical="top"/>
    </xf>
    <xf numFmtId="0" fontId="5" fillId="0" borderId="54" xfId="0" applyNumberFormat="1" applyFont="1" applyBorder="1" applyAlignment="1">
      <alignment horizontal="center" vertical="top"/>
    </xf>
    <xf numFmtId="0" fontId="5" fillId="0" borderId="47" xfId="0" applyNumberFormat="1" applyFont="1" applyBorder="1" applyAlignment="1">
      <alignment horizontal="center" vertical="top"/>
    </xf>
    <xf numFmtId="49" fontId="4" fillId="0" borderId="43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75" xfId="0" applyFont="1" applyFill="1" applyBorder="1" applyAlignment="1">
      <alignment horizontal="left" vertical="top" wrapText="1"/>
    </xf>
    <xf numFmtId="0" fontId="4" fillId="0" borderId="34" xfId="0" applyFont="1" applyFill="1" applyBorder="1" applyAlignment="1">
      <alignment horizontal="left" vertical="top" wrapText="1"/>
    </xf>
    <xf numFmtId="165" fontId="4" fillId="5" borderId="38" xfId="0" applyNumberFormat="1" applyFont="1" applyFill="1" applyBorder="1" applyAlignment="1">
      <alignment horizontal="left" vertical="top" wrapText="1"/>
    </xf>
    <xf numFmtId="0" fontId="2" fillId="0" borderId="32" xfId="0" applyNumberFormat="1" applyFont="1" applyFill="1" applyBorder="1" applyAlignment="1">
      <alignment horizontal="center" vertical="top"/>
    </xf>
    <xf numFmtId="0" fontId="2" fillId="0" borderId="70" xfId="0" applyNumberFormat="1" applyFont="1" applyFill="1" applyBorder="1" applyAlignment="1">
      <alignment horizontal="center" vertical="top"/>
    </xf>
    <xf numFmtId="0" fontId="11" fillId="0" borderId="18" xfId="0" applyFont="1" applyBorder="1" applyAlignment="1">
      <alignment horizontal="center" vertical="center" textRotation="90"/>
    </xf>
    <xf numFmtId="0" fontId="11" fillId="0" borderId="19" xfId="0" applyFont="1" applyBorder="1" applyAlignment="1">
      <alignment horizontal="center" vertical="center" textRotation="90"/>
    </xf>
    <xf numFmtId="0" fontId="5" fillId="5" borderId="31" xfId="0" applyNumberFormat="1" applyFont="1" applyFill="1" applyBorder="1" applyAlignment="1">
      <alignment horizontal="center" vertical="top"/>
    </xf>
    <xf numFmtId="49" fontId="2" fillId="2" borderId="14" xfId="0" applyNumberFormat="1" applyFont="1" applyFill="1" applyBorder="1" applyAlignment="1">
      <alignment horizontal="left" vertical="top"/>
    </xf>
    <xf numFmtId="49" fontId="2" fillId="2" borderId="55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75" xfId="0" applyFont="1" applyBorder="1" applyAlignment="1">
      <alignment horizontal="center" vertical="center" textRotation="90" wrapText="1"/>
    </xf>
    <xf numFmtId="0" fontId="1" fillId="0" borderId="52" xfId="0" applyFont="1" applyBorder="1" applyAlignment="1">
      <alignment horizontal="center" vertical="center" textRotation="90" wrapText="1"/>
    </xf>
    <xf numFmtId="0" fontId="1" fillId="0" borderId="47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 vertical="center" textRotation="90" wrapText="1"/>
    </xf>
    <xf numFmtId="0" fontId="1" fillId="0" borderId="8" xfId="0" applyNumberFormat="1" applyFont="1" applyBorder="1" applyAlignment="1">
      <alignment horizontal="center" vertical="center" textRotation="90" wrapText="1"/>
    </xf>
    <xf numFmtId="0" fontId="1" fillId="0" borderId="50" xfId="0" applyNumberFormat="1" applyFont="1" applyBorder="1" applyAlignment="1">
      <alignment horizontal="center" vertical="center" textRotation="90" wrapText="1"/>
    </xf>
    <xf numFmtId="0" fontId="2" fillId="0" borderId="7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1" fillId="0" borderId="52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50" xfId="0" applyFont="1" applyBorder="1" applyAlignment="1">
      <alignment horizontal="center" vertical="center" textRotation="90" wrapText="1"/>
    </xf>
    <xf numFmtId="0" fontId="4" fillId="0" borderId="44" xfId="0" applyFont="1" applyBorder="1" applyAlignment="1">
      <alignment horizontal="right" vertical="top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49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50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49" fontId="5" fillId="3" borderId="63" xfId="0" applyNumberFormat="1" applyFont="1" applyFill="1" applyBorder="1" applyAlignment="1">
      <alignment horizontal="center" vertical="top"/>
    </xf>
    <xf numFmtId="49" fontId="5" fillId="2" borderId="43" xfId="0" applyNumberFormat="1" applyFont="1" applyFill="1" applyBorder="1" applyAlignment="1">
      <alignment horizontal="center" vertical="top"/>
    </xf>
    <xf numFmtId="49" fontId="5" fillId="2" borderId="18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52" xfId="0" applyFont="1" applyFill="1" applyBorder="1" applyAlignment="1">
      <alignment horizontal="left" vertical="top" wrapText="1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49" fontId="5" fillId="5" borderId="80" xfId="0" applyNumberFormat="1" applyFont="1" applyFill="1" applyBorder="1" applyAlignment="1">
      <alignment horizontal="center" vertical="top"/>
    </xf>
    <xf numFmtId="0" fontId="5" fillId="0" borderId="68" xfId="0" applyFont="1" applyFill="1" applyBorder="1" applyAlignment="1">
      <alignment horizontal="center" vertical="center" textRotation="90" wrapText="1"/>
    </xf>
    <xf numFmtId="0" fontId="5" fillId="0" borderId="68" xfId="0" applyFont="1" applyFill="1" applyBorder="1" applyAlignment="1">
      <alignment horizontal="center" vertical="top" wrapText="1"/>
    </xf>
    <xf numFmtId="49" fontId="4" fillId="0" borderId="68" xfId="0" applyNumberFormat="1" applyFont="1" applyBorder="1" applyAlignment="1">
      <alignment horizontal="center" vertical="top"/>
    </xf>
    <xf numFmtId="49" fontId="2" fillId="6" borderId="12" xfId="0" applyNumberFormat="1" applyFont="1" applyFill="1" applyBorder="1" applyAlignment="1">
      <alignment horizontal="left" vertical="top" wrapText="1"/>
    </xf>
    <xf numFmtId="49" fontId="2" fillId="6" borderId="55" xfId="0" applyNumberFormat="1" applyFont="1" applyFill="1" applyBorder="1" applyAlignment="1">
      <alignment horizontal="left" vertical="top" wrapText="1"/>
    </xf>
    <xf numFmtId="49" fontId="2" fillId="6" borderId="76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55" xfId="0" applyFont="1" applyFill="1" applyBorder="1" applyAlignment="1">
      <alignment horizontal="left" vertical="top" wrapText="1"/>
    </xf>
    <xf numFmtId="0" fontId="6" fillId="4" borderId="76" xfId="0" applyFont="1" applyFill="1" applyBorder="1" applyAlignment="1">
      <alignment horizontal="left" vertical="top" wrapText="1"/>
    </xf>
    <xf numFmtId="0" fontId="4" fillId="0" borderId="68" xfId="0" applyFont="1" applyFill="1" applyBorder="1" applyAlignment="1">
      <alignment horizontal="left" vertical="top" wrapText="1"/>
    </xf>
    <xf numFmtId="49" fontId="4" fillId="0" borderId="68" xfId="0" applyNumberFormat="1" applyFont="1" applyBorder="1" applyAlignment="1">
      <alignment horizontal="center" vertical="top" wrapText="1"/>
    </xf>
    <xf numFmtId="0" fontId="5" fillId="0" borderId="60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center"/>
    </xf>
    <xf numFmtId="0" fontId="5" fillId="3" borderId="55" xfId="0" applyFont="1" applyFill="1" applyBorder="1" applyAlignment="1">
      <alignment horizontal="left" vertical="center"/>
    </xf>
    <xf numFmtId="0" fontId="5" fillId="3" borderId="76" xfId="0" applyFont="1" applyFill="1" applyBorder="1" applyAlignment="1">
      <alignment horizontal="left" vertical="center"/>
    </xf>
    <xf numFmtId="49" fontId="5" fillId="0" borderId="52" xfId="0" applyNumberFormat="1" applyFont="1" applyBorder="1" applyAlignment="1">
      <alignment horizontal="center" vertical="top"/>
    </xf>
    <xf numFmtId="49" fontId="5" fillId="5" borderId="13" xfId="0" applyNumberFormat="1" applyFont="1" applyFill="1" applyBorder="1" applyAlignment="1">
      <alignment horizontal="center" vertical="top"/>
    </xf>
    <xf numFmtId="0" fontId="5" fillId="2" borderId="55" xfId="0" applyFont="1" applyFill="1" applyBorder="1" applyAlignment="1">
      <alignment horizontal="left" vertical="top" wrapText="1"/>
    </xf>
    <xf numFmtId="0" fontId="5" fillId="2" borderId="76" xfId="0" applyFont="1" applyFill="1" applyBorder="1" applyAlignment="1">
      <alignment horizontal="left" vertical="top" wrapText="1"/>
    </xf>
    <xf numFmtId="164" fontId="4" fillId="0" borderId="69" xfId="0" applyNumberFormat="1" applyFont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center" vertical="top"/>
    </xf>
    <xf numFmtId="49" fontId="5" fillId="0" borderId="40" xfId="0" applyNumberFormat="1" applyFont="1" applyBorder="1" applyAlignment="1">
      <alignment horizontal="center" vertical="top"/>
    </xf>
    <xf numFmtId="49" fontId="5" fillId="0" borderId="54" xfId="0" applyNumberFormat="1" applyFont="1" applyBorder="1" applyAlignment="1">
      <alignment horizontal="center" vertical="top"/>
    </xf>
    <xf numFmtId="49" fontId="5" fillId="0" borderId="54" xfId="0" applyNumberFormat="1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left" vertical="top" wrapText="1"/>
    </xf>
    <xf numFmtId="49" fontId="4" fillId="0" borderId="43" xfId="0" applyNumberFormat="1" applyFont="1" applyBorder="1" applyAlignment="1">
      <alignment horizontal="center" vertical="top" wrapText="1"/>
    </xf>
    <xf numFmtId="0" fontId="4" fillId="0" borderId="40" xfId="0" applyFont="1" applyFill="1" applyBorder="1" applyAlignment="1">
      <alignment horizontal="center" vertical="top"/>
    </xf>
    <xf numFmtId="0" fontId="4" fillId="0" borderId="31" xfId="0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164" fontId="4" fillId="0" borderId="41" xfId="0" applyNumberFormat="1" applyFont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164" fontId="1" fillId="0" borderId="22" xfId="0" applyNumberFormat="1" applyFont="1" applyBorder="1" applyAlignment="1">
      <alignment horizontal="left" vertical="top" wrapText="1"/>
    </xf>
    <xf numFmtId="164" fontId="1" fillId="0" borderId="20" xfId="0" applyNumberFormat="1" applyFont="1" applyBorder="1" applyAlignment="1">
      <alignment horizontal="left" vertical="top" wrapText="1"/>
    </xf>
    <xf numFmtId="164" fontId="4" fillId="5" borderId="22" xfId="0" applyNumberFormat="1" applyFont="1" applyFill="1" applyBorder="1" applyAlignment="1">
      <alignment horizontal="left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0" fontId="1" fillId="0" borderId="39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4" fillId="0" borderId="60" xfId="0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/>
    </xf>
    <xf numFmtId="0" fontId="4" fillId="5" borderId="38" xfId="0" applyFont="1" applyFill="1" applyBorder="1" applyAlignment="1">
      <alignment horizontal="left" vertical="top" wrapText="1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0" borderId="52" xfId="0" applyNumberFormat="1" applyFont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49" fontId="4" fillId="0" borderId="19" xfId="0" applyNumberFormat="1" applyFont="1" applyBorder="1" applyAlignment="1">
      <alignment horizontal="center" vertical="top" wrapText="1"/>
    </xf>
    <xf numFmtId="0" fontId="5" fillId="0" borderId="54" xfId="0" applyFont="1" applyFill="1" applyBorder="1" applyAlignment="1">
      <alignment horizontal="left" vertical="top" wrapText="1"/>
    </xf>
    <xf numFmtId="0" fontId="5" fillId="0" borderId="70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vertical="center" textRotation="90" wrapText="1"/>
    </xf>
    <xf numFmtId="0" fontId="5" fillId="0" borderId="4" xfId="0" applyFont="1" applyFill="1" applyBorder="1" applyAlignment="1">
      <alignment vertical="center" textRotation="90" wrapText="1"/>
    </xf>
    <xf numFmtId="0" fontId="5" fillId="0" borderId="43" xfId="0" applyFont="1" applyFill="1" applyBorder="1" applyAlignment="1">
      <alignment horizontal="center" vertical="top" textRotation="180" wrapText="1"/>
    </xf>
    <xf numFmtId="0" fontId="1" fillId="0" borderId="0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164" fontId="2" fillId="2" borderId="76" xfId="0" applyNumberFormat="1" applyFont="1" applyFill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165" fontId="4" fillId="5" borderId="62" xfId="0" applyNumberFormat="1" applyFont="1" applyFill="1" applyBorder="1" applyAlignment="1">
      <alignment horizontal="left" vertical="top" wrapText="1"/>
    </xf>
    <xf numFmtId="0" fontId="3" fillId="5" borderId="17" xfId="0" applyFont="1" applyFill="1" applyBorder="1" applyAlignment="1">
      <alignment horizontal="left" vertical="top" wrapText="1"/>
    </xf>
    <xf numFmtId="0" fontId="1" fillId="0" borderId="18" xfId="0" applyFont="1" applyBorder="1" applyAlignment="1">
      <alignment horizontal="center" vertical="top"/>
    </xf>
    <xf numFmtId="164" fontId="1" fillId="0" borderId="41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49" fontId="5" fillId="0" borderId="52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11" fillId="0" borderId="13" xfId="0" applyFont="1" applyBorder="1" applyAlignment="1">
      <alignment horizontal="center" vertical="center" textRotation="90"/>
    </xf>
    <xf numFmtId="49" fontId="4" fillId="0" borderId="66" xfId="0" applyNumberFormat="1" applyFont="1" applyBorder="1" applyAlignment="1">
      <alignment horizontal="center" vertical="top"/>
    </xf>
    <xf numFmtId="0" fontId="2" fillId="0" borderId="66" xfId="0" applyNumberFormat="1" applyFont="1" applyFill="1" applyBorder="1" applyAlignment="1">
      <alignment horizontal="center" vertical="top"/>
    </xf>
    <xf numFmtId="0" fontId="8" fillId="0" borderId="58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1" fillId="5" borderId="67" xfId="0" applyFont="1" applyFill="1" applyBorder="1" applyAlignment="1">
      <alignment horizontal="left" vertical="top" wrapText="1"/>
    </xf>
    <xf numFmtId="0" fontId="1" fillId="5" borderId="35" xfId="0" applyFont="1" applyFill="1" applyBorder="1" applyAlignment="1">
      <alignment horizontal="left" vertical="top" wrapText="1"/>
    </xf>
    <xf numFmtId="0" fontId="1" fillId="5" borderId="26" xfId="0" applyFont="1" applyFill="1" applyBorder="1" applyAlignment="1">
      <alignment horizontal="left" vertical="top" wrapText="1"/>
    </xf>
    <xf numFmtId="164" fontId="4" fillId="0" borderId="26" xfId="0" applyNumberFormat="1" applyFont="1" applyFill="1" applyBorder="1" applyAlignment="1">
      <alignment horizontal="center" vertical="top" wrapText="1"/>
    </xf>
    <xf numFmtId="164" fontId="5" fillId="4" borderId="76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Border="1" applyAlignment="1">
      <alignment horizontal="center" vertical="top" wrapText="1"/>
    </xf>
    <xf numFmtId="164" fontId="1" fillId="0" borderId="67" xfId="0" applyNumberFormat="1" applyFont="1" applyBorder="1" applyAlignment="1">
      <alignment horizontal="center" vertical="top"/>
    </xf>
    <xf numFmtId="164" fontId="1" fillId="0" borderId="35" xfId="0" applyNumberFormat="1" applyFont="1" applyBorder="1" applyAlignment="1">
      <alignment horizontal="center" vertical="top"/>
    </xf>
    <xf numFmtId="164" fontId="1" fillId="0" borderId="26" xfId="0" applyNumberFormat="1" applyFont="1" applyBorder="1" applyAlignment="1">
      <alignment horizontal="center" vertical="top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55" xfId="0" applyNumberFormat="1" applyFont="1" applyBorder="1" applyAlignment="1">
      <alignment horizontal="center" vertical="center" wrapText="1"/>
    </xf>
    <xf numFmtId="164" fontId="4" fillId="0" borderId="76" xfId="0" applyNumberFormat="1" applyFont="1" applyBorder="1" applyAlignment="1">
      <alignment horizontal="center" vertical="center" wrapText="1"/>
    </xf>
    <xf numFmtId="164" fontId="5" fillId="4" borderId="24" xfId="0" applyNumberFormat="1" applyFont="1" applyFill="1" applyBorder="1" applyAlignment="1">
      <alignment horizontal="center" vertical="top" wrapText="1"/>
    </xf>
    <xf numFmtId="49" fontId="2" fillId="2" borderId="76" xfId="0" applyNumberFormat="1" applyFont="1" applyFill="1" applyBorder="1" applyAlignment="1">
      <alignment horizontal="right" vertical="top"/>
    </xf>
    <xf numFmtId="0" fontId="1" fillId="0" borderId="18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center" textRotation="90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2" fillId="0" borderId="39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164" fontId="1" fillId="0" borderId="22" xfId="0" applyNumberFormat="1" applyFont="1" applyFill="1" applyBorder="1" applyAlignment="1">
      <alignment horizontal="left" vertical="top" wrapText="1"/>
    </xf>
    <xf numFmtId="164" fontId="1" fillId="0" borderId="20" xfId="0" applyNumberFormat="1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70" xfId="0" applyFont="1" applyFill="1" applyBorder="1" applyAlignment="1">
      <alignment horizontal="center" vertical="center" textRotation="90" wrapText="1"/>
    </xf>
    <xf numFmtId="0" fontId="1" fillId="7" borderId="60" xfId="0" applyFont="1" applyFill="1" applyBorder="1" applyAlignment="1">
      <alignment horizontal="left" vertical="top" wrapText="1"/>
    </xf>
    <xf numFmtId="0" fontId="1" fillId="7" borderId="19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center" vertical="top" wrapText="1"/>
    </xf>
    <xf numFmtId="0" fontId="1" fillId="7" borderId="44" xfId="0" applyFont="1" applyFill="1" applyBorder="1" applyAlignment="1">
      <alignment horizontal="center" vertical="top" wrapText="1"/>
    </xf>
    <xf numFmtId="49" fontId="1" fillId="7" borderId="31" xfId="0" applyNumberFormat="1" applyFont="1" applyFill="1" applyBorder="1" applyAlignment="1">
      <alignment horizontal="center" vertical="top" wrapText="1"/>
    </xf>
    <xf numFmtId="49" fontId="1" fillId="7" borderId="21" xfId="0" applyNumberFormat="1" applyFont="1" applyFill="1" applyBorder="1" applyAlignment="1">
      <alignment horizontal="center" vertical="top" wrapText="1"/>
    </xf>
    <xf numFmtId="0" fontId="1" fillId="5" borderId="13" xfId="0" applyFont="1" applyFill="1" applyBorder="1" applyAlignment="1">
      <alignment horizontal="left" vertical="top" wrapText="1"/>
    </xf>
    <xf numFmtId="0" fontId="1" fillId="5" borderId="19" xfId="0" applyFont="1" applyFill="1" applyBorder="1" applyAlignment="1">
      <alignment horizontal="left" vertical="top" wrapText="1"/>
    </xf>
    <xf numFmtId="0" fontId="2" fillId="0" borderId="39" xfId="0" applyNumberFormat="1" applyFont="1" applyBorder="1" applyAlignment="1">
      <alignment horizontal="center" vertical="top"/>
    </xf>
    <xf numFmtId="0" fontId="2" fillId="0" borderId="21" xfId="0" applyNumberFormat="1" applyFont="1" applyBorder="1" applyAlignment="1">
      <alignment horizontal="center" vertical="top"/>
    </xf>
    <xf numFmtId="0" fontId="1" fillId="7" borderId="29" xfId="0" applyFont="1" applyFill="1" applyBorder="1" applyAlignment="1">
      <alignment horizontal="left" vertical="top" wrapText="1"/>
    </xf>
    <xf numFmtId="0" fontId="1" fillId="7" borderId="18" xfId="0" applyFont="1" applyFill="1" applyBorder="1" applyAlignment="1">
      <alignment horizontal="left" vertical="top" wrapText="1"/>
    </xf>
    <xf numFmtId="0" fontId="1" fillId="7" borderId="4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0" fontId="2" fillId="0" borderId="19" xfId="0" applyFont="1" applyFill="1" applyBorder="1" applyAlignment="1">
      <alignment vertical="center" textRotation="90" wrapText="1"/>
    </xf>
    <xf numFmtId="0" fontId="2" fillId="0" borderId="75" xfId="0" applyNumberFormat="1" applyFont="1" applyBorder="1" applyAlignment="1">
      <alignment horizontal="center" vertical="top"/>
    </xf>
    <xf numFmtId="0" fontId="2" fillId="0" borderId="32" xfId="0" applyNumberFormat="1" applyFont="1" applyBorder="1" applyAlignment="1">
      <alignment horizontal="center" vertical="top"/>
    </xf>
    <xf numFmtId="0" fontId="2" fillId="0" borderId="47" xfId="0" applyNumberFormat="1" applyFont="1" applyBorder="1" applyAlignment="1">
      <alignment horizontal="center" vertical="top"/>
    </xf>
    <xf numFmtId="49" fontId="2" fillId="2" borderId="14" xfId="0" applyNumberFormat="1" applyFont="1" applyFill="1" applyBorder="1" applyAlignment="1">
      <alignment horizontal="left" vertical="top" wrapText="1"/>
    </xf>
    <xf numFmtId="0" fontId="5" fillId="5" borderId="66" xfId="0" applyNumberFormat="1" applyFont="1" applyFill="1" applyBorder="1" applyAlignment="1">
      <alignment horizontal="center" vertical="top"/>
    </xf>
    <xf numFmtId="0" fontId="5" fillId="5" borderId="32" xfId="0" applyNumberFormat="1" applyFont="1" applyFill="1" applyBorder="1" applyAlignment="1">
      <alignment horizontal="center" vertical="top"/>
    </xf>
    <xf numFmtId="165" fontId="1" fillId="5" borderId="22" xfId="0" applyNumberFormat="1" applyFont="1" applyFill="1" applyBorder="1" applyAlignment="1">
      <alignment horizontal="left" vertical="top" wrapText="1"/>
    </xf>
    <xf numFmtId="165" fontId="1" fillId="5" borderId="41" xfId="0" applyNumberFormat="1" applyFont="1" applyFill="1" applyBorder="1" applyAlignment="1">
      <alignment horizontal="left" vertical="top" wrapText="1"/>
    </xf>
    <xf numFmtId="0" fontId="4" fillId="7" borderId="60" xfId="0" applyFont="1" applyFill="1" applyBorder="1" applyAlignment="1">
      <alignment horizontal="left" vertical="top" wrapText="1"/>
    </xf>
    <xf numFmtId="0" fontId="4" fillId="0" borderId="60" xfId="0" applyFont="1" applyFill="1" applyBorder="1" applyAlignment="1">
      <alignment horizontal="center" vertical="center" textRotation="90" wrapText="1"/>
    </xf>
    <xf numFmtId="0" fontId="5" fillId="0" borderId="32" xfId="0" applyNumberFormat="1" applyFont="1" applyBorder="1" applyAlignment="1">
      <alignment horizontal="center" vertical="top"/>
    </xf>
    <xf numFmtId="0" fontId="4" fillId="0" borderId="60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71" xfId="0" applyFont="1" applyFill="1" applyBorder="1" applyAlignment="1">
      <alignment horizontal="center" vertical="top" wrapText="1"/>
    </xf>
    <xf numFmtId="0" fontId="5" fillId="8" borderId="47" xfId="0" applyFont="1" applyFill="1" applyBorder="1" applyAlignment="1">
      <alignment horizontal="right" vertical="top" wrapText="1"/>
    </xf>
    <xf numFmtId="0" fontId="5" fillId="8" borderId="46" xfId="0" applyFont="1" applyFill="1" applyBorder="1" applyAlignment="1">
      <alignment horizontal="right" vertical="top" wrapText="1"/>
    </xf>
    <xf numFmtId="0" fontId="5" fillId="8" borderId="51" xfId="0" applyFont="1" applyFill="1" applyBorder="1" applyAlignment="1">
      <alignment horizontal="right" vertical="top" wrapText="1"/>
    </xf>
    <xf numFmtId="0" fontId="4" fillId="0" borderId="74" xfId="0" applyFont="1" applyFill="1" applyBorder="1" applyAlignment="1">
      <alignment horizontal="center" vertical="center" textRotation="90" wrapText="1"/>
    </xf>
    <xf numFmtId="0" fontId="4" fillId="0" borderId="65" xfId="0" applyFont="1" applyFill="1" applyBorder="1" applyAlignment="1">
      <alignment horizontal="center" vertical="center" textRotation="90" wrapText="1"/>
    </xf>
    <xf numFmtId="0" fontId="5" fillId="5" borderId="70" xfId="0" applyNumberFormat="1" applyFont="1" applyFill="1" applyBorder="1" applyAlignment="1">
      <alignment horizontal="center" vertical="top"/>
    </xf>
    <xf numFmtId="165" fontId="1" fillId="5" borderId="20" xfId="0" applyNumberFormat="1" applyFont="1" applyFill="1" applyBorder="1" applyAlignment="1">
      <alignment horizontal="left" vertical="top" wrapText="1"/>
    </xf>
    <xf numFmtId="0" fontId="2" fillId="0" borderId="34" xfId="0" applyNumberFormat="1" applyFont="1" applyFill="1" applyBorder="1" applyAlignment="1">
      <alignment horizontal="center" vertical="top"/>
    </xf>
    <xf numFmtId="0" fontId="1" fillId="0" borderId="38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4" fillId="5" borderId="34" xfId="0" applyFont="1" applyFill="1" applyBorder="1" applyAlignment="1">
      <alignment horizontal="left" vertical="top" wrapText="1"/>
    </xf>
    <xf numFmtId="0" fontId="4" fillId="5" borderId="70" xfId="0" applyFont="1" applyFill="1" applyBorder="1" applyAlignment="1">
      <alignment horizontal="left" vertical="top" wrapText="1"/>
    </xf>
    <xf numFmtId="0" fontId="4" fillId="0" borderId="62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top" wrapText="1"/>
    </xf>
    <xf numFmtId="0" fontId="4" fillId="0" borderId="57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center" vertical="top" wrapText="1"/>
    </xf>
    <xf numFmtId="0" fontId="4" fillId="7" borderId="34" xfId="0" applyFont="1" applyFill="1" applyBorder="1" applyAlignment="1">
      <alignment horizontal="left" vertical="top" wrapText="1"/>
    </xf>
    <xf numFmtId="0" fontId="4" fillId="7" borderId="32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4" fillId="7" borderId="43" xfId="0" applyFont="1" applyFill="1" applyBorder="1" applyAlignment="1">
      <alignment horizontal="left" vertical="top" wrapText="1"/>
    </xf>
    <xf numFmtId="0" fontId="5" fillId="2" borderId="55" xfId="0" applyNumberFormat="1" applyFont="1" applyFill="1" applyBorder="1" applyAlignment="1">
      <alignment horizontal="center" vertical="top"/>
    </xf>
    <xf numFmtId="0" fontId="5" fillId="2" borderId="76" xfId="0" applyNumberFormat="1" applyFont="1" applyFill="1" applyBorder="1" applyAlignment="1">
      <alignment horizontal="center" vertical="top"/>
    </xf>
    <xf numFmtId="49" fontId="2" fillId="3" borderId="14" xfId="0" applyNumberFormat="1" applyFont="1" applyFill="1" applyBorder="1" applyAlignment="1">
      <alignment horizontal="right" vertical="top"/>
    </xf>
    <xf numFmtId="164" fontId="5" fillId="3" borderId="12" xfId="0" applyNumberFormat="1" applyFont="1" applyFill="1" applyBorder="1" applyAlignment="1">
      <alignment horizontal="center" vertical="top"/>
    </xf>
    <xf numFmtId="164" fontId="5" fillId="3" borderId="55" xfId="0" applyNumberFormat="1" applyFont="1" applyFill="1" applyBorder="1" applyAlignment="1">
      <alignment horizontal="center" vertical="top"/>
    </xf>
    <xf numFmtId="164" fontId="5" fillId="3" borderId="76" xfId="0" applyNumberFormat="1" applyFont="1" applyFill="1" applyBorder="1" applyAlignment="1">
      <alignment horizontal="center" vertical="top"/>
    </xf>
    <xf numFmtId="0" fontId="4" fillId="0" borderId="29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left" vertical="top" wrapText="1"/>
    </xf>
    <xf numFmtId="0" fontId="2" fillId="0" borderId="40" xfId="0" applyNumberFormat="1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47" xfId="0" applyNumberFormat="1" applyFont="1" applyFill="1" applyBorder="1" applyAlignment="1">
      <alignment horizontal="center" vertical="top"/>
    </xf>
    <xf numFmtId="0" fontId="4" fillId="7" borderId="29" xfId="0" applyFont="1" applyFill="1" applyBorder="1" applyAlignment="1">
      <alignment horizontal="left" vertical="top" wrapText="1"/>
    </xf>
    <xf numFmtId="0" fontId="4" fillId="7" borderId="4" xfId="0" applyFont="1" applyFill="1" applyBorder="1" applyAlignment="1">
      <alignment horizontal="left" vertical="top" wrapText="1"/>
    </xf>
    <xf numFmtId="0" fontId="5" fillId="0" borderId="45" xfId="0" applyNumberFormat="1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41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1" fillId="7" borderId="34" xfId="0" applyFont="1" applyFill="1" applyBorder="1" applyAlignment="1">
      <alignment horizontal="left" vertical="top" wrapText="1"/>
    </xf>
    <xf numFmtId="0" fontId="1" fillId="7" borderId="70" xfId="0" applyFont="1" applyFill="1" applyBorder="1" applyAlignment="1">
      <alignment horizontal="left" vertical="top" wrapText="1"/>
    </xf>
    <xf numFmtId="0" fontId="2" fillId="0" borderId="60" xfId="0" applyFont="1" applyFill="1" applyBorder="1" applyAlignment="1">
      <alignment horizontal="center" vertical="center" textRotation="90" wrapText="1"/>
    </xf>
    <xf numFmtId="0" fontId="2" fillId="0" borderId="19" xfId="0" applyFont="1" applyFill="1" applyBorder="1" applyAlignment="1">
      <alignment horizontal="center" vertical="center" textRotation="90" wrapText="1"/>
    </xf>
    <xf numFmtId="0" fontId="4" fillId="0" borderId="29" xfId="0" applyFont="1" applyFill="1" applyBorder="1" applyAlignment="1">
      <alignment vertical="center" textRotation="90" wrapText="1"/>
    </xf>
    <xf numFmtId="0" fontId="4" fillId="0" borderId="4" xfId="0" applyFont="1" applyFill="1" applyBorder="1" applyAlignment="1">
      <alignment vertical="center" textRotation="90" wrapText="1"/>
    </xf>
    <xf numFmtId="0" fontId="5" fillId="0" borderId="53" xfId="0" applyNumberFormat="1" applyFont="1" applyBorder="1" applyAlignment="1">
      <alignment horizontal="center" vertical="top"/>
    </xf>
    <xf numFmtId="164" fontId="4" fillId="5" borderId="41" xfId="0" applyNumberFormat="1" applyFont="1" applyFill="1" applyBorder="1" applyAlignment="1">
      <alignment horizontal="left" vertical="top" wrapText="1"/>
    </xf>
    <xf numFmtId="0" fontId="4" fillId="5" borderId="42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horizontal="center" vertical="top"/>
    </xf>
    <xf numFmtId="0" fontId="4" fillId="0" borderId="61" xfId="0" applyFont="1" applyFill="1" applyBorder="1" applyAlignment="1">
      <alignment horizontal="center" vertical="top"/>
    </xf>
    <xf numFmtId="0" fontId="4" fillId="0" borderId="68" xfId="0" applyFont="1" applyFill="1" applyBorder="1" applyAlignment="1">
      <alignment horizontal="center" vertical="top" wrapText="1"/>
    </xf>
    <xf numFmtId="49" fontId="5" fillId="0" borderId="53" xfId="0" applyNumberFormat="1" applyFont="1" applyFill="1" applyBorder="1" applyAlignment="1">
      <alignment horizontal="center" vertical="top"/>
    </xf>
    <xf numFmtId="49" fontId="5" fillId="0" borderId="61" xfId="0" applyNumberFormat="1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left" vertical="top" wrapText="1"/>
    </xf>
    <xf numFmtId="0" fontId="5" fillId="0" borderId="68" xfId="0" applyFont="1" applyFill="1" applyBorder="1" applyAlignment="1">
      <alignment horizontal="center" vertical="top" textRotation="180" wrapText="1"/>
    </xf>
    <xf numFmtId="0" fontId="5" fillId="0" borderId="61" xfId="0" applyNumberFormat="1" applyFont="1" applyBorder="1" applyAlignment="1">
      <alignment horizontal="center" vertical="top"/>
    </xf>
    <xf numFmtId="0" fontId="4" fillId="0" borderId="68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53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4" fillId="0" borderId="60" xfId="0" applyFont="1" applyFill="1" applyBorder="1" applyAlignment="1">
      <alignment horizontal="left" vertical="top" wrapText="1"/>
    </xf>
    <xf numFmtId="164" fontId="4" fillId="0" borderId="62" xfId="0" applyNumberFormat="1" applyFont="1" applyBorder="1" applyAlignment="1">
      <alignment horizontal="left" vertical="top" wrapText="1"/>
    </xf>
    <xf numFmtId="164" fontId="4" fillId="0" borderId="17" xfId="0" applyNumberFormat="1" applyFont="1" applyBorder="1" applyAlignment="1">
      <alignment horizontal="left" vertical="top" wrapText="1"/>
    </xf>
    <xf numFmtId="49" fontId="5" fillId="0" borderId="53" xfId="0" applyNumberFormat="1" applyFont="1" applyBorder="1" applyAlignment="1">
      <alignment horizontal="center" vertical="top"/>
    </xf>
    <xf numFmtId="0" fontId="1" fillId="5" borderId="38" xfId="0" applyFont="1" applyFill="1" applyBorder="1" applyAlignment="1">
      <alignment horizontal="left" vertical="top" wrapText="1"/>
    </xf>
    <xf numFmtId="0" fontId="1" fillId="5" borderId="41" xfId="0" applyFont="1" applyFill="1" applyBorder="1" applyAlignment="1">
      <alignment horizontal="left" vertical="top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60" xfId="0" applyFont="1" applyFill="1" applyBorder="1" applyAlignment="1">
      <alignment horizontal="left" vertical="top" wrapText="1"/>
    </xf>
    <xf numFmtId="1" fontId="4" fillId="0" borderId="10" xfId="0" applyNumberFormat="1" applyFont="1" applyBorder="1" applyAlignment="1">
      <alignment horizontal="center" vertical="center" textRotation="90" wrapText="1"/>
    </xf>
    <xf numFmtId="1" fontId="4" fillId="0" borderId="8" xfId="0" applyNumberFormat="1" applyFont="1" applyBorder="1" applyAlignment="1">
      <alignment horizontal="center" vertical="center" textRotation="90" wrapText="1"/>
    </xf>
    <xf numFmtId="1" fontId="4" fillId="0" borderId="50" xfId="0" applyNumberFormat="1" applyFont="1" applyBorder="1" applyAlignment="1">
      <alignment horizontal="center" vertical="center" textRotation="90" wrapText="1"/>
    </xf>
    <xf numFmtId="164" fontId="4" fillId="0" borderId="16" xfId="0" applyNumberFormat="1" applyFont="1" applyBorder="1" applyAlignment="1">
      <alignment horizontal="center" vertical="center" textRotation="90" wrapText="1"/>
    </xf>
    <xf numFmtId="164" fontId="4" fillId="0" borderId="3" xfId="0" applyNumberFormat="1" applyFont="1" applyBorder="1" applyAlignment="1">
      <alignment horizontal="center" vertical="center" textRotation="90" wrapText="1"/>
    </xf>
    <xf numFmtId="164" fontId="4" fillId="0" borderId="24" xfId="0" applyNumberFormat="1" applyFont="1" applyBorder="1" applyAlignment="1">
      <alignment horizontal="center" vertical="center" textRotation="90" wrapText="1"/>
    </xf>
    <xf numFmtId="164" fontId="4" fillId="0" borderId="17" xfId="0" applyNumberFormat="1" applyFont="1" applyBorder="1" applyAlignment="1">
      <alignment horizontal="center" vertical="center" textRotation="90" wrapText="1"/>
    </xf>
    <xf numFmtId="164" fontId="4" fillId="0" borderId="0" xfId="0" applyNumberFormat="1" applyFont="1" applyBorder="1" applyAlignment="1">
      <alignment horizontal="center" vertical="center" textRotation="90" wrapText="1"/>
    </xf>
    <xf numFmtId="164" fontId="4" fillId="0" borderId="7" xfId="0" applyNumberFormat="1" applyFont="1" applyBorder="1" applyAlignment="1">
      <alignment horizontal="center" vertical="center" textRotation="90" wrapText="1"/>
    </xf>
    <xf numFmtId="164" fontId="4" fillId="0" borderId="57" xfId="0" applyNumberFormat="1" applyFont="1" applyBorder="1" applyAlignment="1">
      <alignment horizontal="center" vertical="center" textRotation="90" wrapText="1"/>
    </xf>
    <xf numFmtId="164" fontId="4" fillId="0" borderId="44" xfId="0" applyNumberFormat="1" applyFont="1" applyBorder="1" applyAlignment="1">
      <alignment horizontal="center" vertical="center" textRotation="90" wrapText="1"/>
    </xf>
    <xf numFmtId="164" fontId="4" fillId="0" borderId="71" xfId="0" applyNumberFormat="1" applyFont="1" applyBorder="1" applyAlignment="1">
      <alignment horizontal="center" vertical="center" textRotation="90" wrapText="1"/>
    </xf>
    <xf numFmtId="164" fontId="4" fillId="0" borderId="10" xfId="0" applyNumberFormat="1" applyFont="1" applyBorder="1" applyAlignment="1">
      <alignment horizontal="center" vertical="center" textRotation="90" wrapText="1"/>
    </xf>
    <xf numFmtId="164" fontId="4" fillId="0" borderId="8" xfId="0" applyNumberFormat="1" applyFont="1" applyBorder="1" applyAlignment="1">
      <alignment horizontal="center" vertical="center" textRotation="90" wrapText="1"/>
    </xf>
    <xf numFmtId="164" fontId="4" fillId="0" borderId="50" xfId="0" applyNumberFormat="1" applyFont="1" applyBorder="1" applyAlignment="1">
      <alignment horizontal="center" vertical="center" textRotation="90" wrapText="1"/>
    </xf>
    <xf numFmtId="165" fontId="4" fillId="7" borderId="38" xfId="0" applyNumberFormat="1" applyFont="1" applyFill="1" applyBorder="1" applyAlignment="1">
      <alignment horizontal="left" vertical="top" wrapText="1"/>
    </xf>
    <xf numFmtId="165" fontId="4" fillId="7" borderId="41" xfId="0" applyNumberFormat="1" applyFont="1" applyFill="1" applyBorder="1" applyAlignment="1">
      <alignment horizontal="left" vertical="top" wrapText="1"/>
    </xf>
    <xf numFmtId="0" fontId="1" fillId="0" borderId="67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62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49" fontId="5" fillId="8" borderId="47" xfId="0" applyNumberFormat="1" applyFont="1" applyFill="1" applyBorder="1" applyAlignment="1">
      <alignment horizontal="center" vertical="top"/>
    </xf>
    <xf numFmtId="49" fontId="5" fillId="8" borderId="46" xfId="0" applyNumberFormat="1" applyFont="1" applyFill="1" applyBorder="1" applyAlignment="1">
      <alignment horizontal="center" vertical="top"/>
    </xf>
    <xf numFmtId="49" fontId="5" fillId="0" borderId="61" xfId="0" applyNumberFormat="1" applyFont="1" applyBorder="1" applyAlignment="1">
      <alignment horizontal="center" vertical="top"/>
    </xf>
    <xf numFmtId="0" fontId="6" fillId="0" borderId="43" xfId="0" applyFont="1" applyFill="1" applyBorder="1" applyAlignment="1">
      <alignment horizontal="left" vertical="top" wrapText="1"/>
    </xf>
    <xf numFmtId="3" fontId="4" fillId="0" borderId="10" xfId="0" applyNumberFormat="1" applyFont="1" applyBorder="1" applyAlignment="1">
      <alignment horizontal="center" vertical="center" textRotation="90" wrapText="1"/>
    </xf>
    <xf numFmtId="3" fontId="4" fillId="0" borderId="8" xfId="0" applyNumberFormat="1" applyFont="1" applyBorder="1" applyAlignment="1">
      <alignment horizontal="center" vertical="center" textRotation="90" wrapText="1"/>
    </xf>
    <xf numFmtId="3" fontId="4" fillId="0" borderId="50" xfId="0" applyNumberFormat="1" applyFont="1" applyBorder="1" applyAlignment="1">
      <alignment horizontal="center" vertical="center" textRotation="90" wrapText="1"/>
    </xf>
    <xf numFmtId="0" fontId="5" fillId="0" borderId="18" xfId="0" applyFont="1" applyFill="1" applyBorder="1" applyAlignment="1">
      <alignment horizontal="center" vertical="top" textRotation="180" wrapText="1"/>
    </xf>
    <xf numFmtId="49" fontId="5" fillId="0" borderId="40" xfId="0" applyNumberFormat="1" applyFont="1" applyFill="1" applyBorder="1" applyAlignment="1">
      <alignment horizontal="center" vertical="top"/>
    </xf>
    <xf numFmtId="49" fontId="5" fillId="0" borderId="31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center" textRotation="90" wrapText="1"/>
    </xf>
    <xf numFmtId="0" fontId="1" fillId="7" borderId="75" xfId="0" applyFont="1" applyFill="1" applyBorder="1" applyAlignment="1">
      <alignment horizontal="left" vertical="top" wrapText="1"/>
    </xf>
    <xf numFmtId="0" fontId="1" fillId="7" borderId="47" xfId="0" applyFont="1" applyFill="1" applyBorder="1" applyAlignment="1">
      <alignment horizontal="left" vertical="top" wrapText="1"/>
    </xf>
    <xf numFmtId="0" fontId="2" fillId="0" borderId="40" xfId="0" applyNumberFormat="1" applyFont="1" applyFill="1" applyBorder="1" applyAlignment="1">
      <alignment horizontal="center" vertical="top"/>
    </xf>
    <xf numFmtId="0" fontId="5" fillId="7" borderId="13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0" fontId="2" fillId="8" borderId="48" xfId="0" applyFont="1" applyFill="1" applyBorder="1" applyAlignment="1">
      <alignment horizontal="right" vertical="top" wrapText="1"/>
    </xf>
    <xf numFmtId="0" fontId="2" fillId="8" borderId="46" xfId="0" applyFont="1" applyFill="1" applyBorder="1" applyAlignment="1">
      <alignment horizontal="right" vertical="top" wrapText="1"/>
    </xf>
    <xf numFmtId="0" fontId="2" fillId="8" borderId="51" xfId="0" applyFont="1" applyFill="1" applyBorder="1" applyAlignment="1">
      <alignment horizontal="right" vertical="top" wrapText="1"/>
    </xf>
    <xf numFmtId="0" fontId="1" fillId="5" borderId="62" xfId="0" applyFont="1" applyFill="1" applyBorder="1" applyAlignment="1">
      <alignment horizontal="left" vertical="top" wrapText="1"/>
    </xf>
    <xf numFmtId="0" fontId="1" fillId="5" borderId="27" xfId="0" applyFont="1" applyFill="1" applyBorder="1" applyAlignment="1">
      <alignment horizontal="left" vertical="top" wrapText="1"/>
    </xf>
    <xf numFmtId="0" fontId="1" fillId="5" borderId="28" xfId="0" applyFont="1" applyFill="1" applyBorder="1" applyAlignment="1">
      <alignment horizontal="left" vertical="top" wrapText="1"/>
    </xf>
    <xf numFmtId="0" fontId="2" fillId="4" borderId="67" xfId="0" applyFont="1" applyFill="1" applyBorder="1" applyAlignment="1">
      <alignment horizontal="right" vertical="top" wrapText="1"/>
    </xf>
    <xf numFmtId="0" fontId="2" fillId="4" borderId="35" xfId="0" applyFont="1" applyFill="1" applyBorder="1" applyAlignment="1">
      <alignment horizontal="right" vertical="top" wrapText="1"/>
    </xf>
    <xf numFmtId="0" fontId="2" fillId="4" borderId="26" xfId="0" applyFont="1" applyFill="1" applyBorder="1" applyAlignment="1">
      <alignment horizontal="right" vertical="top" wrapText="1"/>
    </xf>
    <xf numFmtId="0" fontId="5" fillId="7" borderId="18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55" xfId="0" applyFont="1" applyFill="1" applyBorder="1" applyAlignment="1">
      <alignment horizontal="left" vertical="top" wrapText="1"/>
    </xf>
    <xf numFmtId="0" fontId="5" fillId="3" borderId="76" xfId="0" applyFont="1" applyFill="1" applyBorder="1" applyAlignment="1">
      <alignment horizontal="left" vertical="top" wrapText="1"/>
    </xf>
    <xf numFmtId="0" fontId="1" fillId="0" borderId="29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5" fillId="0" borderId="30" xfId="0" applyNumberFormat="1" applyFont="1" applyFill="1" applyBorder="1" applyAlignment="1">
      <alignment horizontal="center" vertical="top"/>
    </xf>
    <xf numFmtId="0" fontId="2" fillId="4" borderId="62" xfId="0" applyFont="1" applyFill="1" applyBorder="1" applyAlignment="1">
      <alignment horizontal="right" vertical="top" wrapText="1"/>
    </xf>
    <xf numFmtId="0" fontId="2" fillId="4" borderId="27" xfId="0" applyFont="1" applyFill="1" applyBorder="1" applyAlignment="1">
      <alignment horizontal="right" vertical="top" wrapText="1"/>
    </xf>
    <xf numFmtId="0" fontId="2" fillId="4" borderId="28" xfId="0" applyFont="1" applyFill="1" applyBorder="1" applyAlignment="1">
      <alignment horizontal="right" vertical="top" wrapText="1"/>
    </xf>
    <xf numFmtId="0" fontId="19" fillId="0" borderId="12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49" fontId="2" fillId="2" borderId="66" xfId="0" applyNumberFormat="1" applyFont="1" applyFill="1" applyBorder="1" applyAlignment="1">
      <alignment horizontal="right" vertical="top"/>
    </xf>
    <xf numFmtId="49" fontId="2" fillId="2" borderId="3" xfId="0" applyNumberFormat="1" applyFont="1" applyFill="1" applyBorder="1" applyAlignment="1">
      <alignment horizontal="right" vertical="top"/>
    </xf>
    <xf numFmtId="0" fontId="5" fillId="8" borderId="47" xfId="0" applyFont="1" applyFill="1" applyBorder="1" applyAlignment="1">
      <alignment horizontal="center" vertical="center"/>
    </xf>
    <xf numFmtId="0" fontId="5" fillId="8" borderId="4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 textRotation="90" wrapText="1"/>
    </xf>
    <xf numFmtId="0" fontId="4" fillId="0" borderId="18" xfId="0" applyFont="1" applyFill="1" applyBorder="1" applyAlignment="1">
      <alignment vertical="center" textRotation="90" wrapText="1"/>
    </xf>
    <xf numFmtId="0" fontId="4" fillId="0" borderId="19" xfId="0" applyFont="1" applyFill="1" applyBorder="1" applyAlignment="1">
      <alignment vertical="center" textRotation="90" wrapText="1"/>
    </xf>
    <xf numFmtId="3" fontId="4" fillId="0" borderId="0" xfId="0" applyNumberFormat="1" applyFont="1" applyAlignment="1">
      <alignment horizontal="right" vertical="top"/>
    </xf>
    <xf numFmtId="0" fontId="6" fillId="0" borderId="18" xfId="0" applyFont="1" applyFill="1" applyBorder="1" applyAlignment="1">
      <alignment horizontal="left" vertical="top" wrapText="1"/>
    </xf>
    <xf numFmtId="49" fontId="2" fillId="6" borderId="16" xfId="0" applyNumberFormat="1" applyFont="1" applyFill="1" applyBorder="1" applyAlignment="1">
      <alignment horizontal="left" vertical="top" wrapText="1"/>
    </xf>
    <xf numFmtId="49" fontId="2" fillId="6" borderId="3" xfId="0" applyNumberFormat="1" applyFont="1" applyFill="1" applyBorder="1" applyAlignment="1">
      <alignment horizontal="left" vertical="top" wrapText="1"/>
    </xf>
    <xf numFmtId="49" fontId="2" fillId="6" borderId="24" xfId="0" applyNumberFormat="1" applyFont="1" applyFill="1" applyBorder="1" applyAlignment="1">
      <alignment horizontal="left" vertical="top" wrapText="1"/>
    </xf>
    <xf numFmtId="0" fontId="6" fillId="4" borderId="67" xfId="0" applyFont="1" applyFill="1" applyBorder="1" applyAlignment="1">
      <alignment horizontal="left" vertical="top" wrapText="1"/>
    </xf>
    <xf numFmtId="0" fontId="6" fillId="4" borderId="35" xfId="0" applyFont="1" applyFill="1" applyBorder="1" applyAlignment="1">
      <alignment horizontal="left" vertical="top" wrapText="1"/>
    </xf>
    <xf numFmtId="0" fontId="6" fillId="4" borderId="2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2" borderId="48" xfId="0" applyFont="1" applyFill="1" applyBorder="1" applyAlignment="1">
      <alignment horizontal="left" vertical="top" wrapText="1"/>
    </xf>
    <xf numFmtId="0" fontId="5" fillId="2" borderId="46" xfId="0" applyFont="1" applyFill="1" applyBorder="1" applyAlignment="1">
      <alignment horizontal="left" vertical="top" wrapText="1"/>
    </xf>
    <xf numFmtId="0" fontId="5" fillId="2" borderId="51" xfId="0" applyFont="1" applyFill="1" applyBorder="1" applyAlignment="1">
      <alignment horizontal="left" vertical="top" wrapText="1"/>
    </xf>
    <xf numFmtId="3" fontId="4" fillId="0" borderId="16" xfId="0" applyNumberFormat="1" applyFont="1" applyBorder="1" applyAlignment="1">
      <alignment horizontal="center" vertical="center" textRotation="90" wrapText="1"/>
    </xf>
    <xf numFmtId="3" fontId="4" fillId="0" borderId="3" xfId="0" applyNumberFormat="1" applyFont="1" applyBorder="1" applyAlignment="1">
      <alignment horizontal="center" vertical="center" textRotation="90" wrapText="1"/>
    </xf>
    <xf numFmtId="3" fontId="4" fillId="0" borderId="24" xfId="0" applyNumberFormat="1" applyFont="1" applyBorder="1" applyAlignment="1">
      <alignment horizontal="center" vertical="center" textRotation="90" wrapText="1"/>
    </xf>
    <xf numFmtId="3" fontId="4" fillId="0" borderId="17" xfId="0" applyNumberFormat="1" applyFont="1" applyBorder="1" applyAlignment="1">
      <alignment horizontal="center" vertical="center" textRotation="90" wrapText="1"/>
    </xf>
    <xf numFmtId="3" fontId="4" fillId="0" borderId="0" xfId="0" applyNumberFormat="1" applyFont="1" applyBorder="1" applyAlignment="1">
      <alignment horizontal="center" vertical="center" textRotation="90" wrapText="1"/>
    </xf>
    <xf numFmtId="3" fontId="4" fillId="0" borderId="7" xfId="0" applyNumberFormat="1" applyFont="1" applyBorder="1" applyAlignment="1">
      <alignment horizontal="center" vertical="center" textRotation="90" wrapText="1"/>
    </xf>
    <xf numFmtId="3" fontId="4" fillId="0" borderId="57" xfId="0" applyNumberFormat="1" applyFont="1" applyBorder="1" applyAlignment="1">
      <alignment horizontal="center" vertical="center" textRotation="90" wrapText="1"/>
    </xf>
    <xf numFmtId="3" fontId="4" fillId="0" borderId="44" xfId="0" applyNumberFormat="1" applyFont="1" applyBorder="1" applyAlignment="1">
      <alignment horizontal="center" vertical="center" textRotation="90" wrapText="1"/>
    </xf>
    <xf numFmtId="3" fontId="4" fillId="0" borderId="71" xfId="0" applyNumberFormat="1" applyFont="1" applyBorder="1" applyAlignment="1">
      <alignment horizontal="center" vertical="center" textRotation="90" wrapText="1"/>
    </xf>
    <xf numFmtId="0" fontId="15" fillId="7" borderId="60" xfId="0" applyFont="1" applyFill="1" applyBorder="1" applyAlignment="1">
      <alignment horizontal="left" vertical="top" wrapText="1"/>
    </xf>
    <xf numFmtId="0" fontId="15" fillId="7" borderId="18" xfId="0" applyFont="1" applyFill="1" applyBorder="1" applyAlignment="1">
      <alignment horizontal="left" vertical="top" wrapText="1"/>
    </xf>
    <xf numFmtId="0" fontId="15" fillId="7" borderId="43" xfId="0" applyFont="1" applyFill="1" applyBorder="1" applyAlignment="1">
      <alignment horizontal="left" vertical="top" wrapText="1"/>
    </xf>
    <xf numFmtId="0" fontId="17" fillId="0" borderId="18" xfId="0" applyFont="1" applyFill="1" applyBorder="1" applyAlignment="1">
      <alignment horizontal="center" vertical="top" wrapText="1"/>
    </xf>
    <xf numFmtId="0" fontId="16" fillId="7" borderId="18" xfId="0" applyFont="1" applyFill="1" applyBorder="1" applyAlignment="1">
      <alignment horizontal="left" vertical="top" wrapText="1"/>
    </xf>
    <xf numFmtId="0" fontId="16" fillId="7" borderId="43" xfId="0" applyFont="1" applyFill="1" applyBorder="1" applyAlignment="1">
      <alignment horizontal="left" vertical="top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55" xfId="0" applyNumberFormat="1" applyFont="1" applyBorder="1" applyAlignment="1">
      <alignment horizontal="center" vertical="center" wrapText="1"/>
    </xf>
    <xf numFmtId="3" fontId="4" fillId="0" borderId="76" xfId="0" applyNumberFormat="1" applyFont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top" wrapText="1"/>
    </xf>
    <xf numFmtId="3" fontId="5" fillId="4" borderId="3" xfId="0" applyNumberFormat="1" applyFont="1" applyFill="1" applyBorder="1" applyAlignment="1">
      <alignment horizontal="center" vertical="top" wrapText="1"/>
    </xf>
    <xf numFmtId="3" fontId="5" fillId="4" borderId="24" xfId="0" applyNumberFormat="1" applyFont="1" applyFill="1" applyBorder="1" applyAlignment="1">
      <alignment horizontal="center" vertical="top" wrapText="1"/>
    </xf>
    <xf numFmtId="3" fontId="4" fillId="0" borderId="67" xfId="0" applyNumberFormat="1" applyFont="1" applyFill="1" applyBorder="1" applyAlignment="1">
      <alignment horizontal="center" vertical="top" wrapText="1"/>
    </xf>
    <xf numFmtId="3" fontId="4" fillId="0" borderId="35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Fill="1" applyBorder="1" applyAlignment="1">
      <alignment horizontal="center" vertical="top" wrapText="1"/>
    </xf>
    <xf numFmtId="3" fontId="4" fillId="0" borderId="67" xfId="0" applyNumberFormat="1" applyFont="1" applyBorder="1" applyAlignment="1">
      <alignment horizontal="center" vertical="top" wrapText="1"/>
    </xf>
    <xf numFmtId="3" fontId="4" fillId="0" borderId="35" xfId="0" applyNumberFormat="1" applyFont="1" applyBorder="1" applyAlignment="1">
      <alignment horizontal="center" vertical="top" wrapText="1"/>
    </xf>
    <xf numFmtId="3" fontId="4" fillId="0" borderId="26" xfId="0" applyNumberFormat="1" applyFont="1" applyBorder="1" applyAlignment="1">
      <alignment horizontal="center" vertical="top" wrapText="1"/>
    </xf>
    <xf numFmtId="3" fontId="1" fillId="0" borderId="67" xfId="0" applyNumberFormat="1" applyFont="1" applyBorder="1" applyAlignment="1">
      <alignment horizontal="center" vertical="top"/>
    </xf>
    <xf numFmtId="3" fontId="1" fillId="0" borderId="35" xfId="0" applyNumberFormat="1" applyFont="1" applyBorder="1" applyAlignment="1">
      <alignment horizontal="center" vertical="top"/>
    </xf>
    <xf numFmtId="3" fontId="1" fillId="0" borderId="26" xfId="0" applyNumberFormat="1" applyFont="1" applyBorder="1" applyAlignment="1">
      <alignment horizontal="center" vertical="top"/>
    </xf>
    <xf numFmtId="3" fontId="5" fillId="8" borderId="12" xfId="0" applyNumberFormat="1" applyFont="1" applyFill="1" applyBorder="1" applyAlignment="1">
      <alignment horizontal="center" vertical="top" wrapText="1"/>
    </xf>
    <xf numFmtId="3" fontId="5" fillId="8" borderId="55" xfId="0" applyNumberFormat="1" applyFont="1" applyFill="1" applyBorder="1" applyAlignment="1">
      <alignment horizontal="center" vertical="top" wrapText="1"/>
    </xf>
    <xf numFmtId="3" fontId="5" fillId="4" borderId="12" xfId="0" applyNumberFormat="1" applyFont="1" applyFill="1" applyBorder="1" applyAlignment="1">
      <alignment horizontal="center" vertical="top" wrapText="1"/>
    </xf>
    <xf numFmtId="3" fontId="5" fillId="4" borderId="55" xfId="0" applyNumberFormat="1" applyFont="1" applyFill="1" applyBorder="1" applyAlignment="1">
      <alignment horizontal="center" vertical="top" wrapText="1"/>
    </xf>
    <xf numFmtId="3" fontId="5" fillId="4" borderId="76" xfId="0" applyNumberFormat="1" applyFont="1" applyFill="1" applyBorder="1" applyAlignment="1">
      <alignment horizontal="center" vertical="top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FFFF99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3"/>
  <sheetViews>
    <sheetView zoomScale="110" zoomScaleNormal="110" zoomScaleSheetLayoutView="100" workbookViewId="0">
      <selection activeCell="V24" sqref="V24:V25"/>
    </sheetView>
  </sheetViews>
  <sheetFormatPr defaultRowHeight="12.75" x14ac:dyDescent="0.2"/>
  <cols>
    <col min="1" max="3" width="2.42578125" style="6" customWidth="1"/>
    <col min="4" max="4" width="36.7109375" style="6" customWidth="1"/>
    <col min="5" max="5" width="3.5703125" style="214" customWidth="1"/>
    <col min="6" max="6" width="2.85546875" style="214" customWidth="1"/>
    <col min="7" max="7" width="3" style="61" customWidth="1"/>
    <col min="8" max="8" width="8.140625" style="245" customWidth="1"/>
    <col min="9" max="9" width="9.5703125" style="6" customWidth="1"/>
    <col min="10" max="11" width="8.140625" style="6" customWidth="1"/>
    <col min="12" max="12" width="7.42578125" style="6" customWidth="1"/>
    <col min="13" max="13" width="8.42578125" style="6" customWidth="1"/>
    <col min="14" max="14" width="8.28515625" style="6" customWidth="1"/>
    <col min="15" max="15" width="19.7109375" style="6" customWidth="1"/>
    <col min="16" max="16" width="6.140625" style="18" customWidth="1"/>
    <col min="17" max="17" width="6.85546875" style="61" customWidth="1"/>
    <col min="18" max="18" width="5.85546875" style="60" customWidth="1"/>
    <col min="19" max="19" width="9.140625" style="2" hidden="1" customWidth="1"/>
    <col min="20" max="20" width="9.140625" style="2"/>
    <col min="21" max="21" width="19.85546875" style="2" customWidth="1"/>
    <col min="22" max="16384" width="9.140625" style="2"/>
  </cols>
  <sheetData>
    <row r="1" spans="1:24" ht="17.25" customHeight="1" x14ac:dyDescent="0.2">
      <c r="A1" s="2178" t="s">
        <v>207</v>
      </c>
      <c r="B1" s="2178"/>
      <c r="C1" s="2178"/>
      <c r="D1" s="2178"/>
      <c r="E1" s="2178"/>
      <c r="F1" s="2178"/>
      <c r="G1" s="2178"/>
      <c r="H1" s="2178"/>
      <c r="I1" s="2178"/>
      <c r="J1" s="2178"/>
      <c r="K1" s="2178"/>
      <c r="L1" s="2178"/>
      <c r="M1" s="2178"/>
      <c r="N1" s="2178"/>
      <c r="O1" s="2178"/>
      <c r="P1" s="2178"/>
      <c r="Q1" s="2178"/>
      <c r="R1" s="2178"/>
    </row>
    <row r="2" spans="1:24" ht="18" customHeight="1" x14ac:dyDescent="0.2">
      <c r="A2" s="2185" t="s">
        <v>39</v>
      </c>
      <c r="B2" s="2185"/>
      <c r="C2" s="2185"/>
      <c r="D2" s="2185"/>
      <c r="E2" s="2185"/>
      <c r="F2" s="2185"/>
      <c r="G2" s="2185"/>
      <c r="H2" s="2185"/>
      <c r="I2" s="2185"/>
      <c r="J2" s="2185"/>
      <c r="K2" s="2185"/>
      <c r="L2" s="2185"/>
      <c r="M2" s="2185"/>
      <c r="N2" s="2185"/>
      <c r="O2" s="2185"/>
      <c r="P2" s="2185"/>
      <c r="Q2" s="2185"/>
      <c r="R2" s="2185"/>
    </row>
    <row r="3" spans="1:24" ht="15" customHeight="1" x14ac:dyDescent="0.2">
      <c r="A3" s="2186" t="s">
        <v>215</v>
      </c>
      <c r="B3" s="2186"/>
      <c r="C3" s="2186"/>
      <c r="D3" s="2186"/>
      <c r="E3" s="2186"/>
      <c r="F3" s="2186"/>
      <c r="G3" s="2186"/>
      <c r="H3" s="2186"/>
      <c r="I3" s="2186"/>
      <c r="J3" s="2186"/>
      <c r="K3" s="2186"/>
      <c r="L3" s="2186"/>
      <c r="M3" s="2186"/>
      <c r="N3" s="2186"/>
      <c r="O3" s="2186"/>
      <c r="P3" s="2186"/>
      <c r="Q3" s="2186"/>
      <c r="R3" s="2186"/>
    </row>
    <row r="4" spans="1:24" ht="15" customHeight="1" thickBot="1" x14ac:dyDescent="0.25">
      <c r="A4" s="417"/>
      <c r="B4" s="417"/>
      <c r="C4" s="2199" t="s">
        <v>8</v>
      </c>
      <c r="D4" s="2199"/>
      <c r="E4" s="2199"/>
      <c r="F4" s="2199"/>
      <c r="G4" s="2199"/>
      <c r="H4" s="2199"/>
      <c r="I4" s="2199"/>
      <c r="J4" s="2199"/>
      <c r="K4" s="2199"/>
      <c r="L4" s="2199"/>
      <c r="M4" s="2199"/>
      <c r="N4" s="2199"/>
      <c r="O4" s="2199"/>
      <c r="P4" s="2199"/>
      <c r="Q4" s="2199"/>
      <c r="R4" s="2199"/>
    </row>
    <row r="5" spans="1:24" ht="36.75" customHeight="1" x14ac:dyDescent="0.2">
      <c r="A5" s="2200" t="s">
        <v>12</v>
      </c>
      <c r="B5" s="2216" t="s">
        <v>13</v>
      </c>
      <c r="C5" s="2216" t="s">
        <v>14</v>
      </c>
      <c r="D5" s="2203" t="s">
        <v>31</v>
      </c>
      <c r="E5" s="2179" t="s">
        <v>15</v>
      </c>
      <c r="F5" s="2182" t="s">
        <v>213</v>
      </c>
      <c r="G5" s="2187" t="s">
        <v>16</v>
      </c>
      <c r="H5" s="2206" t="s">
        <v>17</v>
      </c>
      <c r="I5" s="2125" t="s">
        <v>103</v>
      </c>
      <c r="J5" s="2126"/>
      <c r="K5" s="2126"/>
      <c r="L5" s="2127"/>
      <c r="M5" s="2196" t="s">
        <v>216</v>
      </c>
      <c r="N5" s="2196" t="s">
        <v>217</v>
      </c>
      <c r="O5" s="2190" t="s">
        <v>71</v>
      </c>
      <c r="P5" s="2191"/>
      <c r="Q5" s="2191"/>
      <c r="R5" s="2192"/>
    </row>
    <row r="6" spans="1:24" ht="15" customHeight="1" x14ac:dyDescent="0.2">
      <c r="A6" s="2201"/>
      <c r="B6" s="2217"/>
      <c r="C6" s="2217"/>
      <c r="D6" s="2204"/>
      <c r="E6" s="2180"/>
      <c r="F6" s="2183"/>
      <c r="G6" s="2188"/>
      <c r="H6" s="2207"/>
      <c r="I6" s="2211" t="s">
        <v>18</v>
      </c>
      <c r="J6" s="2213" t="s">
        <v>19</v>
      </c>
      <c r="K6" s="2213"/>
      <c r="L6" s="2214" t="s">
        <v>42</v>
      </c>
      <c r="M6" s="2197"/>
      <c r="N6" s="2197"/>
      <c r="O6" s="2209" t="s">
        <v>31</v>
      </c>
      <c r="P6" s="2193" t="s">
        <v>72</v>
      </c>
      <c r="Q6" s="2194"/>
      <c r="R6" s="2195"/>
    </row>
    <row r="7" spans="1:24" ht="105.75" customHeight="1" thickBot="1" x14ac:dyDescent="0.25">
      <c r="A7" s="2202"/>
      <c r="B7" s="2218"/>
      <c r="C7" s="2218"/>
      <c r="D7" s="2205"/>
      <c r="E7" s="2181"/>
      <c r="F7" s="2184"/>
      <c r="G7" s="2189"/>
      <c r="H7" s="2208"/>
      <c r="I7" s="2212"/>
      <c r="J7" s="421" t="s">
        <v>18</v>
      </c>
      <c r="K7" s="8" t="s">
        <v>32</v>
      </c>
      <c r="L7" s="2215"/>
      <c r="M7" s="2198"/>
      <c r="N7" s="2198"/>
      <c r="O7" s="2210"/>
      <c r="P7" s="246" t="s">
        <v>73</v>
      </c>
      <c r="Q7" s="246" t="s">
        <v>74</v>
      </c>
      <c r="R7" s="247" t="s">
        <v>105</v>
      </c>
    </row>
    <row r="8" spans="1:24" ht="15.75" customHeight="1" thickBot="1" x14ac:dyDescent="0.25">
      <c r="A8" s="2231" t="s">
        <v>41</v>
      </c>
      <c r="B8" s="2232"/>
      <c r="C8" s="2232"/>
      <c r="D8" s="2232"/>
      <c r="E8" s="2232"/>
      <c r="F8" s="2232"/>
      <c r="G8" s="2232"/>
      <c r="H8" s="2232"/>
      <c r="I8" s="2232"/>
      <c r="J8" s="2232"/>
      <c r="K8" s="2232"/>
      <c r="L8" s="2232"/>
      <c r="M8" s="2232"/>
      <c r="N8" s="2232"/>
      <c r="O8" s="2232"/>
      <c r="P8" s="2232"/>
      <c r="Q8" s="2232"/>
      <c r="R8" s="2233"/>
    </row>
    <row r="9" spans="1:24" ht="14.25" customHeight="1" thickBot="1" x14ac:dyDescent="0.25">
      <c r="A9" s="2234" t="s">
        <v>40</v>
      </c>
      <c r="B9" s="2235"/>
      <c r="C9" s="2235"/>
      <c r="D9" s="2235"/>
      <c r="E9" s="2235"/>
      <c r="F9" s="2235"/>
      <c r="G9" s="2235"/>
      <c r="H9" s="2235"/>
      <c r="I9" s="2235"/>
      <c r="J9" s="2235"/>
      <c r="K9" s="2235"/>
      <c r="L9" s="2235"/>
      <c r="M9" s="2235"/>
      <c r="N9" s="2235"/>
      <c r="O9" s="2235"/>
      <c r="P9" s="2235"/>
      <c r="Q9" s="2235"/>
      <c r="R9" s="2236"/>
    </row>
    <row r="10" spans="1:24" ht="15.75" customHeight="1" thickBot="1" x14ac:dyDescent="0.25">
      <c r="A10" s="123" t="s">
        <v>20</v>
      </c>
      <c r="B10" s="2242" t="s">
        <v>51</v>
      </c>
      <c r="C10" s="2243"/>
      <c r="D10" s="2243"/>
      <c r="E10" s="2243"/>
      <c r="F10" s="2243"/>
      <c r="G10" s="2243"/>
      <c r="H10" s="2243"/>
      <c r="I10" s="2243"/>
      <c r="J10" s="2243"/>
      <c r="K10" s="2243"/>
      <c r="L10" s="2243"/>
      <c r="M10" s="2243"/>
      <c r="N10" s="2243"/>
      <c r="O10" s="2243"/>
      <c r="P10" s="2243"/>
      <c r="Q10" s="2243"/>
      <c r="R10" s="2244"/>
    </row>
    <row r="11" spans="1:24" ht="15.75" customHeight="1" thickBot="1" x14ac:dyDescent="0.25">
      <c r="A11" s="219" t="s">
        <v>20</v>
      </c>
      <c r="B11" s="98" t="s">
        <v>20</v>
      </c>
      <c r="C11" s="2052" t="s">
        <v>182</v>
      </c>
      <c r="D11" s="2053"/>
      <c r="E11" s="2053"/>
      <c r="F11" s="2053"/>
      <c r="G11" s="2053"/>
      <c r="H11" s="2247"/>
      <c r="I11" s="2247"/>
      <c r="J11" s="2247"/>
      <c r="K11" s="2247"/>
      <c r="L11" s="2247"/>
      <c r="M11" s="2247"/>
      <c r="N11" s="2247"/>
      <c r="O11" s="2247"/>
      <c r="P11" s="2247"/>
      <c r="Q11" s="2247"/>
      <c r="R11" s="2248"/>
    </row>
    <row r="12" spans="1:24" ht="13.5" customHeight="1" x14ac:dyDescent="0.2">
      <c r="A12" s="25" t="s">
        <v>20</v>
      </c>
      <c r="B12" s="16" t="s">
        <v>20</v>
      </c>
      <c r="C12" s="2246" t="s">
        <v>20</v>
      </c>
      <c r="D12" s="2165" t="s">
        <v>102</v>
      </c>
      <c r="E12" s="2240"/>
      <c r="F12" s="2005" t="s">
        <v>21</v>
      </c>
      <c r="G12" s="2250" t="s">
        <v>43</v>
      </c>
      <c r="H12" s="429" t="s">
        <v>22</v>
      </c>
      <c r="I12" s="378">
        <f>J12+L12</f>
        <v>68821.5</v>
      </c>
      <c r="J12" s="324">
        <v>68821.5</v>
      </c>
      <c r="K12" s="324">
        <v>47823.7</v>
      </c>
      <c r="L12" s="366"/>
      <c r="M12" s="494">
        <v>68591.3</v>
      </c>
      <c r="N12" s="64">
        <v>68591.3</v>
      </c>
      <c r="O12" s="97"/>
      <c r="P12" s="77"/>
      <c r="Q12" s="78"/>
      <c r="R12" s="453"/>
      <c r="U12" s="498"/>
      <c r="V12" s="60"/>
      <c r="W12" s="60"/>
      <c r="X12" s="60"/>
    </row>
    <row r="13" spans="1:24" ht="13.5" customHeight="1" x14ac:dyDescent="0.2">
      <c r="A13" s="26"/>
      <c r="B13" s="27"/>
      <c r="C13" s="2222"/>
      <c r="D13" s="2239"/>
      <c r="E13" s="2241"/>
      <c r="F13" s="2006"/>
      <c r="G13" s="2251"/>
      <c r="H13" s="135" t="s">
        <v>25</v>
      </c>
      <c r="I13" s="493">
        <f>J13+L13</f>
        <v>102602.6</v>
      </c>
      <c r="J13" s="329">
        <f>102558.9-23.7</f>
        <v>102535.2</v>
      </c>
      <c r="K13" s="329">
        <v>75915.100000000006</v>
      </c>
      <c r="L13" s="473">
        <v>67.400000000000006</v>
      </c>
      <c r="M13" s="495">
        <v>104160.9</v>
      </c>
      <c r="N13" s="3">
        <v>103447.5</v>
      </c>
      <c r="O13" s="496"/>
      <c r="P13" s="377"/>
      <c r="Q13" s="60"/>
      <c r="R13" s="461"/>
      <c r="U13" s="499"/>
      <c r="V13" s="60"/>
      <c r="W13" s="60"/>
      <c r="X13" s="60"/>
    </row>
    <row r="14" spans="1:24" ht="13.5" customHeight="1" x14ac:dyDescent="0.2">
      <c r="A14" s="26"/>
      <c r="B14" s="27"/>
      <c r="C14" s="435"/>
      <c r="D14" s="448"/>
      <c r="E14" s="436"/>
      <c r="F14" s="434"/>
      <c r="G14" s="444"/>
      <c r="H14" s="379" t="s">
        <v>91</v>
      </c>
      <c r="I14" s="288">
        <f>J14+L14</f>
        <v>16236.6</v>
      </c>
      <c r="J14" s="274">
        <v>16125.6</v>
      </c>
      <c r="K14" s="274">
        <v>3021.4</v>
      </c>
      <c r="L14" s="286">
        <v>111</v>
      </c>
      <c r="M14" s="504">
        <v>16189.6</v>
      </c>
      <c r="N14" s="505">
        <v>16189.6</v>
      </c>
      <c r="O14" s="500"/>
      <c r="P14" s="377"/>
      <c r="Q14" s="60"/>
      <c r="R14" s="461"/>
      <c r="U14" s="499"/>
      <c r="V14" s="60"/>
      <c r="W14" s="60"/>
      <c r="X14" s="60"/>
    </row>
    <row r="15" spans="1:24" ht="13.5" customHeight="1" x14ac:dyDescent="0.2">
      <c r="A15" s="26"/>
      <c r="B15" s="27"/>
      <c r="C15" s="2222"/>
      <c r="D15" s="2237" t="s">
        <v>191</v>
      </c>
      <c r="E15" s="2229"/>
      <c r="F15" s="2238"/>
      <c r="G15" s="2245"/>
      <c r="H15" s="379"/>
      <c r="I15" s="288"/>
      <c r="J15" s="274"/>
      <c r="K15" s="274"/>
      <c r="L15" s="286"/>
      <c r="M15" s="504"/>
      <c r="N15" s="505"/>
      <c r="O15" s="506" t="s">
        <v>108</v>
      </c>
      <c r="P15" s="121">
        <v>45</v>
      </c>
      <c r="Q15" s="153">
        <v>45</v>
      </c>
      <c r="R15" s="438">
        <v>45</v>
      </c>
      <c r="U15" s="498"/>
      <c r="V15" s="60"/>
      <c r="W15" s="60"/>
      <c r="X15" s="60"/>
    </row>
    <row r="16" spans="1:24" ht="13.5" customHeight="1" x14ac:dyDescent="0.2">
      <c r="A16" s="26"/>
      <c r="B16" s="27"/>
      <c r="C16" s="2222"/>
      <c r="D16" s="2237"/>
      <c r="E16" s="2229"/>
      <c r="F16" s="2238"/>
      <c r="G16" s="2245"/>
      <c r="H16" s="431"/>
      <c r="I16" s="503"/>
      <c r="J16" s="271"/>
      <c r="K16" s="271"/>
      <c r="L16" s="297"/>
      <c r="M16" s="510"/>
      <c r="N16" s="188"/>
      <c r="O16" s="2249" t="s">
        <v>109</v>
      </c>
      <c r="P16" s="176">
        <v>7580</v>
      </c>
      <c r="Q16" s="177">
        <v>7645</v>
      </c>
      <c r="R16" s="439">
        <v>7720</v>
      </c>
      <c r="U16" s="499"/>
      <c r="V16" s="60"/>
      <c r="W16" s="60"/>
      <c r="X16" s="60"/>
    </row>
    <row r="17" spans="1:24" ht="13.5" customHeight="1" x14ac:dyDescent="0.2">
      <c r="A17" s="26"/>
      <c r="B17" s="27"/>
      <c r="C17" s="2222"/>
      <c r="D17" s="2237"/>
      <c r="E17" s="2229"/>
      <c r="F17" s="2238"/>
      <c r="G17" s="2245"/>
      <c r="H17" s="376"/>
      <c r="I17" s="503"/>
      <c r="J17" s="271"/>
      <c r="K17" s="271"/>
      <c r="L17" s="297"/>
      <c r="M17" s="510"/>
      <c r="N17" s="188"/>
      <c r="O17" s="2249"/>
      <c r="P17" s="176"/>
      <c r="Q17" s="177"/>
      <c r="R17" s="439"/>
      <c r="U17" s="498"/>
      <c r="V17" s="60"/>
      <c r="W17" s="60"/>
      <c r="X17" s="82"/>
    </row>
    <row r="18" spans="1:24" ht="15" customHeight="1" x14ac:dyDescent="0.2">
      <c r="A18" s="2153"/>
      <c r="B18" s="27"/>
      <c r="C18" s="2226"/>
      <c r="D18" s="2254" t="s">
        <v>90</v>
      </c>
      <c r="E18" s="2275"/>
      <c r="F18" s="2255"/>
      <c r="G18" s="2252"/>
      <c r="H18" s="248"/>
      <c r="I18" s="285"/>
      <c r="J18" s="285"/>
      <c r="K18" s="274"/>
      <c r="L18" s="276"/>
      <c r="M18" s="511"/>
      <c r="N18" s="505"/>
      <c r="O18" s="506" t="s">
        <v>66</v>
      </c>
      <c r="P18" s="121">
        <v>8</v>
      </c>
      <c r="Q18" s="153">
        <v>6</v>
      </c>
      <c r="R18" s="507">
        <v>5</v>
      </c>
      <c r="U18" s="500"/>
      <c r="V18" s="60"/>
      <c r="W18" s="497"/>
      <c r="X18" s="60"/>
    </row>
    <row r="19" spans="1:24" ht="13.5" customHeight="1" x14ac:dyDescent="0.2">
      <c r="A19" s="2153"/>
      <c r="B19" s="27"/>
      <c r="C19" s="2222"/>
      <c r="D19" s="2237"/>
      <c r="E19" s="2229"/>
      <c r="F19" s="2238"/>
      <c r="G19" s="2245"/>
      <c r="H19" s="431"/>
      <c r="I19" s="273"/>
      <c r="J19" s="271"/>
      <c r="K19" s="271"/>
      <c r="L19" s="272"/>
      <c r="M19" s="424"/>
      <c r="N19" s="188"/>
      <c r="O19" s="179" t="s">
        <v>67</v>
      </c>
      <c r="P19" s="176">
        <v>1</v>
      </c>
      <c r="Q19" s="180">
        <v>1</v>
      </c>
      <c r="R19" s="439">
        <v>1</v>
      </c>
      <c r="U19" s="500"/>
      <c r="V19" s="60"/>
      <c r="W19" s="177"/>
      <c r="X19" s="60"/>
    </row>
    <row r="20" spans="1:24" ht="13.5" customHeight="1" x14ac:dyDescent="0.2">
      <c r="A20" s="2153"/>
      <c r="B20" s="27"/>
      <c r="C20" s="2222"/>
      <c r="D20" s="2237"/>
      <c r="E20" s="2229"/>
      <c r="F20" s="2238"/>
      <c r="G20" s="2245"/>
      <c r="H20" s="376"/>
      <c r="I20" s="273"/>
      <c r="J20" s="271"/>
      <c r="K20" s="271"/>
      <c r="L20" s="272"/>
      <c r="M20" s="424"/>
      <c r="N20" s="188"/>
      <c r="O20" s="178" t="s">
        <v>109</v>
      </c>
      <c r="P20" s="176">
        <v>2170</v>
      </c>
      <c r="Q20" s="177">
        <v>2150</v>
      </c>
      <c r="R20" s="439">
        <v>2120</v>
      </c>
      <c r="U20" s="500"/>
      <c r="V20" s="60"/>
      <c r="W20" s="60"/>
      <c r="X20" s="60"/>
    </row>
    <row r="21" spans="1:24" ht="27.75" customHeight="1" x14ac:dyDescent="0.2">
      <c r="A21" s="2154"/>
      <c r="B21" s="437"/>
      <c r="C21" s="2164"/>
      <c r="D21" s="2237" t="s">
        <v>139</v>
      </c>
      <c r="E21" s="2229"/>
      <c r="F21" s="2230"/>
      <c r="G21" s="2298"/>
      <c r="H21" s="248"/>
      <c r="I21" s="275"/>
      <c r="J21" s="274"/>
      <c r="K21" s="274"/>
      <c r="L21" s="276"/>
      <c r="M21" s="505"/>
      <c r="N21" s="512"/>
      <c r="O21" s="181" t="s">
        <v>192</v>
      </c>
      <c r="P21" s="121">
        <v>17119</v>
      </c>
      <c r="Q21" s="153">
        <v>17000</v>
      </c>
      <c r="R21" s="438">
        <v>17000</v>
      </c>
      <c r="U21" s="500"/>
      <c r="V21" s="60"/>
      <c r="W21" s="60"/>
      <c r="X21" s="60"/>
    </row>
    <row r="22" spans="1:24" ht="15.75" customHeight="1" x14ac:dyDescent="0.2">
      <c r="A22" s="2154"/>
      <c r="B22" s="437"/>
      <c r="C22" s="2164"/>
      <c r="D22" s="2237"/>
      <c r="E22" s="2229"/>
      <c r="F22" s="2230"/>
      <c r="G22" s="2298"/>
      <c r="H22" s="431"/>
      <c r="I22" s="273"/>
      <c r="J22" s="271"/>
      <c r="K22" s="271"/>
      <c r="L22" s="272"/>
      <c r="M22" s="188"/>
      <c r="N22" s="513"/>
      <c r="O22" s="179" t="s">
        <v>83</v>
      </c>
      <c r="P22" s="176">
        <v>13</v>
      </c>
      <c r="Q22" s="176">
        <v>13</v>
      </c>
      <c r="R22" s="439">
        <v>13</v>
      </c>
      <c r="U22" s="500"/>
      <c r="V22" s="60"/>
      <c r="W22" s="82"/>
      <c r="X22" s="60"/>
    </row>
    <row r="23" spans="1:24" ht="15.75" customHeight="1" x14ac:dyDescent="0.2">
      <c r="A23" s="2154"/>
      <c r="B23" s="437"/>
      <c r="C23" s="2164"/>
      <c r="D23" s="2237"/>
      <c r="E23" s="2229"/>
      <c r="F23" s="2230"/>
      <c r="G23" s="2298"/>
      <c r="H23" s="431"/>
      <c r="I23" s="273"/>
      <c r="J23" s="271"/>
      <c r="K23" s="271"/>
      <c r="L23" s="272"/>
      <c r="M23" s="188"/>
      <c r="N23" s="513"/>
      <c r="O23" s="179" t="s">
        <v>85</v>
      </c>
      <c r="P23" s="176">
        <v>4</v>
      </c>
      <c r="Q23" s="176">
        <v>4</v>
      </c>
      <c r="R23" s="439">
        <v>4</v>
      </c>
      <c r="U23" s="500"/>
      <c r="V23" s="60"/>
      <c r="W23" s="82"/>
      <c r="X23" s="60"/>
    </row>
    <row r="24" spans="1:24" ht="15.75" customHeight="1" x14ac:dyDescent="0.2">
      <c r="A24" s="2154"/>
      <c r="B24" s="437"/>
      <c r="C24" s="2164"/>
      <c r="D24" s="2237"/>
      <c r="E24" s="2229"/>
      <c r="F24" s="2230"/>
      <c r="G24" s="2298"/>
      <c r="H24" s="431"/>
      <c r="I24" s="273"/>
      <c r="J24" s="271"/>
      <c r="K24" s="306"/>
      <c r="L24" s="272"/>
      <c r="M24" s="508"/>
      <c r="N24" s="508"/>
      <c r="O24" s="179" t="s">
        <v>84</v>
      </c>
      <c r="P24" s="176">
        <v>10</v>
      </c>
      <c r="Q24" s="176">
        <v>10</v>
      </c>
      <c r="R24" s="439">
        <v>10</v>
      </c>
      <c r="U24" s="2286"/>
      <c r="V24" s="2285"/>
      <c r="W24" s="2285"/>
      <c r="X24" s="2285"/>
    </row>
    <row r="25" spans="1:24" ht="15.75" customHeight="1" x14ac:dyDescent="0.2">
      <c r="A25" s="441"/>
      <c r="B25" s="437"/>
      <c r="C25" s="435"/>
      <c r="D25" s="2237"/>
      <c r="E25" s="2229"/>
      <c r="F25" s="2230"/>
      <c r="G25" s="2298"/>
      <c r="H25" s="376"/>
      <c r="I25" s="273"/>
      <c r="J25" s="271"/>
      <c r="K25" s="306"/>
      <c r="L25" s="272"/>
      <c r="M25" s="508"/>
      <c r="N25" s="10"/>
      <c r="O25" s="182" t="s">
        <v>169</v>
      </c>
      <c r="P25" s="183">
        <v>11</v>
      </c>
      <c r="Q25" s="183">
        <v>9</v>
      </c>
      <c r="R25" s="440">
        <v>8</v>
      </c>
      <c r="U25" s="2286"/>
      <c r="V25" s="2285"/>
      <c r="W25" s="2285"/>
      <c r="X25" s="2285"/>
    </row>
    <row r="26" spans="1:24" ht="14.25" customHeight="1" x14ac:dyDescent="0.2">
      <c r="A26" s="2219"/>
      <c r="B26" s="2220"/>
      <c r="C26" s="2222"/>
      <c r="D26" s="2254" t="s">
        <v>140</v>
      </c>
      <c r="E26" s="2284"/>
      <c r="F26" s="2161"/>
      <c r="G26" s="2159"/>
      <c r="H26" s="248"/>
      <c r="I26" s="285"/>
      <c r="J26" s="274"/>
      <c r="K26" s="274"/>
      <c r="L26" s="276"/>
      <c r="M26" s="505"/>
      <c r="N26" s="512"/>
      <c r="O26" s="179" t="s">
        <v>110</v>
      </c>
      <c r="P26" s="176">
        <v>6</v>
      </c>
      <c r="Q26" s="89">
        <v>6</v>
      </c>
      <c r="R26" s="439">
        <v>6</v>
      </c>
      <c r="U26" s="501"/>
      <c r="V26" s="456"/>
      <c r="W26" s="456"/>
      <c r="X26" s="2287"/>
    </row>
    <row r="27" spans="1:24" ht="27.75" customHeight="1" x14ac:dyDescent="0.2">
      <c r="A27" s="2154"/>
      <c r="B27" s="2221"/>
      <c r="C27" s="2222"/>
      <c r="D27" s="2254"/>
      <c r="E27" s="2284"/>
      <c r="F27" s="2161"/>
      <c r="G27" s="2159"/>
      <c r="H27" s="380"/>
      <c r="I27" s="269"/>
      <c r="J27" s="269"/>
      <c r="K27" s="265"/>
      <c r="L27" s="270"/>
      <c r="M27" s="509"/>
      <c r="N27" s="21"/>
      <c r="O27" s="179" t="s">
        <v>111</v>
      </c>
      <c r="P27" s="176">
        <v>4950</v>
      </c>
      <c r="Q27" s="89">
        <v>5050</v>
      </c>
      <c r="R27" s="439">
        <v>5100</v>
      </c>
      <c r="U27" s="45"/>
      <c r="V27" s="456"/>
      <c r="W27" s="456"/>
      <c r="X27" s="2287"/>
    </row>
    <row r="28" spans="1:24" ht="14.25" customHeight="1" x14ac:dyDescent="0.2">
      <c r="A28" s="2154"/>
      <c r="B28" s="2221"/>
      <c r="C28" s="2222"/>
      <c r="D28" s="2223" t="s">
        <v>141</v>
      </c>
      <c r="E28" s="2228"/>
      <c r="F28" s="2238"/>
      <c r="G28" s="2274"/>
      <c r="H28" s="248"/>
      <c r="I28" s="285"/>
      <c r="J28" s="274"/>
      <c r="K28" s="274"/>
      <c r="L28" s="286"/>
      <c r="M28" s="32"/>
      <c r="N28" s="38"/>
      <c r="O28" s="2271" t="s">
        <v>80</v>
      </c>
      <c r="P28" s="2269">
        <v>4</v>
      </c>
      <c r="Q28" s="2269">
        <v>4.5</v>
      </c>
      <c r="R28" s="2256">
        <v>5</v>
      </c>
      <c r="S28" s="154"/>
      <c r="U28" s="502"/>
      <c r="V28" s="455"/>
      <c r="W28" s="455"/>
      <c r="X28" s="60"/>
    </row>
    <row r="29" spans="1:24" ht="14.25" customHeight="1" x14ac:dyDescent="0.2">
      <c r="A29" s="2154"/>
      <c r="B29" s="2221"/>
      <c r="C29" s="2222"/>
      <c r="D29" s="2223"/>
      <c r="E29" s="2228"/>
      <c r="F29" s="2238"/>
      <c r="G29" s="2274"/>
      <c r="H29" s="376"/>
      <c r="I29" s="503"/>
      <c r="J29" s="271"/>
      <c r="K29" s="271"/>
      <c r="L29" s="297"/>
      <c r="M29" s="508"/>
      <c r="N29" s="10"/>
      <c r="O29" s="2083"/>
      <c r="P29" s="2270"/>
      <c r="Q29" s="2270"/>
      <c r="R29" s="2257"/>
    </row>
    <row r="30" spans="1:24" ht="15" customHeight="1" x14ac:dyDescent="0.2">
      <c r="A30" s="185"/>
      <c r="B30" s="27"/>
      <c r="C30" s="186"/>
      <c r="D30" s="2280" t="s">
        <v>142</v>
      </c>
      <c r="E30" s="2277"/>
      <c r="F30" s="2255"/>
      <c r="G30" s="2253"/>
      <c r="H30" s="248"/>
      <c r="I30" s="285"/>
      <c r="J30" s="274"/>
      <c r="K30" s="274"/>
      <c r="L30" s="275"/>
      <c r="M30" s="505"/>
      <c r="N30" s="505"/>
      <c r="O30" s="187" t="s">
        <v>114</v>
      </c>
      <c r="P30" s="445">
        <v>130</v>
      </c>
      <c r="Q30" s="164">
        <v>130</v>
      </c>
      <c r="R30" s="2272">
        <v>145</v>
      </c>
    </row>
    <row r="31" spans="1:24" ht="13.5" customHeight="1" thickBot="1" x14ac:dyDescent="0.25">
      <c r="A31" s="536"/>
      <c r="B31" s="28"/>
      <c r="C31" s="537"/>
      <c r="D31" s="2281"/>
      <c r="E31" s="2278"/>
      <c r="F31" s="2279"/>
      <c r="G31" s="2071"/>
      <c r="H31" s="430"/>
      <c r="I31" s="267"/>
      <c r="J31" s="268"/>
      <c r="K31" s="268"/>
      <c r="L31" s="538"/>
      <c r="M31" s="539"/>
      <c r="N31" s="539"/>
      <c r="O31" s="540"/>
      <c r="P31" s="447"/>
      <c r="Q31" s="524"/>
      <c r="R31" s="2273"/>
    </row>
    <row r="32" spans="1:24" ht="16.5" customHeight="1" x14ac:dyDescent="0.2">
      <c r="A32" s="2154"/>
      <c r="B32" s="2221"/>
      <c r="C32" s="2226"/>
      <c r="D32" s="2261" t="s">
        <v>183</v>
      </c>
      <c r="E32" s="462"/>
      <c r="F32" s="466"/>
      <c r="G32" s="480"/>
      <c r="H32" s="431"/>
      <c r="I32" s="503"/>
      <c r="J32" s="271"/>
      <c r="K32" s="271"/>
      <c r="L32" s="297"/>
      <c r="M32" s="188"/>
      <c r="N32" s="188"/>
      <c r="O32" s="2265" t="s">
        <v>115</v>
      </c>
      <c r="P32" s="446">
        <v>280</v>
      </c>
      <c r="Q32" s="456">
        <v>275</v>
      </c>
      <c r="R32" s="439">
        <v>290</v>
      </c>
      <c r="T32" s="157"/>
    </row>
    <row r="33" spans="1:20" ht="13.5" customHeight="1" thickBot="1" x14ac:dyDescent="0.25">
      <c r="A33" s="2224"/>
      <c r="B33" s="2225"/>
      <c r="C33" s="2227"/>
      <c r="D33" s="2262"/>
      <c r="E33" s="514"/>
      <c r="F33" s="515"/>
      <c r="G33" s="514"/>
      <c r="H33" s="299" t="s">
        <v>23</v>
      </c>
      <c r="I33" s="300">
        <f t="shared" ref="I33:N33" si="0">SUM(I12:I32)</f>
        <v>187660.7</v>
      </c>
      <c r="J33" s="300">
        <f t="shared" si="0"/>
        <v>187482.3</v>
      </c>
      <c r="K33" s="300">
        <f t="shared" si="0"/>
        <v>126760.2</v>
      </c>
      <c r="L33" s="300">
        <f t="shared" si="0"/>
        <v>178.4</v>
      </c>
      <c r="M33" s="300">
        <f t="shared" si="0"/>
        <v>188941.8</v>
      </c>
      <c r="N33" s="300">
        <f t="shared" si="0"/>
        <v>188228.4</v>
      </c>
      <c r="O33" s="2266"/>
      <c r="P33" s="83"/>
      <c r="Q33" s="83"/>
      <c r="R33" s="189"/>
      <c r="T33" s="211"/>
    </row>
    <row r="34" spans="1:20" ht="24.75" customHeight="1" x14ac:dyDescent="0.2">
      <c r="A34" s="404" t="s">
        <v>20</v>
      </c>
      <c r="B34" s="220" t="s">
        <v>20</v>
      </c>
      <c r="C34" s="405" t="s">
        <v>24</v>
      </c>
      <c r="D34" s="2276" t="s">
        <v>196</v>
      </c>
      <c r="E34" s="2282" t="s">
        <v>127</v>
      </c>
      <c r="F34" s="2003" t="s">
        <v>21</v>
      </c>
      <c r="G34" s="2158">
        <v>2</v>
      </c>
      <c r="H34" s="116" t="s">
        <v>25</v>
      </c>
      <c r="I34" s="261">
        <f t="shared" ref="I34" si="1">J34+L34</f>
        <v>51.1</v>
      </c>
      <c r="J34" s="262">
        <v>51.1</v>
      </c>
      <c r="K34" s="262">
        <v>39</v>
      </c>
      <c r="L34" s="287"/>
      <c r="M34" s="22">
        <v>51.1</v>
      </c>
      <c r="N34" s="42">
        <v>51.1</v>
      </c>
      <c r="O34" s="2260" t="s">
        <v>112</v>
      </c>
      <c r="P34" s="176">
        <v>1</v>
      </c>
      <c r="Q34" s="89">
        <v>1</v>
      </c>
      <c r="R34" s="422">
        <v>1</v>
      </c>
      <c r="T34" s="210"/>
    </row>
    <row r="35" spans="1:20" ht="18.75" customHeight="1" thickBot="1" x14ac:dyDescent="0.25">
      <c r="A35" s="419"/>
      <c r="B35" s="28"/>
      <c r="C35" s="406"/>
      <c r="D35" s="2167"/>
      <c r="E35" s="2283"/>
      <c r="F35" s="2162"/>
      <c r="G35" s="2160"/>
      <c r="H35" s="299" t="s">
        <v>23</v>
      </c>
      <c r="I35" s="312">
        <f t="shared" ref="I35:I41" si="2">J35+L35</f>
        <v>51.1</v>
      </c>
      <c r="J35" s="293">
        <f>SUM(J34:J34)</f>
        <v>51.1</v>
      </c>
      <c r="K35" s="293">
        <f>SUM(K34:K34)</f>
        <v>39</v>
      </c>
      <c r="L35" s="292">
        <f>SUM(L34:L34)</f>
        <v>0</v>
      </c>
      <c r="M35" s="301">
        <f>SUM(M34:M34)</f>
        <v>51.1</v>
      </c>
      <c r="N35" s="302">
        <f>SUM(N34:N34)</f>
        <v>51.1</v>
      </c>
      <c r="O35" s="2120"/>
      <c r="P35" s="83"/>
      <c r="Q35" s="408"/>
      <c r="R35" s="190"/>
    </row>
    <row r="36" spans="1:20" ht="15.75" customHeight="1" x14ac:dyDescent="0.2">
      <c r="A36" s="386" t="s">
        <v>20</v>
      </c>
      <c r="B36" s="391" t="s">
        <v>20</v>
      </c>
      <c r="C36" s="388" t="s">
        <v>26</v>
      </c>
      <c r="D36" s="2276" t="s">
        <v>149</v>
      </c>
      <c r="E36" s="1995"/>
      <c r="F36" s="2003" t="s">
        <v>21</v>
      </c>
      <c r="G36" s="2158">
        <v>2</v>
      </c>
      <c r="H36" s="116" t="s">
        <v>25</v>
      </c>
      <c r="I36" s="370">
        <f t="shared" si="2"/>
        <v>157.4</v>
      </c>
      <c r="J36" s="290">
        <v>157.4</v>
      </c>
      <c r="K36" s="290">
        <v>120.1</v>
      </c>
      <c r="L36" s="332"/>
      <c r="M36" s="486">
        <v>157.4</v>
      </c>
      <c r="N36" s="487">
        <v>157.4</v>
      </c>
      <c r="O36" s="2263" t="s">
        <v>160</v>
      </c>
      <c r="P36" s="2258">
        <v>5</v>
      </c>
      <c r="Q36" s="2258">
        <v>5</v>
      </c>
      <c r="R36" s="2267">
        <v>5</v>
      </c>
    </row>
    <row r="37" spans="1:20" ht="15.75" customHeight="1" thickBot="1" x14ac:dyDescent="0.25">
      <c r="A37" s="387"/>
      <c r="B37" s="28"/>
      <c r="C37" s="389"/>
      <c r="D37" s="2167"/>
      <c r="E37" s="1997"/>
      <c r="F37" s="2162"/>
      <c r="G37" s="2160"/>
      <c r="H37" s="299" t="s">
        <v>23</v>
      </c>
      <c r="I37" s="312">
        <f t="shared" si="2"/>
        <v>157.4</v>
      </c>
      <c r="J37" s="293">
        <f>SUM(J36:J36)</f>
        <v>157.4</v>
      </c>
      <c r="K37" s="293">
        <f>SUM(K36:K36)</f>
        <v>120.1</v>
      </c>
      <c r="L37" s="292">
        <f>SUM(L36:L36)</f>
        <v>0</v>
      </c>
      <c r="M37" s="301">
        <f>SUM(M36:M36)</f>
        <v>157.4</v>
      </c>
      <c r="N37" s="302">
        <f>SUM(N36:N36)</f>
        <v>157.4</v>
      </c>
      <c r="O37" s="2264"/>
      <c r="P37" s="2259"/>
      <c r="Q37" s="2259"/>
      <c r="R37" s="2268"/>
    </row>
    <row r="38" spans="1:20" ht="21" customHeight="1" x14ac:dyDescent="0.2">
      <c r="A38" s="1988" t="s">
        <v>20</v>
      </c>
      <c r="B38" s="1959" t="s">
        <v>20</v>
      </c>
      <c r="C38" s="1978" t="s">
        <v>28</v>
      </c>
      <c r="D38" s="2165" t="s">
        <v>199</v>
      </c>
      <c r="E38" s="1995"/>
      <c r="F38" s="2003" t="s">
        <v>21</v>
      </c>
      <c r="G38" s="2158">
        <v>2</v>
      </c>
      <c r="H38" s="647" t="s">
        <v>25</v>
      </c>
      <c r="I38" s="371">
        <f t="shared" si="2"/>
        <v>7.8</v>
      </c>
      <c r="J38" s="324">
        <v>7.8</v>
      </c>
      <c r="K38" s="324">
        <v>6</v>
      </c>
      <c r="L38" s="372"/>
      <c r="M38" s="486">
        <v>7.8</v>
      </c>
      <c r="N38" s="487">
        <v>7.8</v>
      </c>
      <c r="O38" s="2263" t="s">
        <v>161</v>
      </c>
      <c r="P38" s="2258">
        <v>1</v>
      </c>
      <c r="Q38" s="2258">
        <v>1</v>
      </c>
      <c r="R38" s="2267">
        <v>1</v>
      </c>
    </row>
    <row r="39" spans="1:20" ht="21" customHeight="1" x14ac:dyDescent="0.2">
      <c r="A39" s="1990"/>
      <c r="B39" s="1960"/>
      <c r="C39" s="2000"/>
      <c r="D39" s="2166"/>
      <c r="E39" s="1996"/>
      <c r="F39" s="2161"/>
      <c r="G39" s="2159"/>
      <c r="H39" s="648"/>
      <c r="I39" s="649"/>
      <c r="J39" s="291"/>
      <c r="K39" s="291"/>
      <c r="L39" s="367"/>
      <c r="M39" s="650"/>
      <c r="N39" s="41"/>
      <c r="O39" s="2295"/>
      <c r="P39" s="2294"/>
      <c r="Q39" s="2294"/>
      <c r="R39" s="2291"/>
    </row>
    <row r="40" spans="1:20" ht="36.75" customHeight="1" x14ac:dyDescent="0.2">
      <c r="A40" s="1990"/>
      <c r="B40" s="1960"/>
      <c r="C40" s="2000"/>
      <c r="D40" s="2166"/>
      <c r="E40" s="1996"/>
      <c r="F40" s="2161"/>
      <c r="G40" s="2159"/>
      <c r="H40" s="117"/>
      <c r="I40" s="374"/>
      <c r="J40" s="353"/>
      <c r="K40" s="353"/>
      <c r="L40" s="367"/>
      <c r="M40" s="110"/>
      <c r="N40" s="111"/>
      <c r="O40" s="2295"/>
      <c r="P40" s="2294"/>
      <c r="Q40" s="2294"/>
      <c r="R40" s="2291"/>
    </row>
    <row r="41" spans="1:20" ht="27" customHeight="1" thickBot="1" x14ac:dyDescent="0.25">
      <c r="A41" s="387"/>
      <c r="B41" s="28"/>
      <c r="C41" s="389"/>
      <c r="D41" s="2167"/>
      <c r="E41" s="1997"/>
      <c r="F41" s="2162"/>
      <c r="G41" s="2160"/>
      <c r="H41" s="299" t="s">
        <v>23</v>
      </c>
      <c r="I41" s="312">
        <f t="shared" si="2"/>
        <v>7.8</v>
      </c>
      <c r="J41" s="293">
        <f>SUM(J38:J40)</f>
        <v>7.8</v>
      </c>
      <c r="K41" s="293">
        <f>SUM(K38:K40)</f>
        <v>6</v>
      </c>
      <c r="L41" s="292">
        <f>SUM(L38:L40)</f>
        <v>0</v>
      </c>
      <c r="M41" s="301">
        <f>SUM(M38:M40)</f>
        <v>7.8</v>
      </c>
      <c r="N41" s="302">
        <f>SUM(N38:N40)</f>
        <v>7.8</v>
      </c>
      <c r="O41" s="2264"/>
      <c r="P41" s="2259"/>
      <c r="Q41" s="2259"/>
      <c r="R41" s="2268"/>
    </row>
    <row r="42" spans="1:20" ht="15" customHeight="1" thickBot="1" x14ac:dyDescent="0.25">
      <c r="A42" s="387" t="s">
        <v>20</v>
      </c>
      <c r="B42" s="392" t="s">
        <v>20</v>
      </c>
      <c r="C42" s="2157" t="s">
        <v>27</v>
      </c>
      <c r="D42" s="2157"/>
      <c r="E42" s="2157"/>
      <c r="F42" s="2157"/>
      <c r="G42" s="2157"/>
      <c r="H42" s="2074"/>
      <c r="I42" s="636">
        <f t="shared" ref="I42:M42" si="3">I41+I37+I35+I33</f>
        <v>187877</v>
      </c>
      <c r="J42" s="243">
        <f>J41+J37+J35+J33</f>
        <v>187698.6</v>
      </c>
      <c r="K42" s="243">
        <f>K41+K37+K35+K33</f>
        <v>126925.3</v>
      </c>
      <c r="L42" s="242">
        <f>L41+L37+L35+L33</f>
        <v>178.4</v>
      </c>
      <c r="M42" s="1">
        <f t="shared" si="3"/>
        <v>189158.1</v>
      </c>
      <c r="N42" s="1">
        <f>N41+N37+N35+N33</f>
        <v>188444.7</v>
      </c>
      <c r="O42" s="2288"/>
      <c r="P42" s="2289"/>
      <c r="Q42" s="2289"/>
      <c r="R42" s="2290"/>
    </row>
    <row r="43" spans="1:20" ht="15" customHeight="1" thickBot="1" x14ac:dyDescent="0.25">
      <c r="A43" s="15" t="s">
        <v>20</v>
      </c>
      <c r="B43" s="17" t="s">
        <v>24</v>
      </c>
      <c r="C43" s="2007" t="s">
        <v>113</v>
      </c>
      <c r="D43" s="2008"/>
      <c r="E43" s="2008"/>
      <c r="F43" s="2008"/>
      <c r="G43" s="2008"/>
      <c r="H43" s="2008"/>
      <c r="I43" s="2008"/>
      <c r="J43" s="2008"/>
      <c r="K43" s="2008"/>
      <c r="L43" s="2008"/>
      <c r="M43" s="2008"/>
      <c r="N43" s="2008"/>
      <c r="O43" s="2008"/>
      <c r="P43" s="2008"/>
      <c r="Q43" s="2008"/>
      <c r="R43" s="2009"/>
    </row>
    <row r="44" spans="1:20" ht="16.5" customHeight="1" x14ac:dyDescent="0.2">
      <c r="A44" s="219" t="s">
        <v>20</v>
      </c>
      <c r="B44" s="1959" t="s">
        <v>24</v>
      </c>
      <c r="C44" s="2163" t="s">
        <v>20</v>
      </c>
      <c r="D44" s="1991" t="s">
        <v>116</v>
      </c>
      <c r="E44" s="2011"/>
      <c r="F44" s="2003" t="s">
        <v>21</v>
      </c>
      <c r="G44" s="2001">
        <v>2</v>
      </c>
      <c r="H44" s="416" t="s">
        <v>22</v>
      </c>
      <c r="I44" s="309">
        <f t="shared" ref="I44:I46" si="4">J44+L44</f>
        <v>65.400000000000006</v>
      </c>
      <c r="J44" s="278">
        <v>65.400000000000006</v>
      </c>
      <c r="K44" s="278"/>
      <c r="L44" s="310"/>
      <c r="M44" s="19">
        <v>65.400000000000006</v>
      </c>
      <c r="N44" s="22">
        <v>65.400000000000006</v>
      </c>
      <c r="O44" s="191" t="s">
        <v>118</v>
      </c>
      <c r="P44" s="192">
        <v>20</v>
      </c>
      <c r="Q44" s="192">
        <v>20</v>
      </c>
      <c r="R44" s="193">
        <v>20</v>
      </c>
    </row>
    <row r="45" spans="1:20" ht="27.75" customHeight="1" thickBot="1" x14ac:dyDescent="0.25">
      <c r="A45" s="418"/>
      <c r="B45" s="2010"/>
      <c r="C45" s="2164"/>
      <c r="D45" s="1992"/>
      <c r="E45" s="2012"/>
      <c r="F45" s="2004"/>
      <c r="G45" s="2002"/>
      <c r="H45" s="299" t="s">
        <v>23</v>
      </c>
      <c r="I45" s="300">
        <f t="shared" si="4"/>
        <v>65.400000000000006</v>
      </c>
      <c r="J45" s="293">
        <f>SUM(J44)</f>
        <v>65.400000000000006</v>
      </c>
      <c r="K45" s="292"/>
      <c r="L45" s="296"/>
      <c r="M45" s="300">
        <f>SUM(M44)</f>
        <v>65.400000000000006</v>
      </c>
      <c r="N45" s="301">
        <f>SUM(N44)</f>
        <v>65.400000000000006</v>
      </c>
      <c r="O45" s="194" t="s">
        <v>117</v>
      </c>
      <c r="P45" s="195">
        <v>36</v>
      </c>
      <c r="Q45" s="195">
        <v>36</v>
      </c>
      <c r="R45" s="196">
        <v>36</v>
      </c>
    </row>
    <row r="46" spans="1:20" ht="27.75" customHeight="1" x14ac:dyDescent="0.2">
      <c r="A46" s="1988" t="s">
        <v>20</v>
      </c>
      <c r="B46" s="1959" t="s">
        <v>24</v>
      </c>
      <c r="C46" s="1986" t="s">
        <v>24</v>
      </c>
      <c r="D46" s="2168" t="s">
        <v>119</v>
      </c>
      <c r="E46" s="2011"/>
      <c r="F46" s="2005" t="s">
        <v>21</v>
      </c>
      <c r="G46" s="1993">
        <v>2</v>
      </c>
      <c r="H46" s="423" t="s">
        <v>25</v>
      </c>
      <c r="I46" s="311">
        <f t="shared" si="4"/>
        <v>105.4</v>
      </c>
      <c r="J46" s="271">
        <v>105.4</v>
      </c>
      <c r="K46" s="306"/>
      <c r="L46" s="297"/>
      <c r="M46" s="10">
        <v>105.5</v>
      </c>
      <c r="N46" s="11">
        <v>105.5</v>
      </c>
      <c r="O46" s="197" t="s">
        <v>82</v>
      </c>
      <c r="P46" s="139">
        <v>17</v>
      </c>
      <c r="Q46" s="139">
        <v>17</v>
      </c>
      <c r="R46" s="138">
        <v>17</v>
      </c>
    </row>
    <row r="47" spans="1:20" ht="13.5" customHeight="1" thickBot="1" x14ac:dyDescent="0.25">
      <c r="A47" s="1989"/>
      <c r="B47" s="2010"/>
      <c r="C47" s="1987"/>
      <c r="D47" s="2169"/>
      <c r="E47" s="2012"/>
      <c r="F47" s="2006"/>
      <c r="G47" s="1994"/>
      <c r="H47" s="299" t="s">
        <v>23</v>
      </c>
      <c r="I47" s="314">
        <f>I46</f>
        <v>105.4</v>
      </c>
      <c r="J47" s="314">
        <f>J46</f>
        <v>105.4</v>
      </c>
      <c r="K47" s="293"/>
      <c r="L47" s="296"/>
      <c r="M47" s="301">
        <f>SUM(M46)</f>
        <v>105.5</v>
      </c>
      <c r="N47" s="292">
        <f>SUM(N46)</f>
        <v>105.5</v>
      </c>
      <c r="O47" s="106" t="s">
        <v>81</v>
      </c>
      <c r="P47" s="107">
        <v>11</v>
      </c>
      <c r="Q47" s="107">
        <v>11</v>
      </c>
      <c r="R47" s="212">
        <v>10</v>
      </c>
    </row>
    <row r="48" spans="1:20" ht="28.5" customHeight="1" x14ac:dyDescent="0.2">
      <c r="A48" s="1984" t="s">
        <v>20</v>
      </c>
      <c r="B48" s="391" t="s">
        <v>24</v>
      </c>
      <c r="C48" s="1978" t="s">
        <v>26</v>
      </c>
      <c r="D48" s="1970" t="s">
        <v>45</v>
      </c>
      <c r="E48" s="1975"/>
      <c r="F48" s="1972" t="s">
        <v>21</v>
      </c>
      <c r="G48" s="1998">
        <v>2</v>
      </c>
      <c r="H48" s="198" t="s">
        <v>22</v>
      </c>
      <c r="I48" s="289">
        <f>J48+L48</f>
        <v>136.69999999999999</v>
      </c>
      <c r="J48" s="290">
        <v>136.69999999999999</v>
      </c>
      <c r="K48" s="290"/>
      <c r="L48" s="366"/>
      <c r="M48" s="64">
        <v>140</v>
      </c>
      <c r="N48" s="7">
        <v>140</v>
      </c>
      <c r="O48" s="104" t="s">
        <v>123</v>
      </c>
      <c r="P48" s="400">
        <v>180</v>
      </c>
      <c r="Q48" s="86">
        <v>180</v>
      </c>
      <c r="R48" s="402">
        <v>180</v>
      </c>
    </row>
    <row r="49" spans="1:18" ht="13.5" customHeight="1" thickBot="1" x14ac:dyDescent="0.25">
      <c r="A49" s="1985"/>
      <c r="B49" s="392"/>
      <c r="C49" s="1979"/>
      <c r="D49" s="1971"/>
      <c r="E49" s="1977"/>
      <c r="F49" s="1974"/>
      <c r="G49" s="1999"/>
      <c r="H49" s="368" t="s">
        <v>23</v>
      </c>
      <c r="I49" s="318">
        <f>J49+L49</f>
        <v>136.69999999999999</v>
      </c>
      <c r="J49" s="321">
        <f>SUM(J48)</f>
        <v>136.69999999999999</v>
      </c>
      <c r="K49" s="318"/>
      <c r="L49" s="338"/>
      <c r="M49" s="316">
        <f>SUM(M48)</f>
        <v>140</v>
      </c>
      <c r="N49" s="317">
        <f>SUM(N48)</f>
        <v>140</v>
      </c>
      <c r="O49" s="66"/>
      <c r="P49" s="84"/>
      <c r="Q49" s="85"/>
      <c r="R49" s="403"/>
    </row>
    <row r="50" spans="1:18" ht="13.5" customHeight="1" x14ac:dyDescent="0.2">
      <c r="A50" s="1988" t="s">
        <v>20</v>
      </c>
      <c r="B50" s="1959" t="s">
        <v>24</v>
      </c>
      <c r="C50" s="1986" t="s">
        <v>28</v>
      </c>
      <c r="D50" s="1970" t="s">
        <v>120</v>
      </c>
      <c r="E50" s="1975" t="s">
        <v>121</v>
      </c>
      <c r="F50" s="1972" t="s">
        <v>21</v>
      </c>
      <c r="G50" s="2042">
        <v>2</v>
      </c>
      <c r="H50" s="543" t="s">
        <v>22</v>
      </c>
      <c r="I50" s="323"/>
      <c r="J50" s="324"/>
      <c r="K50" s="372"/>
      <c r="L50" s="544"/>
      <c r="M50" s="63">
        <v>100</v>
      </c>
      <c r="N50" s="7">
        <v>100</v>
      </c>
      <c r="O50" s="105" t="s">
        <v>65</v>
      </c>
      <c r="P50" s="77">
        <v>1</v>
      </c>
      <c r="Q50" s="77">
        <v>2</v>
      </c>
      <c r="R50" s="575">
        <v>2</v>
      </c>
    </row>
    <row r="51" spans="1:18" ht="13.5" customHeight="1" x14ac:dyDescent="0.2">
      <c r="A51" s="1990"/>
      <c r="B51" s="1960"/>
      <c r="C51" s="2000"/>
      <c r="D51" s="1980"/>
      <c r="E51" s="1976"/>
      <c r="F51" s="1973"/>
      <c r="G51" s="2043"/>
      <c r="H51" s="471" t="s">
        <v>25</v>
      </c>
      <c r="I51" s="328">
        <f>J51+L51</f>
        <v>31</v>
      </c>
      <c r="J51" s="329"/>
      <c r="K51" s="373"/>
      <c r="L51" s="474">
        <v>31</v>
      </c>
      <c r="M51" s="39"/>
      <c r="N51" s="39"/>
      <c r="O51" s="470"/>
      <c r="P51" s="377"/>
      <c r="Q51" s="377"/>
      <c r="R51" s="577"/>
    </row>
    <row r="52" spans="1:18" ht="13.5" customHeight="1" thickBot="1" x14ac:dyDescent="0.25">
      <c r="A52" s="2013"/>
      <c r="B52" s="1961"/>
      <c r="C52" s="2028"/>
      <c r="D52" s="1971"/>
      <c r="E52" s="1977"/>
      <c r="F52" s="1974"/>
      <c r="G52" s="2044"/>
      <c r="H52" s="369" t="s">
        <v>23</v>
      </c>
      <c r="I52" s="338">
        <f>J52+L52</f>
        <v>31</v>
      </c>
      <c r="J52" s="338"/>
      <c r="K52" s="321"/>
      <c r="L52" s="319">
        <f>SUM(L51)</f>
        <v>31</v>
      </c>
      <c r="M52" s="316">
        <f>SUM(M50)</f>
        <v>100</v>
      </c>
      <c r="N52" s="318">
        <f>SUM(N50)</f>
        <v>100</v>
      </c>
      <c r="O52" s="548"/>
      <c r="P52" s="573"/>
      <c r="Q52" s="573"/>
      <c r="R52" s="136"/>
    </row>
    <row r="53" spans="1:18" ht="41.25" customHeight="1" x14ac:dyDescent="0.2">
      <c r="A53" s="1988" t="s">
        <v>20</v>
      </c>
      <c r="B53" s="1959" t="s">
        <v>24</v>
      </c>
      <c r="C53" s="1986" t="s">
        <v>29</v>
      </c>
      <c r="D53" s="1970" t="s">
        <v>122</v>
      </c>
      <c r="E53" s="1975"/>
      <c r="F53" s="1972" t="s">
        <v>21</v>
      </c>
      <c r="G53" s="2042">
        <v>2</v>
      </c>
      <c r="H53" s="543" t="s">
        <v>25</v>
      </c>
      <c r="I53" s="323">
        <f>J53+L53</f>
        <v>992.1</v>
      </c>
      <c r="J53" s="324">
        <v>992.1</v>
      </c>
      <c r="K53" s="372"/>
      <c r="L53" s="544"/>
      <c r="M53" s="63">
        <v>4730.8999999999996</v>
      </c>
      <c r="N53" s="63">
        <v>4730.8999999999996</v>
      </c>
      <c r="O53" s="105" t="s">
        <v>65</v>
      </c>
      <c r="P53" s="77">
        <v>36</v>
      </c>
      <c r="Q53" s="77">
        <v>36</v>
      </c>
      <c r="R53" s="453">
        <v>36</v>
      </c>
    </row>
    <row r="54" spans="1:18" ht="13.5" customHeight="1" thickBot="1" x14ac:dyDescent="0.25">
      <c r="A54" s="2013"/>
      <c r="B54" s="1961"/>
      <c r="C54" s="2028"/>
      <c r="D54" s="1971"/>
      <c r="E54" s="1977"/>
      <c r="F54" s="1974"/>
      <c r="G54" s="2044"/>
      <c r="H54" s="369" t="s">
        <v>23</v>
      </c>
      <c r="I54" s="338">
        <f>I53</f>
        <v>992.1</v>
      </c>
      <c r="J54" s="338">
        <f>J53</f>
        <v>992.1</v>
      </c>
      <c r="K54" s="321"/>
      <c r="L54" s="319"/>
      <c r="M54" s="316">
        <f>SUM(M53)</f>
        <v>4730.8999999999996</v>
      </c>
      <c r="N54" s="318">
        <f>SUM(N53)</f>
        <v>4730.8999999999996</v>
      </c>
      <c r="O54" s="451"/>
      <c r="P54" s="452"/>
      <c r="Q54" s="452"/>
      <c r="R54" s="136"/>
    </row>
    <row r="55" spans="1:18" ht="16.5" customHeight="1" x14ac:dyDescent="0.2">
      <c r="A55" s="1984" t="s">
        <v>20</v>
      </c>
      <c r="B55" s="391" t="s">
        <v>24</v>
      </c>
      <c r="C55" s="1978" t="s">
        <v>30</v>
      </c>
      <c r="D55" s="1970" t="s">
        <v>151</v>
      </c>
      <c r="E55" s="1975"/>
      <c r="F55" s="1972" t="s">
        <v>21</v>
      </c>
      <c r="G55" s="1998">
        <v>2</v>
      </c>
      <c r="H55" s="198" t="s">
        <v>22</v>
      </c>
      <c r="I55" s="289">
        <f>J55+L55</f>
        <v>30</v>
      </c>
      <c r="J55" s="290">
        <v>30</v>
      </c>
      <c r="K55" s="290"/>
      <c r="L55" s="366"/>
      <c r="M55" s="64">
        <v>40</v>
      </c>
      <c r="N55" s="7">
        <v>40</v>
      </c>
      <c r="O55" s="104" t="s">
        <v>138</v>
      </c>
      <c r="P55" s="476">
        <v>5000</v>
      </c>
      <c r="Q55" s="477">
        <v>5000</v>
      </c>
      <c r="R55" s="478">
        <v>5000</v>
      </c>
    </row>
    <row r="56" spans="1:18" ht="13.5" customHeight="1" thickBot="1" x14ac:dyDescent="0.25">
      <c r="A56" s="1985"/>
      <c r="B56" s="392"/>
      <c r="C56" s="1979"/>
      <c r="D56" s="1971"/>
      <c r="E56" s="1977"/>
      <c r="F56" s="1974"/>
      <c r="G56" s="1999"/>
      <c r="H56" s="368" t="s">
        <v>23</v>
      </c>
      <c r="I56" s="318">
        <f>J56+L56</f>
        <v>30</v>
      </c>
      <c r="J56" s="321">
        <f>SUM(J55)</f>
        <v>30</v>
      </c>
      <c r="K56" s="318"/>
      <c r="L56" s="338"/>
      <c r="M56" s="316">
        <f>SUM(M55)</f>
        <v>40</v>
      </c>
      <c r="N56" s="317">
        <f>SUM(N55)</f>
        <v>40</v>
      </c>
      <c r="O56" s="66"/>
      <c r="P56" s="84"/>
      <c r="Q56" s="85"/>
      <c r="R56" s="403"/>
    </row>
    <row r="57" spans="1:18" ht="42.75" customHeight="1" x14ac:dyDescent="0.2">
      <c r="A57" s="1984" t="s">
        <v>20</v>
      </c>
      <c r="B57" s="391" t="s">
        <v>24</v>
      </c>
      <c r="C57" s="1978" t="s">
        <v>55</v>
      </c>
      <c r="D57" s="1970" t="s">
        <v>129</v>
      </c>
      <c r="E57" s="1975" t="s">
        <v>131</v>
      </c>
      <c r="F57" s="1972" t="s">
        <v>21</v>
      </c>
      <c r="G57" s="1998">
        <v>2</v>
      </c>
      <c r="H57" s="198" t="s">
        <v>22</v>
      </c>
      <c r="I57" s="289">
        <f>J57+L57</f>
        <v>218.2</v>
      </c>
      <c r="J57" s="290">
        <v>218.2</v>
      </c>
      <c r="K57" s="290"/>
      <c r="L57" s="366"/>
      <c r="M57" s="64">
        <v>220.4</v>
      </c>
      <c r="N57" s="7">
        <v>295.39999999999998</v>
      </c>
      <c r="O57" s="2050" t="s">
        <v>193</v>
      </c>
      <c r="P57" s="465">
        <v>29</v>
      </c>
      <c r="Q57" s="86">
        <v>17</v>
      </c>
      <c r="R57" s="461">
        <v>16</v>
      </c>
    </row>
    <row r="58" spans="1:18" ht="13.5" customHeight="1" thickBot="1" x14ac:dyDescent="0.25">
      <c r="A58" s="1985"/>
      <c r="B58" s="392"/>
      <c r="C58" s="1979"/>
      <c r="D58" s="1971"/>
      <c r="E58" s="1977"/>
      <c r="F58" s="1974"/>
      <c r="G58" s="1999"/>
      <c r="H58" s="368" t="s">
        <v>23</v>
      </c>
      <c r="I58" s="318">
        <f>J58+L58</f>
        <v>218.2</v>
      </c>
      <c r="J58" s="321">
        <f>SUM(J57)</f>
        <v>218.2</v>
      </c>
      <c r="K58" s="318"/>
      <c r="L58" s="338"/>
      <c r="M58" s="316">
        <f>SUM(M57)</f>
        <v>220.4</v>
      </c>
      <c r="N58" s="317">
        <f>SUM(N57)</f>
        <v>295.39999999999998</v>
      </c>
      <c r="O58" s="2051"/>
      <c r="P58" s="84"/>
      <c r="Q58" s="85"/>
      <c r="R58" s="403"/>
    </row>
    <row r="59" spans="1:18" ht="15" customHeight="1" thickBot="1" x14ac:dyDescent="0.25">
      <c r="A59" s="15" t="s">
        <v>20</v>
      </c>
      <c r="B59" s="14" t="s">
        <v>24</v>
      </c>
      <c r="C59" s="2029" t="s">
        <v>27</v>
      </c>
      <c r="D59" s="2029"/>
      <c r="E59" s="2029"/>
      <c r="F59" s="2029"/>
      <c r="G59" s="2029"/>
      <c r="H59" s="2029"/>
      <c r="I59" s="1">
        <f t="shared" ref="I59:N59" si="5">I49+I54+I52+I47+I45+I56+I58</f>
        <v>1578.8</v>
      </c>
      <c r="J59" s="1">
        <f>J49+J54+J52+J47+J45+J56+J58</f>
        <v>1547.8</v>
      </c>
      <c r="K59" s="1">
        <f t="shared" si="5"/>
        <v>0</v>
      </c>
      <c r="L59" s="1">
        <f t="shared" si="5"/>
        <v>31</v>
      </c>
      <c r="M59" s="1">
        <f t="shared" si="5"/>
        <v>5402.2</v>
      </c>
      <c r="N59" s="1">
        <f t="shared" si="5"/>
        <v>5477.2</v>
      </c>
      <c r="O59" s="412"/>
      <c r="P59" s="2055"/>
      <c r="Q59" s="2055"/>
      <c r="R59" s="2056"/>
    </row>
    <row r="60" spans="1:18" ht="14.25" customHeight="1" thickBot="1" x14ac:dyDescent="0.25">
      <c r="A60" s="387" t="s">
        <v>20</v>
      </c>
      <c r="B60" s="1962" t="s">
        <v>10</v>
      </c>
      <c r="C60" s="1963"/>
      <c r="D60" s="1963"/>
      <c r="E60" s="1963"/>
      <c r="F60" s="1963"/>
      <c r="G60" s="1963"/>
      <c r="H60" s="1963"/>
      <c r="I60" s="20">
        <f t="shared" ref="I60:N60" si="6">I59+I42</f>
        <v>189455.8</v>
      </c>
      <c r="J60" s="20">
        <f t="shared" si="6"/>
        <v>189246.4</v>
      </c>
      <c r="K60" s="20">
        <f t="shared" si="6"/>
        <v>126925.3</v>
      </c>
      <c r="L60" s="20">
        <f>L59+L42</f>
        <v>209.4</v>
      </c>
      <c r="M60" s="20">
        <f t="shared" si="6"/>
        <v>194560.3</v>
      </c>
      <c r="N60" s="20">
        <f t="shared" si="6"/>
        <v>193921.9</v>
      </c>
      <c r="O60" s="1967"/>
      <c r="P60" s="1968"/>
      <c r="Q60" s="1968"/>
      <c r="R60" s="1969"/>
    </row>
    <row r="61" spans="1:18" ht="15.75" customHeight="1" thickBot="1" x14ac:dyDescent="0.25">
      <c r="A61" s="386" t="s">
        <v>24</v>
      </c>
      <c r="B61" s="1964" t="s">
        <v>56</v>
      </c>
      <c r="C61" s="1965"/>
      <c r="D61" s="1965"/>
      <c r="E61" s="1965"/>
      <c r="F61" s="1965"/>
      <c r="G61" s="1965"/>
      <c r="H61" s="1965"/>
      <c r="I61" s="1965"/>
      <c r="J61" s="1965"/>
      <c r="K61" s="1965"/>
      <c r="L61" s="1965"/>
      <c r="M61" s="1965"/>
      <c r="N61" s="1965"/>
      <c r="O61" s="1965"/>
      <c r="P61" s="1965"/>
      <c r="Q61" s="1965"/>
      <c r="R61" s="1966"/>
    </row>
    <row r="62" spans="1:18" ht="17.25" customHeight="1" x14ac:dyDescent="0.2">
      <c r="A62" s="219" t="s">
        <v>24</v>
      </c>
      <c r="B62" s="627" t="s">
        <v>20</v>
      </c>
      <c r="C62" s="2052" t="s">
        <v>47</v>
      </c>
      <c r="D62" s="2053"/>
      <c r="E62" s="2053"/>
      <c r="F62" s="2053"/>
      <c r="G62" s="2053"/>
      <c r="H62" s="2053"/>
      <c r="I62" s="2053"/>
      <c r="J62" s="2053"/>
      <c r="K62" s="2053"/>
      <c r="L62" s="2053"/>
      <c r="M62" s="2053"/>
      <c r="N62" s="2053"/>
      <c r="O62" s="2053"/>
      <c r="P62" s="2053"/>
      <c r="Q62" s="2053"/>
      <c r="R62" s="2054"/>
    </row>
    <row r="63" spans="1:18" ht="26.25" customHeight="1" x14ac:dyDescent="0.2">
      <c r="A63" s="628" t="s">
        <v>24</v>
      </c>
      <c r="B63" s="615" t="s">
        <v>20</v>
      </c>
      <c r="C63" s="629" t="s">
        <v>20</v>
      </c>
      <c r="D63" s="630" t="s">
        <v>57</v>
      </c>
      <c r="E63" s="598" t="s">
        <v>4</v>
      </c>
      <c r="F63" s="597" t="s">
        <v>21</v>
      </c>
      <c r="G63" s="222">
        <v>5</v>
      </c>
      <c r="H63" s="24"/>
      <c r="I63" s="356"/>
      <c r="J63" s="282"/>
      <c r="K63" s="282"/>
      <c r="L63" s="282"/>
      <c r="M63" s="32"/>
      <c r="N63" s="38"/>
      <c r="O63" s="616"/>
      <c r="P63" s="149"/>
      <c r="Q63" s="88"/>
      <c r="R63" s="99"/>
    </row>
    <row r="64" spans="1:18" s="4" customFormat="1" ht="12.75" customHeight="1" x14ac:dyDescent="0.2">
      <c r="A64" s="148"/>
      <c r="B64" s="607"/>
      <c r="C64" s="614"/>
      <c r="D64" s="1957" t="s">
        <v>214</v>
      </c>
      <c r="E64" s="610" t="s">
        <v>58</v>
      </c>
      <c r="F64" s="600"/>
      <c r="G64" s="223"/>
      <c r="H64" s="24" t="s">
        <v>22</v>
      </c>
      <c r="I64" s="356">
        <f>J64+L64</f>
        <v>114.3</v>
      </c>
      <c r="J64" s="282"/>
      <c r="K64" s="282"/>
      <c r="L64" s="282">
        <v>114.3</v>
      </c>
      <c r="M64" s="525"/>
      <c r="N64" s="10"/>
      <c r="O64" s="2061" t="s">
        <v>101</v>
      </c>
      <c r="P64" s="149">
        <v>100</v>
      </c>
      <c r="Q64" s="88"/>
      <c r="R64" s="101"/>
    </row>
    <row r="65" spans="1:18" s="4" customFormat="1" ht="12.75" customHeight="1" x14ac:dyDescent="0.2">
      <c r="A65" s="148"/>
      <c r="B65" s="607"/>
      <c r="C65" s="614"/>
      <c r="D65" s="1955"/>
      <c r="E65" s="610"/>
      <c r="F65" s="600"/>
      <c r="G65" s="223"/>
      <c r="H65" s="24" t="s">
        <v>5</v>
      </c>
      <c r="I65" s="356"/>
      <c r="J65" s="282"/>
      <c r="K65" s="282"/>
      <c r="L65" s="282"/>
      <c r="M65" s="525"/>
      <c r="N65" s="10"/>
      <c r="O65" s="2062"/>
      <c r="P65" s="623"/>
      <c r="Q65" s="89"/>
      <c r="R65" s="102"/>
    </row>
    <row r="66" spans="1:18" s="4" customFormat="1" ht="14.25" customHeight="1" x14ac:dyDescent="0.2">
      <c r="A66" s="148"/>
      <c r="B66" s="607"/>
      <c r="C66" s="614"/>
      <c r="D66" s="1955"/>
      <c r="E66" s="610"/>
      <c r="F66" s="600"/>
      <c r="G66" s="223"/>
      <c r="H66" s="24" t="s">
        <v>6</v>
      </c>
      <c r="I66" s="280">
        <f>J66+L66</f>
        <v>1178.9000000000001</v>
      </c>
      <c r="J66" s="282">
        <v>23</v>
      </c>
      <c r="K66" s="282">
        <v>18.5</v>
      </c>
      <c r="L66" s="282">
        <v>1155.9000000000001</v>
      </c>
      <c r="M66" s="525"/>
      <c r="N66" s="10"/>
      <c r="O66" s="2063"/>
      <c r="P66" s="623"/>
      <c r="Q66" s="89"/>
      <c r="R66" s="102"/>
    </row>
    <row r="67" spans="1:18" s="4" customFormat="1" ht="12.75" customHeight="1" x14ac:dyDescent="0.2">
      <c r="A67" s="148"/>
      <c r="B67" s="607"/>
      <c r="C67" s="614"/>
      <c r="D67" s="1956"/>
      <c r="E67" s="610"/>
      <c r="F67" s="600"/>
      <c r="G67" s="223"/>
      <c r="H67" s="363" t="s">
        <v>23</v>
      </c>
      <c r="I67" s="335">
        <f>SUM(I64:I66)</f>
        <v>1293.2</v>
      </c>
      <c r="J67" s="334">
        <f>SUM(J64:J66)</f>
        <v>23</v>
      </c>
      <c r="K67" s="334">
        <f>SUM(K64:K66)</f>
        <v>18.5</v>
      </c>
      <c r="L67" s="307">
        <f>SUM(L64:L66)</f>
        <v>1270.2</v>
      </c>
      <c r="M67" s="582"/>
      <c r="N67" s="426"/>
      <c r="O67" s="68"/>
      <c r="P67" s="90"/>
      <c r="Q67" s="91"/>
      <c r="R67" s="103"/>
    </row>
    <row r="68" spans="1:18" s="4" customFormat="1" ht="13.5" customHeight="1" x14ac:dyDescent="0.2">
      <c r="A68" s="148"/>
      <c r="B68" s="607"/>
      <c r="C68" s="614"/>
      <c r="D68" s="1957" t="s">
        <v>170</v>
      </c>
      <c r="E68" s="610"/>
      <c r="F68" s="600"/>
      <c r="G68" s="223"/>
      <c r="H68" s="380" t="s">
        <v>7</v>
      </c>
      <c r="I68" s="356">
        <f>J68+L68</f>
        <v>56.9</v>
      </c>
      <c r="J68" s="282"/>
      <c r="K68" s="282"/>
      <c r="L68" s="282">
        <v>56.9</v>
      </c>
      <c r="M68" s="525"/>
      <c r="N68" s="10"/>
      <c r="O68" s="2061" t="s">
        <v>211</v>
      </c>
      <c r="P68" s="149">
        <v>100</v>
      </c>
      <c r="Q68" s="88"/>
      <c r="R68" s="101"/>
    </row>
    <row r="69" spans="1:18" s="4" customFormat="1" ht="13.5" customHeight="1" x14ac:dyDescent="0.2">
      <c r="A69" s="148"/>
      <c r="B69" s="607"/>
      <c r="C69" s="614"/>
      <c r="D69" s="1955"/>
      <c r="E69" s="610"/>
      <c r="F69" s="600"/>
      <c r="G69" s="223"/>
      <c r="H69" s="24" t="s">
        <v>6</v>
      </c>
      <c r="I69" s="356">
        <f>J69+L69</f>
        <v>539.70000000000005</v>
      </c>
      <c r="J69" s="282">
        <v>5</v>
      </c>
      <c r="K69" s="282">
        <v>3.8</v>
      </c>
      <c r="L69" s="282">
        <v>534.70000000000005</v>
      </c>
      <c r="M69" s="525"/>
      <c r="N69" s="10"/>
      <c r="O69" s="2062"/>
      <c r="P69" s="623"/>
      <c r="Q69" s="89"/>
      <c r="R69" s="102"/>
    </row>
    <row r="70" spans="1:18" s="4" customFormat="1" ht="13.5" customHeight="1" x14ac:dyDescent="0.2">
      <c r="A70" s="148"/>
      <c r="B70" s="607"/>
      <c r="C70" s="614"/>
      <c r="D70" s="1956"/>
      <c r="E70" s="610"/>
      <c r="F70" s="600"/>
      <c r="G70" s="223"/>
      <c r="H70" s="363" t="s">
        <v>23</v>
      </c>
      <c r="I70" s="335">
        <f>SUM(I68:I69)</f>
        <v>596.6</v>
      </c>
      <c r="J70" s="334">
        <f>SUM(J68:J69)</f>
        <v>5</v>
      </c>
      <c r="K70" s="334">
        <f>SUM(K68:K69)</f>
        <v>3.8</v>
      </c>
      <c r="L70" s="307">
        <f>SUM(L68:L69)</f>
        <v>591.6</v>
      </c>
      <c r="M70" s="582"/>
      <c r="N70" s="426"/>
      <c r="O70" s="617" t="s">
        <v>212</v>
      </c>
      <c r="P70" s="90"/>
      <c r="Q70" s="91"/>
      <c r="R70" s="103"/>
    </row>
    <row r="71" spans="1:18" s="4" customFormat="1" ht="17.25" customHeight="1" x14ac:dyDescent="0.2">
      <c r="A71" s="148"/>
      <c r="B71" s="607"/>
      <c r="C71" s="614"/>
      <c r="D71" s="1957" t="s">
        <v>171</v>
      </c>
      <c r="E71" s="610"/>
      <c r="F71" s="600"/>
      <c r="G71" s="223"/>
      <c r="H71" s="24" t="s">
        <v>22</v>
      </c>
      <c r="I71" s="356">
        <f>J71+L71</f>
        <v>168.4</v>
      </c>
      <c r="J71" s="282"/>
      <c r="K71" s="282"/>
      <c r="L71" s="282">
        <v>168.4</v>
      </c>
      <c r="M71" s="525"/>
      <c r="N71" s="10"/>
      <c r="O71" s="2170" t="s">
        <v>209</v>
      </c>
      <c r="P71" s="2057">
        <v>100</v>
      </c>
      <c r="Q71" s="2057"/>
      <c r="R71" s="165"/>
    </row>
    <row r="72" spans="1:18" s="4" customFormat="1" ht="13.5" customHeight="1" x14ac:dyDescent="0.2">
      <c r="A72" s="148"/>
      <c r="B72" s="607"/>
      <c r="C72" s="147"/>
      <c r="D72" s="1955"/>
      <c r="E72" s="610"/>
      <c r="F72" s="600"/>
      <c r="G72" s="223"/>
      <c r="H72" s="516" t="s">
        <v>23</v>
      </c>
      <c r="I72" s="304">
        <f>SUM(I71:I71)</f>
        <v>168.4</v>
      </c>
      <c r="J72" s="303"/>
      <c r="K72" s="303"/>
      <c r="L72" s="303">
        <f>SUM(L71:L71)</f>
        <v>168.4</v>
      </c>
      <c r="M72" s="590"/>
      <c r="N72" s="427"/>
      <c r="O72" s="2048"/>
      <c r="P72" s="2058"/>
      <c r="Q72" s="2058"/>
      <c r="R72" s="167"/>
    </row>
    <row r="73" spans="1:18" ht="13.5" customHeight="1" x14ac:dyDescent="0.2">
      <c r="A73" s="148"/>
      <c r="B73" s="607"/>
      <c r="C73" s="599"/>
      <c r="D73" s="1957" t="s">
        <v>172</v>
      </c>
      <c r="E73" s="468"/>
      <c r="F73" s="600"/>
      <c r="G73" s="223"/>
      <c r="H73" s="12" t="s">
        <v>5</v>
      </c>
      <c r="I73" s="356">
        <f>J73+L73</f>
        <v>0.2</v>
      </c>
      <c r="J73" s="281"/>
      <c r="K73" s="281"/>
      <c r="L73" s="357">
        <v>0.2</v>
      </c>
      <c r="M73" s="32"/>
      <c r="N73" s="38"/>
      <c r="O73" s="1951" t="s">
        <v>154</v>
      </c>
      <c r="P73" s="149">
        <v>100</v>
      </c>
      <c r="Q73" s="88"/>
      <c r="R73" s="99"/>
    </row>
    <row r="74" spans="1:18" ht="13.5" customHeight="1" x14ac:dyDescent="0.2">
      <c r="A74" s="148"/>
      <c r="B74" s="607"/>
      <c r="C74" s="599"/>
      <c r="D74" s="1955"/>
      <c r="E74" s="468"/>
      <c r="F74" s="600"/>
      <c r="G74" s="223"/>
      <c r="H74" s="624" t="s">
        <v>6</v>
      </c>
      <c r="I74" s="264">
        <f>J74+L74</f>
        <v>1.3</v>
      </c>
      <c r="J74" s="265"/>
      <c r="K74" s="265"/>
      <c r="L74" s="266">
        <v>1.3</v>
      </c>
      <c r="M74" s="508"/>
      <c r="N74" s="10"/>
      <c r="O74" s="2064"/>
      <c r="P74" s="623"/>
      <c r="Q74" s="89"/>
      <c r="R74" s="622"/>
    </row>
    <row r="75" spans="1:18" ht="13.5" customHeight="1" thickBot="1" x14ac:dyDescent="0.25">
      <c r="A75" s="602"/>
      <c r="B75" s="605"/>
      <c r="C75" s="595"/>
      <c r="D75" s="1958"/>
      <c r="E75" s="631"/>
      <c r="F75" s="596"/>
      <c r="G75" s="224"/>
      <c r="H75" s="632" t="s">
        <v>23</v>
      </c>
      <c r="I75" s="339">
        <f>J75+L75</f>
        <v>1.5</v>
      </c>
      <c r="J75" s="341"/>
      <c r="K75" s="341"/>
      <c r="L75" s="517">
        <f>SUM(L73:L74)</f>
        <v>1.5</v>
      </c>
      <c r="M75" s="592"/>
      <c r="N75" s="593"/>
      <c r="O75" s="1952"/>
      <c r="P75" s="619"/>
      <c r="Q75" s="81"/>
      <c r="R75" s="621"/>
    </row>
    <row r="76" spans="1:18" ht="13.5" customHeight="1" x14ac:dyDescent="0.2">
      <c r="A76" s="148"/>
      <c r="B76" s="460"/>
      <c r="C76" s="469"/>
      <c r="D76" s="1955" t="s">
        <v>184</v>
      </c>
      <c r="E76" s="250"/>
      <c r="F76" s="466"/>
      <c r="G76" s="223"/>
      <c r="H76" s="624" t="s">
        <v>53</v>
      </c>
      <c r="I76" s="264"/>
      <c r="J76" s="265"/>
      <c r="K76" s="265"/>
      <c r="L76" s="270"/>
      <c r="M76" s="508"/>
      <c r="N76" s="10"/>
      <c r="O76" s="2060" t="s">
        <v>162</v>
      </c>
      <c r="P76" s="623">
        <v>100</v>
      </c>
      <c r="Q76" s="89"/>
      <c r="R76" s="622"/>
    </row>
    <row r="77" spans="1:18" ht="13.5" customHeight="1" x14ac:dyDescent="0.2">
      <c r="A77" s="148"/>
      <c r="B77" s="553"/>
      <c r="C77" s="556"/>
      <c r="D77" s="1955"/>
      <c r="E77" s="545"/>
      <c r="F77" s="558"/>
      <c r="G77" s="223"/>
      <c r="H77" s="12" t="s">
        <v>5</v>
      </c>
      <c r="I77" s="264">
        <f t="shared" ref="I77:I84" si="7">J77+L77</f>
        <v>11.7</v>
      </c>
      <c r="J77" s="270"/>
      <c r="K77" s="270"/>
      <c r="L77" s="270">
        <v>11.7</v>
      </c>
      <c r="M77" s="508"/>
      <c r="N77" s="10"/>
      <c r="O77" s="2060"/>
      <c r="P77" s="578"/>
      <c r="Q77" s="89"/>
      <c r="R77" s="577"/>
    </row>
    <row r="78" spans="1:18" ht="13.5" customHeight="1" x14ac:dyDescent="0.2">
      <c r="A78" s="148"/>
      <c r="B78" s="553"/>
      <c r="C78" s="556"/>
      <c r="D78" s="1955"/>
      <c r="E78" s="545"/>
      <c r="F78" s="558"/>
      <c r="G78" s="223"/>
      <c r="H78" s="570" t="s">
        <v>6</v>
      </c>
      <c r="I78" s="356">
        <f t="shared" si="7"/>
        <v>66.099999999999994</v>
      </c>
      <c r="J78" s="282"/>
      <c r="K78" s="282"/>
      <c r="L78" s="282">
        <v>66.099999999999994</v>
      </c>
      <c r="M78" s="508"/>
      <c r="N78" s="10"/>
      <c r="O78" s="2060"/>
      <c r="P78" s="578"/>
      <c r="Q78" s="89"/>
      <c r="R78" s="577"/>
    </row>
    <row r="79" spans="1:18" ht="13.5" customHeight="1" x14ac:dyDescent="0.2">
      <c r="A79" s="148"/>
      <c r="B79" s="553"/>
      <c r="C79" s="556"/>
      <c r="D79" s="1956"/>
      <c r="E79" s="545"/>
      <c r="F79" s="558"/>
      <c r="G79" s="223"/>
      <c r="H79" s="382" t="s">
        <v>23</v>
      </c>
      <c r="I79" s="359">
        <f t="shared" si="7"/>
        <v>77.8</v>
      </c>
      <c r="J79" s="308"/>
      <c r="K79" s="308"/>
      <c r="L79" s="308">
        <f>SUM(L76:L78)</f>
        <v>77.8</v>
      </c>
      <c r="M79" s="582"/>
      <c r="N79" s="426"/>
      <c r="O79" s="2065"/>
      <c r="P79" s="150"/>
      <c r="Q79" s="93"/>
      <c r="R79" s="100"/>
    </row>
    <row r="80" spans="1:18" s="4" customFormat="1" ht="13.5" customHeight="1" x14ac:dyDescent="0.2">
      <c r="A80" s="148"/>
      <c r="B80" s="460"/>
      <c r="C80" s="469"/>
      <c r="D80" s="1957" t="s">
        <v>173</v>
      </c>
      <c r="E80" s="250"/>
      <c r="F80" s="466"/>
      <c r="G80" s="223"/>
      <c r="H80" s="379" t="s">
        <v>53</v>
      </c>
      <c r="I80" s="288">
        <f t="shared" si="7"/>
        <v>47</v>
      </c>
      <c r="J80" s="276"/>
      <c r="K80" s="276"/>
      <c r="L80" s="282">
        <v>47</v>
      </c>
      <c r="M80" s="508"/>
      <c r="N80" s="10"/>
      <c r="O80" s="1953" t="s">
        <v>155</v>
      </c>
      <c r="P80" s="2296">
        <v>100</v>
      </c>
      <c r="Q80" s="115"/>
      <c r="R80" s="101"/>
    </row>
    <row r="81" spans="1:18" s="4" customFormat="1" ht="13.5" customHeight="1" x14ac:dyDescent="0.2">
      <c r="A81" s="148"/>
      <c r="B81" s="553"/>
      <c r="C81" s="556"/>
      <c r="D81" s="1955"/>
      <c r="E81" s="545"/>
      <c r="F81" s="558"/>
      <c r="G81" s="223"/>
      <c r="H81" s="24" t="s">
        <v>5</v>
      </c>
      <c r="I81" s="356">
        <f t="shared" si="7"/>
        <v>15.8</v>
      </c>
      <c r="J81" s="282"/>
      <c r="K81" s="282"/>
      <c r="L81" s="282">
        <v>15.8</v>
      </c>
      <c r="M81" s="508"/>
      <c r="N81" s="10"/>
      <c r="O81" s="1954"/>
      <c r="P81" s="2297"/>
      <c r="Q81" s="82"/>
      <c r="R81" s="102"/>
    </row>
    <row r="82" spans="1:18" s="4" customFormat="1" ht="13.5" customHeight="1" x14ac:dyDescent="0.2">
      <c r="A82" s="148"/>
      <c r="B82" s="553"/>
      <c r="C82" s="556"/>
      <c r="D82" s="1955"/>
      <c r="E82" s="545"/>
      <c r="F82" s="558"/>
      <c r="G82" s="223"/>
      <c r="H82" s="24" t="s">
        <v>6</v>
      </c>
      <c r="I82" s="356">
        <f t="shared" si="7"/>
        <v>89.2</v>
      </c>
      <c r="J82" s="282"/>
      <c r="K82" s="282"/>
      <c r="L82" s="282">
        <v>89.2</v>
      </c>
      <c r="M82" s="508"/>
      <c r="N82" s="10"/>
      <c r="O82" s="1954"/>
      <c r="P82" s="2297"/>
      <c r="Q82" s="89"/>
      <c r="R82" s="102"/>
    </row>
    <row r="83" spans="1:18" s="4" customFormat="1" ht="13.5" customHeight="1" x14ac:dyDescent="0.2">
      <c r="A83" s="148"/>
      <c r="B83" s="460"/>
      <c r="C83" s="469"/>
      <c r="D83" s="1956"/>
      <c r="E83" s="643"/>
      <c r="F83" s="638"/>
      <c r="G83" s="223"/>
      <c r="H83" s="583" t="s">
        <v>23</v>
      </c>
      <c r="I83" s="584">
        <f t="shared" si="7"/>
        <v>152</v>
      </c>
      <c r="J83" s="585"/>
      <c r="K83" s="585"/>
      <c r="L83" s="585">
        <f>SUM(L80:L82)</f>
        <v>152</v>
      </c>
      <c r="M83" s="590"/>
      <c r="N83" s="427"/>
      <c r="O83" s="1954"/>
      <c r="P83" s="2297"/>
      <c r="Q83" s="591"/>
      <c r="R83" s="102"/>
    </row>
    <row r="84" spans="1:18" ht="13.5" customHeight="1" x14ac:dyDescent="0.2">
      <c r="A84" s="148"/>
      <c r="B84" s="460"/>
      <c r="C84" s="442"/>
      <c r="D84" s="1957" t="s">
        <v>68</v>
      </c>
      <c r="E84" s="468"/>
      <c r="F84" s="638"/>
      <c r="G84" s="223"/>
      <c r="H84" s="170" t="s">
        <v>53</v>
      </c>
      <c r="I84" s="288">
        <f t="shared" si="7"/>
        <v>24.8</v>
      </c>
      <c r="J84" s="274"/>
      <c r="K84" s="274"/>
      <c r="L84" s="276">
        <v>24.8</v>
      </c>
      <c r="M84" s="32"/>
      <c r="N84" s="38"/>
      <c r="O84" s="2292" t="s">
        <v>155</v>
      </c>
      <c r="P84" s="571">
        <v>100</v>
      </c>
      <c r="Q84" s="164"/>
      <c r="R84" s="165"/>
    </row>
    <row r="85" spans="1:18" ht="13.5" customHeight="1" x14ac:dyDescent="0.2">
      <c r="A85" s="148"/>
      <c r="B85" s="460"/>
      <c r="C85" s="442"/>
      <c r="D85" s="1955"/>
      <c r="E85" s="545"/>
      <c r="F85" s="558"/>
      <c r="G85" s="223"/>
      <c r="H85" s="170" t="s">
        <v>6</v>
      </c>
      <c r="I85" s="288"/>
      <c r="J85" s="274"/>
      <c r="K85" s="274"/>
      <c r="L85" s="276"/>
      <c r="M85" s="508"/>
      <c r="N85" s="10"/>
      <c r="O85" s="2293"/>
      <c r="P85" s="166"/>
      <c r="Q85" s="564"/>
      <c r="R85" s="167"/>
    </row>
    <row r="86" spans="1:18" ht="13.5" customHeight="1" x14ac:dyDescent="0.2">
      <c r="A86" s="148"/>
      <c r="B86" s="553"/>
      <c r="C86" s="568"/>
      <c r="D86" s="1955"/>
      <c r="E86" s="545"/>
      <c r="F86" s="558"/>
      <c r="G86" s="223"/>
      <c r="H86" s="343" t="s">
        <v>23</v>
      </c>
      <c r="I86" s="361">
        <f>J86+L86</f>
        <v>24.8</v>
      </c>
      <c r="J86" s="295"/>
      <c r="K86" s="295"/>
      <c r="L86" s="364">
        <f>SUM(L84:L85)</f>
        <v>24.8</v>
      </c>
      <c r="M86" s="365"/>
      <c r="N86" s="362"/>
      <c r="O86" s="168"/>
      <c r="P86" s="549"/>
      <c r="Q86" s="564"/>
      <c r="R86" s="167"/>
    </row>
    <row r="87" spans="1:18" ht="13.5" customHeight="1" thickBot="1" x14ac:dyDescent="0.25">
      <c r="A87" s="148"/>
      <c r="B87" s="553"/>
      <c r="C87" s="566"/>
      <c r="D87" s="1958"/>
      <c r="E87" s="1981" t="s">
        <v>210</v>
      </c>
      <c r="F87" s="1982"/>
      <c r="G87" s="1982"/>
      <c r="H87" s="1983"/>
      <c r="I87" s="292">
        <f t="shared" ref="I87:N87" si="8">I86+I83+I79+I75+I72+I70+I67</f>
        <v>2314.3000000000002</v>
      </c>
      <c r="J87" s="293">
        <f t="shared" si="8"/>
        <v>28</v>
      </c>
      <c r="K87" s="292">
        <f t="shared" si="8"/>
        <v>22.3</v>
      </c>
      <c r="L87" s="314">
        <f t="shared" si="8"/>
        <v>2286.3000000000002</v>
      </c>
      <c r="M87" s="301">
        <f t="shared" si="8"/>
        <v>0</v>
      </c>
      <c r="N87" s="302">
        <f t="shared" si="8"/>
        <v>0</v>
      </c>
      <c r="O87" s="523"/>
      <c r="P87" s="447"/>
      <c r="Q87" s="524"/>
      <c r="R87" s="384"/>
    </row>
    <row r="88" spans="1:18" ht="27.75" customHeight="1" x14ac:dyDescent="0.2">
      <c r="A88" s="601" t="s">
        <v>24</v>
      </c>
      <c r="B88" s="604" t="s">
        <v>20</v>
      </c>
      <c r="C88" s="594" t="s">
        <v>24</v>
      </c>
      <c r="D88" s="127" t="s">
        <v>46</v>
      </c>
      <c r="E88" s="526" t="s">
        <v>4</v>
      </c>
      <c r="F88" s="613" t="s">
        <v>21</v>
      </c>
      <c r="G88" s="125">
        <v>5</v>
      </c>
      <c r="H88" s="527"/>
      <c r="I88" s="277"/>
      <c r="J88" s="278"/>
      <c r="K88" s="278"/>
      <c r="L88" s="277"/>
      <c r="M88" s="22"/>
      <c r="N88" s="19"/>
      <c r="O88" s="105"/>
      <c r="P88" s="618"/>
      <c r="Q88" s="87"/>
      <c r="R88" s="620"/>
    </row>
    <row r="89" spans="1:18" s="4" customFormat="1" ht="23.25" customHeight="1" x14ac:dyDescent="0.2">
      <c r="A89" s="148"/>
      <c r="B89" s="607"/>
      <c r="C89" s="614"/>
      <c r="D89" s="2031" t="s">
        <v>174</v>
      </c>
      <c r="E89" s="610"/>
      <c r="F89" s="600"/>
      <c r="G89" s="223"/>
      <c r="H89" s="171" t="s">
        <v>53</v>
      </c>
      <c r="I89" s="283">
        <f>J89+L89</f>
        <v>725.7</v>
      </c>
      <c r="J89" s="281"/>
      <c r="K89" s="281"/>
      <c r="L89" s="283">
        <v>725.7</v>
      </c>
      <c r="M89" s="124"/>
      <c r="N89" s="36"/>
      <c r="O89" s="1951" t="s">
        <v>152</v>
      </c>
      <c r="P89" s="149"/>
      <c r="Q89" s="88"/>
      <c r="R89" s="99"/>
    </row>
    <row r="90" spans="1:18" s="4" customFormat="1" ht="23.25" customHeight="1" x14ac:dyDescent="0.2">
      <c r="A90" s="148"/>
      <c r="B90" s="607"/>
      <c r="C90" s="614"/>
      <c r="D90" s="2032"/>
      <c r="E90" s="610"/>
      <c r="F90" s="600"/>
      <c r="G90" s="223"/>
      <c r="H90" s="625" t="s">
        <v>5</v>
      </c>
      <c r="I90" s="283">
        <f>J90+L90</f>
        <v>38.1</v>
      </c>
      <c r="J90" s="274"/>
      <c r="K90" s="274"/>
      <c r="L90" s="275">
        <v>38.1</v>
      </c>
      <c r="M90" s="32"/>
      <c r="N90" s="37"/>
      <c r="O90" s="2064"/>
      <c r="P90" s="623"/>
      <c r="Q90" s="89"/>
      <c r="R90" s="622"/>
    </row>
    <row r="91" spans="1:18" s="4" customFormat="1" ht="23.25" customHeight="1" x14ac:dyDescent="0.2">
      <c r="A91" s="148"/>
      <c r="B91" s="607"/>
      <c r="C91" s="614"/>
      <c r="D91" s="2032"/>
      <c r="E91" s="610"/>
      <c r="F91" s="600"/>
      <c r="G91" s="223"/>
      <c r="H91" s="625" t="s">
        <v>6</v>
      </c>
      <c r="I91" s="283">
        <f>J91+L91</f>
        <v>216.1</v>
      </c>
      <c r="J91" s="274"/>
      <c r="K91" s="274"/>
      <c r="L91" s="275">
        <v>216.1</v>
      </c>
      <c r="M91" s="32"/>
      <c r="N91" s="37"/>
      <c r="O91" s="2064"/>
      <c r="P91" s="623"/>
      <c r="Q91" s="89"/>
      <c r="R91" s="622"/>
    </row>
    <row r="92" spans="1:18" s="4" customFormat="1" ht="23.25" customHeight="1" x14ac:dyDescent="0.2">
      <c r="A92" s="148"/>
      <c r="B92" s="607"/>
      <c r="C92" s="614"/>
      <c r="D92" s="2033"/>
      <c r="E92" s="610"/>
      <c r="F92" s="600"/>
      <c r="G92" s="223"/>
      <c r="H92" s="343" t="s">
        <v>23</v>
      </c>
      <c r="I92" s="346">
        <f>I91+I90+I89+I88</f>
        <v>979.9</v>
      </c>
      <c r="J92" s="345">
        <f>J91+J90+J89+J88</f>
        <v>0</v>
      </c>
      <c r="K92" s="345">
        <f>K91+K90+K89+K88</f>
        <v>0</v>
      </c>
      <c r="L92" s="346">
        <f>L91+L90+L89+L88</f>
        <v>979.9</v>
      </c>
      <c r="M92" s="590"/>
      <c r="N92" s="275"/>
      <c r="O92" s="2064"/>
      <c r="P92" s="623">
        <v>100</v>
      </c>
      <c r="Q92" s="89"/>
      <c r="R92" s="622"/>
    </row>
    <row r="93" spans="1:18" s="4" customFormat="1" ht="21" customHeight="1" x14ac:dyDescent="0.2">
      <c r="A93" s="148"/>
      <c r="B93" s="607"/>
      <c r="C93" s="614"/>
      <c r="D93" s="2031" t="s">
        <v>185</v>
      </c>
      <c r="E93" s="610"/>
      <c r="F93" s="600"/>
      <c r="G93" s="223"/>
      <c r="H93" s="171" t="s">
        <v>53</v>
      </c>
      <c r="I93" s="283">
        <f>J93+L93</f>
        <v>362.1</v>
      </c>
      <c r="J93" s="281"/>
      <c r="K93" s="281"/>
      <c r="L93" s="283">
        <v>362.1</v>
      </c>
      <c r="M93" s="32"/>
      <c r="N93" s="38"/>
      <c r="O93" s="1951" t="s">
        <v>153</v>
      </c>
      <c r="P93" s="149"/>
      <c r="Q93" s="88"/>
      <c r="R93" s="99"/>
    </row>
    <row r="94" spans="1:18" s="4" customFormat="1" ht="21" customHeight="1" x14ac:dyDescent="0.2">
      <c r="A94" s="148"/>
      <c r="B94" s="607"/>
      <c r="C94" s="614"/>
      <c r="D94" s="2032"/>
      <c r="E94" s="610"/>
      <c r="F94" s="600"/>
      <c r="G94" s="223"/>
      <c r="H94" s="625" t="s">
        <v>5</v>
      </c>
      <c r="I94" s="283"/>
      <c r="J94" s="274"/>
      <c r="K94" s="274"/>
      <c r="L94" s="275"/>
      <c r="M94" s="508"/>
      <c r="N94" s="10"/>
      <c r="O94" s="2064"/>
      <c r="P94" s="623"/>
      <c r="Q94" s="89"/>
      <c r="R94" s="622"/>
    </row>
    <row r="95" spans="1:18" s="4" customFormat="1" ht="21" customHeight="1" x14ac:dyDescent="0.2">
      <c r="A95" s="148"/>
      <c r="B95" s="607"/>
      <c r="C95" s="614"/>
      <c r="D95" s="2032"/>
      <c r="E95" s="610"/>
      <c r="F95" s="600"/>
      <c r="G95" s="223"/>
      <c r="H95" s="625" t="s">
        <v>163</v>
      </c>
      <c r="I95" s="283">
        <f>J95+L95</f>
        <v>1389.2</v>
      </c>
      <c r="J95" s="274"/>
      <c r="K95" s="274"/>
      <c r="L95" s="275">
        <v>1389.2</v>
      </c>
      <c r="M95" s="525"/>
      <c r="N95" s="10"/>
      <c r="O95" s="2064"/>
      <c r="P95" s="623"/>
      <c r="Q95" s="89"/>
      <c r="R95" s="622"/>
    </row>
    <row r="96" spans="1:18" s="4" customFormat="1" ht="18.75" customHeight="1" x14ac:dyDescent="0.2">
      <c r="A96" s="148"/>
      <c r="B96" s="607"/>
      <c r="C96" s="147"/>
      <c r="D96" s="2032"/>
      <c r="E96" s="610"/>
      <c r="F96" s="600"/>
      <c r="G96" s="223"/>
      <c r="H96" s="343" t="s">
        <v>23</v>
      </c>
      <c r="I96" s="346">
        <f>SUM(I93:I95)</f>
        <v>1751.3</v>
      </c>
      <c r="J96" s="345">
        <f>J95+J94+J93+J92</f>
        <v>0</v>
      </c>
      <c r="K96" s="345">
        <f>K95+K94+K93+K92</f>
        <v>0</v>
      </c>
      <c r="L96" s="346">
        <f>SUM(L93:L95)</f>
        <v>1751.3</v>
      </c>
      <c r="M96" s="590"/>
      <c r="N96" s="427"/>
      <c r="O96" s="2064"/>
      <c r="P96" s="623">
        <v>100</v>
      </c>
      <c r="Q96" s="89"/>
      <c r="R96" s="622"/>
    </row>
    <row r="97" spans="1:19" ht="26.25" customHeight="1" x14ac:dyDescent="0.2">
      <c r="A97" s="148"/>
      <c r="B97" s="607"/>
      <c r="C97" s="599"/>
      <c r="D97" s="608" t="s">
        <v>175</v>
      </c>
      <c r="E97" s="468"/>
      <c r="F97" s="600"/>
      <c r="G97" s="611"/>
      <c r="H97" s="12" t="s">
        <v>22</v>
      </c>
      <c r="I97" s="283">
        <f>J97+L97</f>
        <v>100</v>
      </c>
      <c r="J97" s="281"/>
      <c r="K97" s="281"/>
      <c r="L97" s="283">
        <v>100</v>
      </c>
      <c r="M97" s="122">
        <v>900</v>
      </c>
      <c r="N97" s="37">
        <v>600</v>
      </c>
      <c r="O97" s="579" t="s">
        <v>158</v>
      </c>
      <c r="P97" s="580"/>
      <c r="Q97" s="580">
        <v>1</v>
      </c>
      <c r="R97" s="581" t="s">
        <v>208</v>
      </c>
    </row>
    <row r="98" spans="1:19" ht="14.25" customHeight="1" x14ac:dyDescent="0.2">
      <c r="A98" s="148"/>
      <c r="B98" s="607"/>
      <c r="C98" s="599"/>
      <c r="D98" s="609"/>
      <c r="E98" s="468"/>
      <c r="F98" s="600"/>
      <c r="G98" s="223"/>
      <c r="H98" s="626" t="s">
        <v>6</v>
      </c>
      <c r="I98" s="275"/>
      <c r="J98" s="274"/>
      <c r="K98" s="274"/>
      <c r="L98" s="275"/>
      <c r="M98" s="56"/>
      <c r="N98" s="36">
        <v>3400</v>
      </c>
      <c r="O98" s="1951" t="s">
        <v>157</v>
      </c>
      <c r="P98" s="92"/>
      <c r="Q98" s="89">
        <v>20</v>
      </c>
      <c r="R98" s="622">
        <v>80</v>
      </c>
    </row>
    <row r="99" spans="1:19" ht="14.25" customHeight="1" thickBot="1" x14ac:dyDescent="0.25">
      <c r="A99" s="602"/>
      <c r="B99" s="605"/>
      <c r="C99" s="595"/>
      <c r="D99" s="612"/>
      <c r="E99" s="631"/>
      <c r="F99" s="596"/>
      <c r="G99" s="224"/>
      <c r="H99" s="299" t="s">
        <v>23</v>
      </c>
      <c r="I99" s="318">
        <f>J99+L99</f>
        <v>100</v>
      </c>
      <c r="J99" s="321"/>
      <c r="K99" s="321"/>
      <c r="L99" s="318">
        <f>SUM(L97:L98)</f>
        <v>100</v>
      </c>
      <c r="M99" s="316">
        <f>SUM(M97:M98)</f>
        <v>900</v>
      </c>
      <c r="N99" s="317">
        <f>SUM(N97:N98)</f>
        <v>4000</v>
      </c>
      <c r="O99" s="1952"/>
      <c r="P99" s="619"/>
      <c r="Q99" s="81"/>
      <c r="R99" s="621"/>
    </row>
    <row r="100" spans="1:19" ht="12" customHeight="1" x14ac:dyDescent="0.2">
      <c r="A100" s="148"/>
      <c r="B100" s="553"/>
      <c r="C100" s="568"/>
      <c r="D100" s="2030" t="s">
        <v>166</v>
      </c>
      <c r="E100" s="528"/>
      <c r="F100" s="558"/>
      <c r="G100" s="223"/>
      <c r="H100" s="624" t="s">
        <v>6</v>
      </c>
      <c r="I100" s="352"/>
      <c r="J100" s="353"/>
      <c r="K100" s="353"/>
      <c r="L100" s="633"/>
      <c r="M100" s="110"/>
      <c r="N100" s="111">
        <v>100</v>
      </c>
      <c r="O100" s="634" t="s">
        <v>146</v>
      </c>
      <c r="P100" s="529"/>
      <c r="Q100" s="635"/>
      <c r="R100" s="478">
        <v>1</v>
      </c>
      <c r="S100" s="109"/>
    </row>
    <row r="101" spans="1:19" ht="12" customHeight="1" x14ac:dyDescent="0.2">
      <c r="A101" s="551"/>
      <c r="B101" s="553"/>
      <c r="C101" s="568"/>
      <c r="D101" s="2030"/>
      <c r="E101" s="479"/>
      <c r="F101" s="558"/>
      <c r="G101" s="546"/>
      <c r="H101" s="381" t="s">
        <v>23</v>
      </c>
      <c r="I101" s="483"/>
      <c r="J101" s="482"/>
      <c r="K101" s="482"/>
      <c r="L101" s="481"/>
      <c r="M101" s="588"/>
      <c r="N101" s="587">
        <f>N100</f>
        <v>100</v>
      </c>
      <c r="O101" s="484"/>
      <c r="P101" s="578"/>
      <c r="Q101" s="89"/>
      <c r="R101" s="577"/>
    </row>
    <row r="102" spans="1:19" ht="13.5" customHeight="1" thickBot="1" x14ac:dyDescent="0.25">
      <c r="A102" s="550"/>
      <c r="B102" s="563"/>
      <c r="C102" s="228"/>
      <c r="D102" s="559"/>
      <c r="E102" s="1981" t="s">
        <v>210</v>
      </c>
      <c r="F102" s="1982"/>
      <c r="G102" s="1982"/>
      <c r="H102" s="1983"/>
      <c r="I102" s="322">
        <f>I101+I99+I96+I92</f>
        <v>2831.2</v>
      </c>
      <c r="J102" s="321">
        <f t="shared" ref="J102:N102" si="9">J101+J99+J96+J92</f>
        <v>0</v>
      </c>
      <c r="K102" s="321">
        <f t="shared" si="9"/>
        <v>0</v>
      </c>
      <c r="L102" s="318">
        <f t="shared" si="9"/>
        <v>2831.2</v>
      </c>
      <c r="M102" s="322">
        <f t="shared" si="9"/>
        <v>900</v>
      </c>
      <c r="N102" s="322">
        <f t="shared" si="9"/>
        <v>4100</v>
      </c>
      <c r="O102" s="69"/>
      <c r="P102" s="574"/>
      <c r="Q102" s="81"/>
      <c r="R102" s="576"/>
    </row>
    <row r="103" spans="1:19" ht="27" customHeight="1" x14ac:dyDescent="0.2">
      <c r="A103" s="148" t="s">
        <v>24</v>
      </c>
      <c r="B103" s="390" t="s">
        <v>20</v>
      </c>
      <c r="C103" s="155" t="s">
        <v>26</v>
      </c>
      <c r="D103" s="128" t="s">
        <v>52</v>
      </c>
      <c r="E103" s="545"/>
      <c r="F103" s="221"/>
      <c r="G103" s="567"/>
      <c r="H103" s="428"/>
      <c r="I103" s="326"/>
      <c r="J103" s="291"/>
      <c r="K103" s="291"/>
      <c r="L103" s="327"/>
      <c r="M103" s="41"/>
      <c r="N103" s="41"/>
      <c r="O103" s="589"/>
      <c r="P103" s="578"/>
      <c r="Q103" s="89"/>
      <c r="R103" s="577"/>
    </row>
    <row r="104" spans="1:19" ht="36.75" customHeight="1" x14ac:dyDescent="0.2">
      <c r="A104" s="148"/>
      <c r="B104" s="390"/>
      <c r="C104" s="155"/>
      <c r="D104" s="1955" t="s">
        <v>186</v>
      </c>
      <c r="E104" s="489" t="s">
        <v>125</v>
      </c>
      <c r="F104" s="2024" t="s">
        <v>21</v>
      </c>
      <c r="G104" s="2175">
        <v>2</v>
      </c>
      <c r="H104" s="415" t="s">
        <v>22</v>
      </c>
      <c r="I104" s="352">
        <f>J104+L104</f>
        <v>75</v>
      </c>
      <c r="J104" s="353">
        <v>75</v>
      </c>
      <c r="K104" s="353"/>
      <c r="L104" s="354"/>
      <c r="M104" s="110"/>
      <c r="N104" s="111"/>
      <c r="O104" s="2048" t="s">
        <v>145</v>
      </c>
      <c r="P104" s="464">
        <v>1</v>
      </c>
      <c r="Q104" s="89"/>
      <c r="R104" s="461"/>
    </row>
    <row r="105" spans="1:19" ht="13.5" customHeight="1" thickBot="1" x14ac:dyDescent="0.25">
      <c r="A105" s="148"/>
      <c r="B105" s="460"/>
      <c r="C105" s="155"/>
      <c r="D105" s="1955"/>
      <c r="E105" s="637" t="s">
        <v>60</v>
      </c>
      <c r="F105" s="2024"/>
      <c r="G105" s="2175"/>
      <c r="H105" s="343" t="s">
        <v>23</v>
      </c>
      <c r="I105" s="344">
        <f>J105+L105</f>
        <v>75</v>
      </c>
      <c r="J105" s="345">
        <f>J104</f>
        <v>75</v>
      </c>
      <c r="K105" s="345">
        <f>K104</f>
        <v>0</v>
      </c>
      <c r="L105" s="349">
        <f>L104</f>
        <v>0</v>
      </c>
      <c r="M105" s="351">
        <f>SUM(M104)</f>
        <v>0</v>
      </c>
      <c r="N105" s="350">
        <f>SUM(N104)</f>
        <v>0</v>
      </c>
      <c r="O105" s="2049"/>
      <c r="P105" s="83"/>
      <c r="Q105" s="80"/>
      <c r="R105" s="454"/>
    </row>
    <row r="106" spans="1:19" ht="39" customHeight="1" x14ac:dyDescent="0.2">
      <c r="A106" s="395" t="s">
        <v>24</v>
      </c>
      <c r="B106" s="391" t="s">
        <v>20</v>
      </c>
      <c r="C106" s="405" t="s">
        <v>28</v>
      </c>
      <c r="D106" s="2072" t="s">
        <v>200</v>
      </c>
      <c r="E106" s="2025"/>
      <c r="F106" s="199" t="s">
        <v>21</v>
      </c>
      <c r="G106" s="200">
        <v>6</v>
      </c>
      <c r="H106" s="416"/>
      <c r="I106" s="323"/>
      <c r="J106" s="324"/>
      <c r="K106" s="324"/>
      <c r="L106" s="325"/>
      <c r="M106" s="63"/>
      <c r="N106" s="63"/>
      <c r="O106" s="2"/>
      <c r="P106" s="92"/>
      <c r="Q106" s="89"/>
      <c r="R106" s="402"/>
    </row>
    <row r="107" spans="1:19" ht="12.75" customHeight="1" x14ac:dyDescent="0.2">
      <c r="A107" s="148"/>
      <c r="B107" s="390"/>
      <c r="C107" s="407"/>
      <c r="D107" s="2041"/>
      <c r="E107" s="2026"/>
      <c r="F107" s="126"/>
      <c r="G107" s="409"/>
      <c r="H107" s="415" t="s">
        <v>22</v>
      </c>
      <c r="I107" s="326">
        <f>J107+L107</f>
        <v>800</v>
      </c>
      <c r="J107" s="291">
        <v>800</v>
      </c>
      <c r="K107" s="291"/>
      <c r="L107" s="327"/>
      <c r="M107" s="41"/>
      <c r="N107" s="41"/>
      <c r="O107" s="2048" t="s">
        <v>78</v>
      </c>
      <c r="P107" s="399">
        <v>4</v>
      </c>
      <c r="Q107" s="89"/>
      <c r="R107" s="402"/>
    </row>
    <row r="108" spans="1:19" ht="13.5" customHeight="1" x14ac:dyDescent="0.2">
      <c r="A108" s="148"/>
      <c r="B108" s="390"/>
      <c r="C108" s="407"/>
      <c r="D108" s="128" t="s">
        <v>201</v>
      </c>
      <c r="E108" s="2026"/>
      <c r="F108" s="126"/>
      <c r="G108" s="409"/>
      <c r="H108" s="12"/>
      <c r="I108" s="328"/>
      <c r="J108" s="329"/>
      <c r="K108" s="329"/>
      <c r="L108" s="330"/>
      <c r="M108" s="39"/>
      <c r="N108" s="39"/>
      <c r="O108" s="2048"/>
      <c r="P108" s="399"/>
      <c r="Q108" s="89"/>
      <c r="R108" s="402"/>
    </row>
    <row r="109" spans="1:19" ht="13.5" customHeight="1" x14ac:dyDescent="0.2">
      <c r="A109" s="148"/>
      <c r="B109" s="390"/>
      <c r="C109" s="407"/>
      <c r="D109" s="128" t="s">
        <v>202</v>
      </c>
      <c r="E109" s="2026"/>
      <c r="F109" s="126"/>
      <c r="G109" s="409"/>
      <c r="H109" s="415"/>
      <c r="I109" s="326"/>
      <c r="J109" s="291"/>
      <c r="K109" s="291"/>
      <c r="L109" s="327"/>
      <c r="M109" s="41"/>
      <c r="N109" s="41"/>
      <c r="O109" s="2048"/>
      <c r="P109" s="399"/>
      <c r="Q109" s="89"/>
      <c r="R109" s="402"/>
    </row>
    <row r="110" spans="1:19" ht="13.5" customHeight="1" x14ac:dyDescent="0.2">
      <c r="A110" s="148"/>
      <c r="B110" s="390"/>
      <c r="C110" s="407"/>
      <c r="D110" s="128" t="s">
        <v>203</v>
      </c>
      <c r="E110" s="2026"/>
      <c r="F110" s="126"/>
      <c r="G110" s="409"/>
      <c r="H110" s="12"/>
      <c r="I110" s="328"/>
      <c r="J110" s="329"/>
      <c r="K110" s="329"/>
      <c r="L110" s="330"/>
      <c r="M110" s="39"/>
      <c r="N110" s="39"/>
      <c r="O110" s="2048"/>
      <c r="P110" s="399"/>
      <c r="Q110" s="89"/>
      <c r="R110" s="402"/>
    </row>
    <row r="111" spans="1:19" ht="14.25" customHeight="1" thickBot="1" x14ac:dyDescent="0.25">
      <c r="A111" s="396"/>
      <c r="B111" s="392"/>
      <c r="C111" s="389"/>
      <c r="D111" s="128" t="s">
        <v>204</v>
      </c>
      <c r="E111" s="2027"/>
      <c r="F111" s="411"/>
      <c r="G111" s="151"/>
      <c r="H111" s="299" t="s">
        <v>23</v>
      </c>
      <c r="I111" s="300">
        <f>SUM(I107:I110)</f>
        <v>800</v>
      </c>
      <c r="J111" s="293">
        <f>SUM(J107:J110)</f>
        <v>800</v>
      </c>
      <c r="K111" s="321"/>
      <c r="L111" s="317"/>
      <c r="M111" s="316">
        <f>SUM(M106:M110)</f>
        <v>0</v>
      </c>
      <c r="N111" s="317">
        <f>SUM(N106:N110)</f>
        <v>0</v>
      </c>
      <c r="O111" s="70"/>
      <c r="P111" s="79"/>
      <c r="Q111" s="80"/>
      <c r="R111" s="403"/>
    </row>
    <row r="112" spans="1:19" ht="27" customHeight="1" x14ac:dyDescent="0.2">
      <c r="A112" s="457" t="s">
        <v>24</v>
      </c>
      <c r="B112" s="459" t="s">
        <v>20</v>
      </c>
      <c r="C112" s="594" t="s">
        <v>29</v>
      </c>
      <c r="D112" s="127" t="s">
        <v>187</v>
      </c>
      <c r="E112" s="2025" t="s">
        <v>126</v>
      </c>
      <c r="F112" s="2023" t="s">
        <v>21</v>
      </c>
      <c r="G112" s="172"/>
      <c r="H112" s="13"/>
      <c r="I112" s="331"/>
      <c r="J112" s="290"/>
      <c r="K112" s="290"/>
      <c r="L112" s="385"/>
      <c r="M112" s="7"/>
      <c r="N112" s="64"/>
      <c r="O112" s="522"/>
      <c r="P112" s="674"/>
      <c r="Q112" s="87"/>
      <c r="R112" s="675"/>
    </row>
    <row r="113" spans="1:18" ht="14.25" customHeight="1" x14ac:dyDescent="0.2">
      <c r="A113" s="148"/>
      <c r="B113" s="460"/>
      <c r="C113" s="599"/>
      <c r="D113" s="2040" t="s">
        <v>143</v>
      </c>
      <c r="E113" s="2026"/>
      <c r="F113" s="2024"/>
      <c r="G113" s="450">
        <v>2</v>
      </c>
      <c r="H113" s="432" t="s">
        <v>22</v>
      </c>
      <c r="I113" s="333">
        <f>J113+L113</f>
        <v>10</v>
      </c>
      <c r="J113" s="274">
        <v>10</v>
      </c>
      <c r="K113" s="274"/>
      <c r="L113" s="427"/>
      <c r="M113" s="37">
        <v>50</v>
      </c>
      <c r="N113" s="32">
        <v>50</v>
      </c>
      <c r="O113" s="2170" t="s">
        <v>124</v>
      </c>
      <c r="P113" s="665">
        <v>1</v>
      </c>
      <c r="Q113" s="88"/>
      <c r="R113" s="669"/>
    </row>
    <row r="114" spans="1:18" ht="15" customHeight="1" x14ac:dyDescent="0.2">
      <c r="A114" s="148"/>
      <c r="B114" s="553"/>
      <c r="C114" s="599"/>
      <c r="D114" s="2041"/>
      <c r="E114" s="2026"/>
      <c r="F114" s="2024"/>
      <c r="G114" s="673">
        <v>6</v>
      </c>
      <c r="H114" s="681" t="s">
        <v>22</v>
      </c>
      <c r="I114" s="333">
        <f>J114+L114</f>
        <v>450</v>
      </c>
      <c r="J114" s="274">
        <v>450</v>
      </c>
      <c r="K114" s="295"/>
      <c r="L114" s="362"/>
      <c r="M114" s="682"/>
      <c r="N114" s="683"/>
      <c r="O114" s="2048"/>
      <c r="P114" s="666"/>
      <c r="Q114" s="89"/>
      <c r="R114" s="672"/>
    </row>
    <row r="115" spans="1:18" ht="15" customHeight="1" thickBot="1" x14ac:dyDescent="0.25">
      <c r="A115" s="677"/>
      <c r="B115" s="656"/>
      <c r="C115" s="667"/>
      <c r="D115" s="671"/>
      <c r="E115" s="662"/>
      <c r="F115" s="126"/>
      <c r="G115" s="668"/>
      <c r="H115" s="299" t="s">
        <v>23</v>
      </c>
      <c r="I115" s="300">
        <f>SUM(I113:I114)</f>
        <v>460</v>
      </c>
      <c r="J115" s="293">
        <f t="shared" ref="J115:N115" si="10">SUM(J113:J114)</f>
        <v>460</v>
      </c>
      <c r="K115" s="293"/>
      <c r="L115" s="292"/>
      <c r="M115" s="300">
        <f t="shared" si="10"/>
        <v>50</v>
      </c>
      <c r="N115" s="300">
        <f t="shared" si="10"/>
        <v>50</v>
      </c>
      <c r="O115" s="664"/>
      <c r="P115" s="447"/>
      <c r="Q115" s="81"/>
      <c r="R115" s="670"/>
    </row>
    <row r="116" spans="1:18" ht="26.25" customHeight="1" x14ac:dyDescent="0.2">
      <c r="A116" s="148"/>
      <c r="B116" s="390"/>
      <c r="C116" s="407"/>
      <c r="D116" s="2045" t="s">
        <v>190</v>
      </c>
      <c r="E116" s="684" t="s">
        <v>4</v>
      </c>
      <c r="F116" s="660"/>
      <c r="G116" s="2046">
        <v>5</v>
      </c>
      <c r="H116" s="433" t="s">
        <v>7</v>
      </c>
      <c r="I116" s="518">
        <f>J116+L116</f>
        <v>50</v>
      </c>
      <c r="J116" s="265"/>
      <c r="K116" s="265"/>
      <c r="L116" s="519">
        <v>50</v>
      </c>
      <c r="M116" s="680">
        <v>1000</v>
      </c>
      <c r="N116" s="184"/>
      <c r="O116" s="520" t="s">
        <v>158</v>
      </c>
      <c r="P116" s="443"/>
      <c r="Q116" s="443">
        <v>1</v>
      </c>
      <c r="R116" s="521"/>
    </row>
    <row r="117" spans="1:18" ht="16.5" customHeight="1" x14ac:dyDescent="0.2">
      <c r="A117" s="148"/>
      <c r="B117" s="390"/>
      <c r="C117" s="407"/>
      <c r="D117" s="1955"/>
      <c r="E117" s="685" t="s">
        <v>219</v>
      </c>
      <c r="F117" s="661"/>
      <c r="G117" s="2047"/>
      <c r="H117" s="432" t="s">
        <v>22</v>
      </c>
      <c r="I117" s="333"/>
      <c r="J117" s="274"/>
      <c r="K117" s="274"/>
      <c r="L117" s="427"/>
      <c r="M117" s="37"/>
      <c r="N117" s="32">
        <v>1050</v>
      </c>
      <c r="O117" s="2059" t="s">
        <v>165</v>
      </c>
      <c r="P117" s="149"/>
      <c r="Q117" s="88">
        <v>20</v>
      </c>
      <c r="R117" s="438">
        <v>100</v>
      </c>
    </row>
    <row r="118" spans="1:18" ht="15" customHeight="1" x14ac:dyDescent="0.2">
      <c r="A118" s="458"/>
      <c r="B118" s="460"/>
      <c r="C118" s="442"/>
      <c r="D118" s="609"/>
      <c r="E118" s="479"/>
      <c r="F118" s="661"/>
      <c r="G118" s="663"/>
      <c r="H118" s="686" t="s">
        <v>23</v>
      </c>
      <c r="I118" s="304">
        <f>SUM(I116:I117)</f>
        <v>50</v>
      </c>
      <c r="J118" s="294"/>
      <c r="K118" s="294"/>
      <c r="L118" s="362">
        <f t="shared" ref="L118" si="11">SUM(L113:L117)</f>
        <v>50</v>
      </c>
      <c r="M118" s="364">
        <f>SUM(M116:M117)</f>
        <v>1000</v>
      </c>
      <c r="N118" s="365">
        <f>SUM(N116:N117)</f>
        <v>1050</v>
      </c>
      <c r="O118" s="2060"/>
      <c r="P118" s="464"/>
      <c r="Q118" s="89"/>
      <c r="R118" s="439"/>
    </row>
    <row r="119" spans="1:18" ht="15" customHeight="1" thickBot="1" x14ac:dyDescent="0.25">
      <c r="A119" s="657"/>
      <c r="B119" s="656"/>
      <c r="C119" s="667"/>
      <c r="D119" s="655"/>
      <c r="E119" s="1981" t="s">
        <v>210</v>
      </c>
      <c r="F119" s="1982"/>
      <c r="G119" s="1982"/>
      <c r="H119" s="1983"/>
      <c r="I119" s="300">
        <f>I118+I115</f>
        <v>510</v>
      </c>
      <c r="J119" s="293">
        <f t="shared" ref="J119:N119" si="12">J118+J115</f>
        <v>460</v>
      </c>
      <c r="K119" s="292"/>
      <c r="L119" s="296">
        <f t="shared" si="12"/>
        <v>50</v>
      </c>
      <c r="M119" s="300">
        <f t="shared" si="12"/>
        <v>1050</v>
      </c>
      <c r="N119" s="300">
        <f t="shared" si="12"/>
        <v>1100</v>
      </c>
      <c r="O119" s="654"/>
      <c r="P119" s="676"/>
      <c r="Q119" s="89"/>
      <c r="R119" s="672"/>
    </row>
    <row r="120" spans="1:18" ht="14.25" customHeight="1" x14ac:dyDescent="0.2">
      <c r="A120" s="386" t="s">
        <v>24</v>
      </c>
      <c r="B120" s="391" t="s">
        <v>20</v>
      </c>
      <c r="C120" s="2163" t="s">
        <v>30</v>
      </c>
      <c r="D120" s="2019" t="s">
        <v>156</v>
      </c>
      <c r="E120" s="2173"/>
      <c r="F120" s="2021" t="s">
        <v>21</v>
      </c>
      <c r="G120" s="2171">
        <v>5</v>
      </c>
      <c r="H120" s="687" t="s">
        <v>6</v>
      </c>
      <c r="I120" s="688"/>
      <c r="J120" s="265"/>
      <c r="K120" s="689"/>
      <c r="L120" s="690"/>
      <c r="M120" s="21">
        <v>784.1</v>
      </c>
      <c r="N120" s="691"/>
      <c r="O120" s="2081" t="s">
        <v>159</v>
      </c>
      <c r="P120" s="398"/>
      <c r="Q120" s="87">
        <v>100</v>
      </c>
      <c r="R120" s="401"/>
    </row>
    <row r="121" spans="1:18" ht="14.25" customHeight="1" thickBot="1" x14ac:dyDescent="0.25">
      <c r="A121" s="387"/>
      <c r="B121" s="392"/>
      <c r="C121" s="2299"/>
      <c r="D121" s="2020"/>
      <c r="E121" s="2174"/>
      <c r="F121" s="2022"/>
      <c r="G121" s="2172"/>
      <c r="H121" s="313" t="s">
        <v>23</v>
      </c>
      <c r="I121" s="322"/>
      <c r="J121" s="321"/>
      <c r="K121" s="321"/>
      <c r="L121" s="317"/>
      <c r="M121" s="316">
        <f>M120</f>
        <v>784.1</v>
      </c>
      <c r="N121" s="317"/>
      <c r="O121" s="2082"/>
      <c r="P121" s="79"/>
      <c r="Q121" s="80"/>
      <c r="R121" s="403"/>
    </row>
    <row r="122" spans="1:18" ht="16.5" customHeight="1" x14ac:dyDescent="0.2">
      <c r="A122" s="639" t="s">
        <v>24</v>
      </c>
      <c r="B122" s="641" t="s">
        <v>20</v>
      </c>
      <c r="C122" s="2163" t="s">
        <v>55</v>
      </c>
      <c r="D122" s="2019" t="s">
        <v>218</v>
      </c>
      <c r="E122" s="2300"/>
      <c r="F122" s="2301" t="s">
        <v>21</v>
      </c>
      <c r="G122" s="2302">
        <v>5</v>
      </c>
      <c r="H122" s="173" t="s">
        <v>163</v>
      </c>
      <c r="I122" s="335"/>
      <c r="J122" s="281"/>
      <c r="K122" s="336"/>
      <c r="L122" s="337"/>
      <c r="M122" s="36"/>
      <c r="N122" s="42">
        <v>50</v>
      </c>
      <c r="O122" s="2081" t="s">
        <v>159</v>
      </c>
      <c r="P122" s="644"/>
      <c r="Q122" s="87"/>
      <c r="R122" s="645">
        <v>20</v>
      </c>
    </row>
    <row r="123" spans="1:18" ht="14.25" customHeight="1" thickBot="1" x14ac:dyDescent="0.25">
      <c r="A123" s="640"/>
      <c r="B123" s="642"/>
      <c r="C123" s="2299"/>
      <c r="D123" s="2020"/>
      <c r="E123" s="2174"/>
      <c r="F123" s="2022"/>
      <c r="G123" s="2172"/>
      <c r="H123" s="313" t="s">
        <v>23</v>
      </c>
      <c r="I123" s="322"/>
      <c r="J123" s="321"/>
      <c r="K123" s="321"/>
      <c r="L123" s="317"/>
      <c r="M123" s="316"/>
      <c r="N123" s="317">
        <f>N122</f>
        <v>50</v>
      </c>
      <c r="O123" s="2082"/>
      <c r="P123" s="79"/>
      <c r="Q123" s="80"/>
      <c r="R123" s="646"/>
    </row>
    <row r="124" spans="1:18" ht="16.5" customHeight="1" thickBot="1" x14ac:dyDescent="0.25">
      <c r="A124" s="15" t="s">
        <v>24</v>
      </c>
      <c r="B124" s="14" t="s">
        <v>20</v>
      </c>
      <c r="C124" s="2074" t="s">
        <v>27</v>
      </c>
      <c r="D124" s="2029"/>
      <c r="E124" s="2029"/>
      <c r="F124" s="2029"/>
      <c r="G124" s="2029"/>
      <c r="H124" s="2029"/>
      <c r="I124" s="606">
        <f>I123+I121+I119+I111+I105+I102+I87</f>
        <v>6530.5</v>
      </c>
      <c r="J124" s="542">
        <f t="shared" ref="J124:N124" si="13">J123+J121+J119+J111+J105+J102+J87</f>
        <v>1363</v>
      </c>
      <c r="K124" s="542">
        <f t="shared" si="13"/>
        <v>22.3</v>
      </c>
      <c r="L124" s="659">
        <f t="shared" si="13"/>
        <v>5167.5</v>
      </c>
      <c r="M124" s="658">
        <f t="shared" si="13"/>
        <v>2734.1</v>
      </c>
      <c r="N124" s="658">
        <f t="shared" si="13"/>
        <v>5250</v>
      </c>
      <c r="O124" s="2014"/>
      <c r="P124" s="2015"/>
      <c r="Q124" s="2015"/>
      <c r="R124" s="2016"/>
    </row>
    <row r="125" spans="1:18" ht="16.5" customHeight="1" thickBot="1" x14ac:dyDescent="0.25">
      <c r="A125" s="603" t="s">
        <v>24</v>
      </c>
      <c r="B125" s="14" t="s">
        <v>24</v>
      </c>
      <c r="C125" s="2176" t="s">
        <v>49</v>
      </c>
      <c r="D125" s="2177"/>
      <c r="E125" s="2177"/>
      <c r="F125" s="2177"/>
      <c r="G125" s="62"/>
      <c r="H125" s="113"/>
      <c r="I125" s="62"/>
      <c r="J125" s="62"/>
      <c r="K125" s="62"/>
      <c r="L125" s="62"/>
      <c r="M125" s="62"/>
      <c r="N125" s="62"/>
      <c r="O125" s="62"/>
      <c r="P125" s="62"/>
      <c r="Q125" s="2038"/>
      <c r="R125" s="2039"/>
    </row>
    <row r="126" spans="1:18" ht="39" customHeight="1" x14ac:dyDescent="0.2">
      <c r="A126" s="2034" t="s">
        <v>24</v>
      </c>
      <c r="B126" s="2036" t="s">
        <v>24</v>
      </c>
      <c r="C126" s="388" t="s">
        <v>20</v>
      </c>
      <c r="D126" s="2045" t="s">
        <v>144</v>
      </c>
      <c r="E126" s="2025" t="s">
        <v>130</v>
      </c>
      <c r="F126" s="2077" t="s">
        <v>21</v>
      </c>
      <c r="G126" s="2017">
        <v>2</v>
      </c>
      <c r="H126" s="112" t="s">
        <v>22</v>
      </c>
      <c r="I126" s="309">
        <f>J126+L126</f>
        <v>100</v>
      </c>
      <c r="J126" s="278">
        <v>100</v>
      </c>
      <c r="K126" s="278"/>
      <c r="L126" s="310"/>
      <c r="M126" s="42">
        <v>100</v>
      </c>
      <c r="N126" s="42">
        <v>100</v>
      </c>
      <c r="O126" s="2155" t="s">
        <v>87</v>
      </c>
      <c r="P126" s="201">
        <v>320</v>
      </c>
      <c r="Q126" s="201">
        <v>320</v>
      </c>
      <c r="R126" s="202">
        <v>320</v>
      </c>
    </row>
    <row r="127" spans="1:18" ht="29.25" customHeight="1" thickBot="1" x14ac:dyDescent="0.25">
      <c r="A127" s="2035"/>
      <c r="B127" s="2037"/>
      <c r="C127" s="389"/>
      <c r="D127" s="1958"/>
      <c r="E127" s="2027"/>
      <c r="F127" s="2078"/>
      <c r="G127" s="2018"/>
      <c r="H127" s="299" t="s">
        <v>23</v>
      </c>
      <c r="I127" s="300">
        <f>J127+L127</f>
        <v>100</v>
      </c>
      <c r="J127" s="293">
        <f>SUM(J126)</f>
        <v>100</v>
      </c>
      <c r="K127" s="293"/>
      <c r="L127" s="296"/>
      <c r="M127" s="301">
        <f>SUM(M126)</f>
        <v>100</v>
      </c>
      <c r="N127" s="302">
        <f>SUM(N126)</f>
        <v>100</v>
      </c>
      <c r="O127" s="2156"/>
      <c r="P127" s="129"/>
      <c r="Q127" s="129"/>
      <c r="R127" s="203"/>
    </row>
    <row r="128" spans="1:18" ht="28.5" customHeight="1" x14ac:dyDescent="0.2">
      <c r="A128" s="2066" t="s">
        <v>24</v>
      </c>
      <c r="B128" s="220" t="s">
        <v>24</v>
      </c>
      <c r="C128" s="405" t="s">
        <v>24</v>
      </c>
      <c r="D128" s="2072" t="s">
        <v>188</v>
      </c>
      <c r="E128" s="2025"/>
      <c r="F128" s="2077" t="s">
        <v>21</v>
      </c>
      <c r="G128" s="2070" t="s">
        <v>43</v>
      </c>
      <c r="H128" s="118" t="s">
        <v>22</v>
      </c>
      <c r="I128" s="311">
        <f>J128+L128</f>
        <v>150</v>
      </c>
      <c r="J128" s="271">
        <v>150</v>
      </c>
      <c r="K128" s="306"/>
      <c r="L128" s="297"/>
      <c r="M128" s="485">
        <v>250</v>
      </c>
      <c r="N128" s="485">
        <v>250</v>
      </c>
      <c r="O128" s="137" t="s">
        <v>194</v>
      </c>
      <c r="P128" s="94">
        <v>4</v>
      </c>
      <c r="Q128" s="95">
        <v>5</v>
      </c>
      <c r="R128" s="138">
        <v>5</v>
      </c>
    </row>
    <row r="129" spans="1:18" ht="26.25" customHeight="1" thickBot="1" x14ac:dyDescent="0.25">
      <c r="A129" s="2067"/>
      <c r="B129" s="420"/>
      <c r="C129" s="406"/>
      <c r="D129" s="2073"/>
      <c r="E129" s="2027"/>
      <c r="F129" s="2078"/>
      <c r="G129" s="2071"/>
      <c r="H129" s="313" t="s">
        <v>23</v>
      </c>
      <c r="I129" s="312">
        <f>J129+L129</f>
        <v>150</v>
      </c>
      <c r="J129" s="293">
        <f>J128</f>
        <v>150</v>
      </c>
      <c r="K129" s="293"/>
      <c r="L129" s="296"/>
      <c r="M129" s="301">
        <f>SUM(M128)</f>
        <v>250</v>
      </c>
      <c r="N129" s="302">
        <f>SUM(N128)</f>
        <v>250</v>
      </c>
      <c r="O129" s="108" t="s">
        <v>128</v>
      </c>
      <c r="P129" s="204">
        <v>60</v>
      </c>
      <c r="Q129" s="204">
        <v>75</v>
      </c>
      <c r="R129" s="205">
        <v>75</v>
      </c>
    </row>
    <row r="130" spans="1:18" ht="16.5" customHeight="1" thickBot="1" x14ac:dyDescent="0.25">
      <c r="A130" s="15" t="s">
        <v>24</v>
      </c>
      <c r="B130" s="14" t="s">
        <v>24</v>
      </c>
      <c r="C130" s="2074" t="s">
        <v>27</v>
      </c>
      <c r="D130" s="2029"/>
      <c r="E130" s="2029"/>
      <c r="F130" s="2029"/>
      <c r="G130" s="2029"/>
      <c r="H130" s="2029"/>
      <c r="I130" s="449">
        <f t="shared" ref="I130:N130" si="14">I129+I127</f>
        <v>250</v>
      </c>
      <c r="J130" s="542">
        <f t="shared" si="14"/>
        <v>250</v>
      </c>
      <c r="K130" s="542">
        <f t="shared" si="14"/>
        <v>0</v>
      </c>
      <c r="L130" s="541">
        <f t="shared" si="14"/>
        <v>0</v>
      </c>
      <c r="M130" s="30">
        <f t="shared" si="14"/>
        <v>350</v>
      </c>
      <c r="N130" s="30">
        <f t="shared" si="14"/>
        <v>350</v>
      </c>
      <c r="O130" s="2014"/>
      <c r="P130" s="2015"/>
      <c r="Q130" s="2015"/>
      <c r="R130" s="2016"/>
    </row>
    <row r="131" spans="1:18" ht="16.5" customHeight="1" thickBot="1" x14ac:dyDescent="0.25">
      <c r="A131" s="386" t="s">
        <v>24</v>
      </c>
      <c r="B131" s="134" t="s">
        <v>26</v>
      </c>
      <c r="C131" s="2008" t="s">
        <v>48</v>
      </c>
      <c r="D131" s="2008"/>
      <c r="E131" s="2008"/>
      <c r="F131" s="2008"/>
      <c r="G131" s="2008"/>
      <c r="H131" s="2008"/>
      <c r="I131" s="2008"/>
      <c r="J131" s="2008"/>
      <c r="K131" s="2008"/>
      <c r="L131" s="2008"/>
      <c r="M131" s="2008"/>
      <c r="N131" s="2008"/>
      <c r="O131" s="2008"/>
      <c r="P131" s="2008"/>
      <c r="Q131" s="2008"/>
      <c r="R131" s="2009"/>
    </row>
    <row r="132" spans="1:18" ht="26.25" customHeight="1" x14ac:dyDescent="0.2">
      <c r="A132" s="560" t="s">
        <v>24</v>
      </c>
      <c r="B132" s="562" t="s">
        <v>26</v>
      </c>
      <c r="C132" s="565" t="s">
        <v>20</v>
      </c>
      <c r="D132" s="127" t="s">
        <v>50</v>
      </c>
      <c r="E132" s="554"/>
      <c r="F132" s="557" t="s">
        <v>21</v>
      </c>
      <c r="G132" s="119">
        <v>6</v>
      </c>
      <c r="H132" s="569" t="s">
        <v>22</v>
      </c>
      <c r="I132" s="277">
        <f>J132+L132</f>
        <v>3109.3</v>
      </c>
      <c r="J132" s="278">
        <v>3109.3</v>
      </c>
      <c r="K132" s="305"/>
      <c r="L132" s="279"/>
      <c r="M132" s="22">
        <v>6389.3</v>
      </c>
      <c r="N132" s="42">
        <v>5990.3</v>
      </c>
      <c r="O132" s="161"/>
      <c r="P132" s="162"/>
      <c r="Q132" s="163"/>
      <c r="R132" s="575"/>
    </row>
    <row r="133" spans="1:18" ht="28.5" customHeight="1" x14ac:dyDescent="0.2">
      <c r="A133" s="148"/>
      <c r="B133" s="553"/>
      <c r="C133" s="566"/>
      <c r="D133" s="490" t="s">
        <v>176</v>
      </c>
      <c r="E133" s="547"/>
      <c r="F133" s="558"/>
      <c r="G133" s="120"/>
      <c r="H133" s="570" t="s">
        <v>25</v>
      </c>
      <c r="I133" s="306">
        <f>J133+L133</f>
        <v>23.7</v>
      </c>
      <c r="J133" s="271">
        <v>23.7</v>
      </c>
      <c r="K133" s="306"/>
      <c r="L133" s="272"/>
      <c r="M133" s="525"/>
      <c r="N133" s="525"/>
      <c r="O133" s="530" t="s">
        <v>75</v>
      </c>
      <c r="P133" s="529">
        <v>13</v>
      </c>
      <c r="Q133" s="529">
        <v>11</v>
      </c>
      <c r="R133" s="531">
        <v>14</v>
      </c>
    </row>
    <row r="134" spans="1:18" ht="27" customHeight="1" x14ac:dyDescent="0.2">
      <c r="A134" s="148"/>
      <c r="B134" s="553"/>
      <c r="C134" s="556"/>
      <c r="D134" s="490" t="s">
        <v>177</v>
      </c>
      <c r="E134" s="547"/>
      <c r="F134" s="558"/>
      <c r="G134" s="120"/>
      <c r="H134" s="570"/>
      <c r="I134" s="306"/>
      <c r="J134" s="271"/>
      <c r="K134" s="306"/>
      <c r="L134" s="272"/>
      <c r="M134" s="525"/>
      <c r="N134" s="525"/>
      <c r="O134" s="530" t="s">
        <v>76</v>
      </c>
      <c r="P134" s="549">
        <v>95</v>
      </c>
      <c r="Q134" s="549">
        <v>95</v>
      </c>
      <c r="R134" s="492">
        <v>95</v>
      </c>
    </row>
    <row r="135" spans="1:18" s="4" customFormat="1" ht="28.5" customHeight="1" x14ac:dyDescent="0.2">
      <c r="A135" s="148"/>
      <c r="B135" s="553"/>
      <c r="C135" s="556"/>
      <c r="D135" s="490" t="s">
        <v>178</v>
      </c>
      <c r="E135" s="547"/>
      <c r="F135" s="558"/>
      <c r="G135" s="383"/>
      <c r="H135" s="570"/>
      <c r="I135" s="306"/>
      <c r="J135" s="271"/>
      <c r="K135" s="306"/>
      <c r="L135" s="272"/>
      <c r="M135" s="525"/>
      <c r="N135" s="525"/>
      <c r="O135" s="530" t="s">
        <v>195</v>
      </c>
      <c r="P135" s="549">
        <v>30</v>
      </c>
      <c r="Q135" s="549">
        <v>30</v>
      </c>
      <c r="R135" s="492">
        <v>30</v>
      </c>
    </row>
    <row r="136" spans="1:18" ht="39.75" customHeight="1" x14ac:dyDescent="0.2">
      <c r="A136" s="148"/>
      <c r="B136" s="553"/>
      <c r="C136" s="147"/>
      <c r="D136" s="490" t="s">
        <v>179</v>
      </c>
      <c r="E136" s="547"/>
      <c r="F136" s="558"/>
      <c r="G136" s="120"/>
      <c r="H136" s="570"/>
      <c r="I136" s="306"/>
      <c r="J136" s="271"/>
      <c r="K136" s="306"/>
      <c r="L136" s="272"/>
      <c r="M136" s="525"/>
      <c r="N136" s="525"/>
      <c r="O136" s="530" t="s">
        <v>77</v>
      </c>
      <c r="P136" s="549">
        <v>5</v>
      </c>
      <c r="Q136" s="549">
        <v>3</v>
      </c>
      <c r="R136" s="492">
        <v>3</v>
      </c>
    </row>
    <row r="137" spans="1:18" s="4" customFormat="1" ht="17.25" customHeight="1" x14ac:dyDescent="0.2">
      <c r="A137" s="148"/>
      <c r="B137" s="553"/>
      <c r="C137" s="556"/>
      <c r="D137" s="490" t="s">
        <v>180</v>
      </c>
      <c r="E137" s="555"/>
      <c r="F137" s="558"/>
      <c r="G137" s="120"/>
      <c r="H137" s="570"/>
      <c r="I137" s="306"/>
      <c r="J137" s="271"/>
      <c r="K137" s="306"/>
      <c r="L137" s="272"/>
      <c r="M137" s="525"/>
      <c r="N137" s="525"/>
      <c r="O137" s="530" t="s">
        <v>79</v>
      </c>
      <c r="P137" s="175">
        <v>40.1</v>
      </c>
      <c r="Q137" s="175">
        <v>40.1</v>
      </c>
      <c r="R137" s="54">
        <v>40.1</v>
      </c>
    </row>
    <row r="138" spans="1:18" ht="26.25" customHeight="1" x14ac:dyDescent="0.2">
      <c r="A138" s="148"/>
      <c r="B138" s="553"/>
      <c r="C138" s="147"/>
      <c r="D138" s="490" t="s">
        <v>181</v>
      </c>
      <c r="E138" s="555"/>
      <c r="F138" s="558"/>
      <c r="G138" s="120"/>
      <c r="H138" s="570"/>
      <c r="I138" s="306"/>
      <c r="J138" s="271"/>
      <c r="K138" s="586"/>
      <c r="L138" s="585"/>
      <c r="M138" s="525"/>
      <c r="N138" s="525"/>
      <c r="O138" s="530" t="s">
        <v>164</v>
      </c>
      <c r="P138" s="549">
        <v>101</v>
      </c>
      <c r="Q138" s="549">
        <v>101</v>
      </c>
      <c r="R138" s="492">
        <v>101</v>
      </c>
    </row>
    <row r="139" spans="1:18" ht="28.5" customHeight="1" x14ac:dyDescent="0.2">
      <c r="A139" s="148"/>
      <c r="B139" s="553"/>
      <c r="C139" s="556"/>
      <c r="D139" s="490" t="s">
        <v>136</v>
      </c>
      <c r="E139" s="547"/>
      <c r="F139" s="558"/>
      <c r="G139" s="383"/>
      <c r="H139" s="572"/>
      <c r="I139" s="491"/>
      <c r="J139" s="271"/>
      <c r="K139" s="306"/>
      <c r="L139" s="272"/>
      <c r="M139" s="206"/>
      <c r="N139" s="206"/>
      <c r="O139" s="2083" t="s">
        <v>137</v>
      </c>
      <c r="P139" s="549"/>
      <c r="Q139" s="549">
        <v>10</v>
      </c>
      <c r="R139" s="492">
        <v>13</v>
      </c>
    </row>
    <row r="140" spans="1:18" ht="14.25" customHeight="1" thickBot="1" x14ac:dyDescent="0.25">
      <c r="A140" s="561"/>
      <c r="B140" s="563"/>
      <c r="C140" s="552"/>
      <c r="D140" s="534"/>
      <c r="E140" s="532"/>
      <c r="F140" s="535"/>
      <c r="G140" s="533"/>
      <c r="H140" s="299" t="s">
        <v>23</v>
      </c>
      <c r="I140" s="318">
        <f t="shared" ref="I140:I155" si="15">J140+L140</f>
        <v>3133</v>
      </c>
      <c r="J140" s="321">
        <f>SUM(J132:J139)</f>
        <v>3133</v>
      </c>
      <c r="K140" s="321"/>
      <c r="L140" s="338"/>
      <c r="M140" s="316">
        <f>SUM(M132:M139)</f>
        <v>6389.3</v>
      </c>
      <c r="N140" s="317">
        <f>SUM(N132:N139)</f>
        <v>5990.3</v>
      </c>
      <c r="O140" s="2084"/>
      <c r="P140" s="79"/>
      <c r="Q140" s="80"/>
      <c r="R140" s="576"/>
    </row>
    <row r="141" spans="1:18" ht="25.5" customHeight="1" x14ac:dyDescent="0.2">
      <c r="A141" s="395" t="s">
        <v>24</v>
      </c>
      <c r="B141" s="391" t="s">
        <v>26</v>
      </c>
      <c r="C141" s="388" t="s">
        <v>24</v>
      </c>
      <c r="D141" s="2045" t="s">
        <v>189</v>
      </c>
      <c r="E141" s="2075" t="s">
        <v>134</v>
      </c>
      <c r="F141" s="393" t="s">
        <v>21</v>
      </c>
      <c r="G141" s="2079">
        <v>6</v>
      </c>
      <c r="H141" s="13" t="s">
        <v>22</v>
      </c>
      <c r="I141" s="277">
        <f t="shared" ref="I141:I149" si="16">J141+L141</f>
        <v>75.3</v>
      </c>
      <c r="J141" s="278">
        <v>75.3</v>
      </c>
      <c r="K141" s="277"/>
      <c r="L141" s="279"/>
      <c r="M141" s="22">
        <v>180</v>
      </c>
      <c r="N141" s="42">
        <v>180</v>
      </c>
      <c r="O141" s="2081" t="s">
        <v>135</v>
      </c>
      <c r="P141" s="398">
        <v>1</v>
      </c>
      <c r="Q141" s="87">
        <v>2</v>
      </c>
      <c r="R141" s="138">
        <v>2</v>
      </c>
    </row>
    <row r="142" spans="1:18" ht="15" customHeight="1" thickBot="1" x14ac:dyDescent="0.25">
      <c r="A142" s="396"/>
      <c r="B142" s="392"/>
      <c r="C142" s="389"/>
      <c r="D142" s="1958"/>
      <c r="E142" s="2076"/>
      <c r="F142" s="414"/>
      <c r="G142" s="2080"/>
      <c r="H142" s="299" t="s">
        <v>23</v>
      </c>
      <c r="I142" s="292">
        <f t="shared" si="16"/>
        <v>75.3</v>
      </c>
      <c r="J142" s="293">
        <f>J141</f>
        <v>75.3</v>
      </c>
      <c r="K142" s="293">
        <f>K141</f>
        <v>0</v>
      </c>
      <c r="L142" s="293">
        <f>L141</f>
        <v>0</v>
      </c>
      <c r="M142" s="301">
        <f>SUM(M141)</f>
        <v>180</v>
      </c>
      <c r="N142" s="302">
        <f>SUM(N141)</f>
        <v>180</v>
      </c>
      <c r="O142" s="2082"/>
      <c r="P142" s="83"/>
      <c r="Q142" s="408"/>
      <c r="R142" s="190"/>
    </row>
    <row r="143" spans="1:18" ht="27" customHeight="1" x14ac:dyDescent="0.2">
      <c r="A143" s="1984" t="s">
        <v>24</v>
      </c>
      <c r="B143" s="1959" t="s">
        <v>26</v>
      </c>
      <c r="C143" s="133" t="s">
        <v>26</v>
      </c>
      <c r="D143" s="2121" t="s">
        <v>59</v>
      </c>
      <c r="E143" s="2075"/>
      <c r="F143" s="393" t="s">
        <v>21</v>
      </c>
      <c r="G143" s="2068">
        <v>2</v>
      </c>
      <c r="H143" s="116" t="s">
        <v>22</v>
      </c>
      <c r="I143" s="284">
        <f t="shared" si="16"/>
        <v>108</v>
      </c>
      <c r="J143" s="262">
        <v>108</v>
      </c>
      <c r="K143" s="262"/>
      <c r="L143" s="263"/>
      <c r="M143" s="42">
        <v>110</v>
      </c>
      <c r="N143" s="42">
        <v>110</v>
      </c>
      <c r="O143" s="2119" t="s">
        <v>88</v>
      </c>
      <c r="P143" s="207">
        <v>380</v>
      </c>
      <c r="Q143" s="208">
        <v>400</v>
      </c>
      <c r="R143" s="138">
        <v>400</v>
      </c>
    </row>
    <row r="144" spans="1:18" ht="15.75" customHeight="1" thickBot="1" x14ac:dyDescent="0.25">
      <c r="A144" s="1985"/>
      <c r="B144" s="1961"/>
      <c r="C144" s="131"/>
      <c r="D144" s="2123"/>
      <c r="E144" s="2076"/>
      <c r="F144" s="414"/>
      <c r="G144" s="2069"/>
      <c r="H144" s="299" t="s">
        <v>23</v>
      </c>
      <c r="I144" s="294">
        <f t="shared" si="16"/>
        <v>108</v>
      </c>
      <c r="J144" s="295">
        <f>SUM(J143)</f>
        <v>108</v>
      </c>
      <c r="K144" s="295"/>
      <c r="L144" s="296"/>
      <c r="M144" s="301">
        <f>SUM(M143)</f>
        <v>110</v>
      </c>
      <c r="N144" s="302">
        <f>SUM(N143)</f>
        <v>110</v>
      </c>
      <c r="O144" s="2120"/>
      <c r="P144" s="83"/>
      <c r="Q144" s="408"/>
      <c r="R144" s="190"/>
    </row>
    <row r="145" spans="1:18" ht="15" customHeight="1" x14ac:dyDescent="0.2">
      <c r="A145" s="1984" t="s">
        <v>24</v>
      </c>
      <c r="B145" s="1959" t="s">
        <v>26</v>
      </c>
      <c r="C145" s="133" t="s">
        <v>28</v>
      </c>
      <c r="D145" s="2121" t="s">
        <v>132</v>
      </c>
      <c r="E145" s="2075"/>
      <c r="F145" s="393" t="s">
        <v>21</v>
      </c>
      <c r="G145" s="2068">
        <v>2</v>
      </c>
      <c r="H145" s="116" t="s">
        <v>22</v>
      </c>
      <c r="I145" s="284">
        <f t="shared" si="16"/>
        <v>50</v>
      </c>
      <c r="J145" s="262">
        <v>42.8</v>
      </c>
      <c r="K145" s="262"/>
      <c r="L145" s="263">
        <v>7.2</v>
      </c>
      <c r="M145" s="42"/>
      <c r="N145" s="42"/>
      <c r="O145" s="2119" t="s">
        <v>133</v>
      </c>
      <c r="P145" s="207">
        <v>156</v>
      </c>
      <c r="Q145" s="208"/>
      <c r="R145" s="138"/>
    </row>
    <row r="146" spans="1:18" ht="15.75" customHeight="1" thickBot="1" x14ac:dyDescent="0.25">
      <c r="A146" s="1985"/>
      <c r="B146" s="1961"/>
      <c r="C146" s="131"/>
      <c r="D146" s="2123"/>
      <c r="E146" s="2076"/>
      <c r="F146" s="414"/>
      <c r="G146" s="2069"/>
      <c r="H146" s="299" t="s">
        <v>23</v>
      </c>
      <c r="I146" s="294">
        <f>J146+L146</f>
        <v>50</v>
      </c>
      <c r="J146" s="295">
        <f>SUM(J145)</f>
        <v>42.8</v>
      </c>
      <c r="K146" s="295"/>
      <c r="L146" s="296">
        <f>L145</f>
        <v>7.2</v>
      </c>
      <c r="M146" s="301">
        <f>SUM(M145)</f>
        <v>0</v>
      </c>
      <c r="N146" s="302">
        <f>SUM(N145)</f>
        <v>0</v>
      </c>
      <c r="O146" s="2120"/>
      <c r="P146" s="83"/>
      <c r="Q146" s="408"/>
      <c r="R146" s="190"/>
    </row>
    <row r="147" spans="1:18" ht="38.25" customHeight="1" x14ac:dyDescent="0.2">
      <c r="A147" s="2034" t="s">
        <v>24</v>
      </c>
      <c r="B147" s="2036" t="s">
        <v>26</v>
      </c>
      <c r="C147" s="133" t="s">
        <v>29</v>
      </c>
      <c r="D147" s="2121" t="s">
        <v>205</v>
      </c>
      <c r="E147" s="2025"/>
      <c r="F147" s="393" t="s">
        <v>21</v>
      </c>
      <c r="G147" s="2134">
        <v>2</v>
      </c>
      <c r="H147" s="116" t="s">
        <v>163</v>
      </c>
      <c r="I147" s="284">
        <f t="shared" si="16"/>
        <v>50</v>
      </c>
      <c r="J147" s="262">
        <v>50</v>
      </c>
      <c r="K147" s="262"/>
      <c r="L147" s="679"/>
      <c r="M147" s="22"/>
      <c r="N147" s="42"/>
      <c r="O147" s="140" t="s">
        <v>86</v>
      </c>
      <c r="P147" s="488">
        <v>6</v>
      </c>
      <c r="Q147" s="208">
        <v>6</v>
      </c>
      <c r="R147" s="138">
        <v>6</v>
      </c>
    </row>
    <row r="148" spans="1:18" ht="38.25" customHeight="1" x14ac:dyDescent="0.2">
      <c r="A148" s="2133"/>
      <c r="B148" s="1960"/>
      <c r="C148" s="132"/>
      <c r="D148" s="2122"/>
      <c r="E148" s="2026"/>
      <c r="F148" s="651"/>
      <c r="G148" s="2135"/>
      <c r="H148" s="652" t="s">
        <v>22</v>
      </c>
      <c r="I148" s="273"/>
      <c r="J148" s="271"/>
      <c r="K148" s="271"/>
      <c r="L148" s="272"/>
      <c r="M148" s="56">
        <v>50</v>
      </c>
      <c r="N148" s="36">
        <v>50</v>
      </c>
      <c r="O148" s="179"/>
      <c r="P148" s="678"/>
      <c r="Q148" s="233"/>
      <c r="R148" s="653"/>
    </row>
    <row r="149" spans="1:18" ht="16.5" customHeight="1" thickBot="1" x14ac:dyDescent="0.25">
      <c r="A149" s="2035"/>
      <c r="B149" s="2037"/>
      <c r="C149" s="131"/>
      <c r="D149" s="2123"/>
      <c r="E149" s="2027"/>
      <c r="F149" s="414"/>
      <c r="G149" s="2136"/>
      <c r="H149" s="299" t="s">
        <v>23</v>
      </c>
      <c r="I149" s="294">
        <f t="shared" si="16"/>
        <v>50</v>
      </c>
      <c r="J149" s="295">
        <f>J147</f>
        <v>50</v>
      </c>
      <c r="K149" s="295">
        <f>K147</f>
        <v>0</v>
      </c>
      <c r="L149" s="303">
        <f>L147</f>
        <v>0</v>
      </c>
      <c r="M149" s="301">
        <f>SUM(M147:M148)</f>
        <v>50</v>
      </c>
      <c r="N149" s="302">
        <f>SUM(N147:N148)</f>
        <v>50</v>
      </c>
      <c r="O149" s="65"/>
      <c r="P149" s="83"/>
      <c r="Q149" s="408"/>
      <c r="R149" s="190"/>
    </row>
    <row r="150" spans="1:18" ht="28.5" customHeight="1" x14ac:dyDescent="0.2">
      <c r="A150" s="1984" t="s">
        <v>24</v>
      </c>
      <c r="B150" s="1959" t="s">
        <v>26</v>
      </c>
      <c r="C150" s="133" t="s">
        <v>30</v>
      </c>
      <c r="D150" s="2121" t="s">
        <v>148</v>
      </c>
      <c r="E150" s="2075" t="s">
        <v>134</v>
      </c>
      <c r="F150" s="393" t="s">
        <v>21</v>
      </c>
      <c r="G150" s="2068">
        <v>6</v>
      </c>
      <c r="H150" s="116" t="s">
        <v>22</v>
      </c>
      <c r="I150" s="284"/>
      <c r="J150" s="262"/>
      <c r="K150" s="262"/>
      <c r="L150" s="263"/>
      <c r="M150" s="42">
        <v>80</v>
      </c>
      <c r="N150" s="42">
        <v>800</v>
      </c>
      <c r="O150" s="229" t="s">
        <v>147</v>
      </c>
      <c r="P150" s="207">
        <v>1</v>
      </c>
      <c r="Q150" s="208"/>
      <c r="R150" s="138"/>
    </row>
    <row r="151" spans="1:18" ht="17.25" customHeight="1" x14ac:dyDescent="0.2">
      <c r="A151" s="1990"/>
      <c r="B151" s="1960"/>
      <c r="C151" s="132"/>
      <c r="D151" s="2122"/>
      <c r="E151" s="2124"/>
      <c r="F151" s="394"/>
      <c r="G151" s="2106"/>
      <c r="H151" s="423"/>
      <c r="I151" s="273"/>
      <c r="J151" s="271"/>
      <c r="K151" s="271"/>
      <c r="L151" s="297"/>
      <c r="M151" s="56"/>
      <c r="N151" s="36"/>
      <c r="O151" s="231" t="s">
        <v>167</v>
      </c>
      <c r="P151" s="232"/>
      <c r="Q151" s="233">
        <v>1</v>
      </c>
      <c r="R151" s="422"/>
    </row>
    <row r="152" spans="1:18" ht="18" customHeight="1" thickBot="1" x14ac:dyDescent="0.25">
      <c r="A152" s="1985"/>
      <c r="B152" s="1961"/>
      <c r="C152" s="131"/>
      <c r="D152" s="2123"/>
      <c r="E152" s="2076"/>
      <c r="F152" s="414"/>
      <c r="G152" s="2069"/>
      <c r="H152" s="299" t="s">
        <v>23</v>
      </c>
      <c r="I152" s="294"/>
      <c r="J152" s="295"/>
      <c r="K152" s="295"/>
      <c r="L152" s="298"/>
      <c r="M152" s="301">
        <f>SUM(M150)</f>
        <v>80</v>
      </c>
      <c r="N152" s="302">
        <f>SUM(N150)</f>
        <v>800</v>
      </c>
      <c r="O152" s="230" t="s">
        <v>150</v>
      </c>
      <c r="P152" s="83"/>
      <c r="Q152" s="408"/>
      <c r="R152" s="190">
        <v>1</v>
      </c>
    </row>
    <row r="153" spans="1:18" ht="15" customHeight="1" thickBot="1" x14ac:dyDescent="0.25">
      <c r="A153" s="31" t="s">
        <v>24</v>
      </c>
      <c r="B153" s="33" t="s">
        <v>26</v>
      </c>
      <c r="C153" s="2074" t="s">
        <v>27</v>
      </c>
      <c r="D153" s="2029"/>
      <c r="E153" s="2029"/>
      <c r="F153" s="2029"/>
      <c r="G153" s="2029"/>
      <c r="H153" s="2029"/>
      <c r="I153" s="412">
        <f t="shared" ref="I153:N153" si="17">I149+I152+I146+I144+I142+I140</f>
        <v>3416.3</v>
      </c>
      <c r="J153" s="243">
        <f>J149+J152+J146+J144+J142+J140</f>
        <v>3409.1</v>
      </c>
      <c r="K153" s="413">
        <f t="shared" si="17"/>
        <v>0</v>
      </c>
      <c r="L153" s="241">
        <f>L149+L152+L146+L144+L142+L140</f>
        <v>7.2</v>
      </c>
      <c r="M153" s="1">
        <f t="shared" si="17"/>
        <v>6809.3</v>
      </c>
      <c r="N153" s="1">
        <f t="shared" si="17"/>
        <v>7130.3</v>
      </c>
      <c r="O153" s="2116"/>
      <c r="P153" s="2117"/>
      <c r="Q153" s="2117"/>
      <c r="R153" s="2118"/>
    </row>
    <row r="154" spans="1:18" ht="15.75" customHeight="1" thickBot="1" x14ac:dyDescent="0.25">
      <c r="A154" s="31" t="s">
        <v>24</v>
      </c>
      <c r="B154" s="2131" t="s">
        <v>10</v>
      </c>
      <c r="C154" s="2131"/>
      <c r="D154" s="2131"/>
      <c r="E154" s="2131"/>
      <c r="F154" s="2131"/>
      <c r="G154" s="2131"/>
      <c r="H154" s="2131"/>
      <c r="I154" s="252">
        <f t="shared" si="15"/>
        <v>10196.799999999999</v>
      </c>
      <c r="J154" s="253">
        <f>J153+J130+J124</f>
        <v>5022.1000000000004</v>
      </c>
      <c r="K154" s="253">
        <f>K153+K130+K124</f>
        <v>22.3</v>
      </c>
      <c r="L154" s="253">
        <f>L153+L130+L124</f>
        <v>5174.7</v>
      </c>
      <c r="M154" s="255">
        <f>M153+M130+M124</f>
        <v>9893.4</v>
      </c>
      <c r="N154" s="397">
        <f>N153+N130+N124</f>
        <v>12730.3</v>
      </c>
      <c r="O154" s="1967"/>
      <c r="P154" s="1968"/>
      <c r="Q154" s="1968"/>
      <c r="R154" s="1969"/>
    </row>
    <row r="155" spans="1:18" ht="14.25" customHeight="1" thickBot="1" x14ac:dyDescent="0.25">
      <c r="A155" s="34" t="s">
        <v>9</v>
      </c>
      <c r="B155" s="2132" t="s">
        <v>11</v>
      </c>
      <c r="C155" s="2132"/>
      <c r="D155" s="2132"/>
      <c r="E155" s="2132"/>
      <c r="F155" s="2132"/>
      <c r="G155" s="2132"/>
      <c r="H155" s="2132"/>
      <c r="I155" s="256">
        <f t="shared" si="15"/>
        <v>199652.6</v>
      </c>
      <c r="J155" s="257">
        <f>J154+J60</f>
        <v>194268.5</v>
      </c>
      <c r="K155" s="257">
        <f>K154+K60</f>
        <v>126947.6</v>
      </c>
      <c r="L155" s="257">
        <f>L154+L60</f>
        <v>5384.1</v>
      </c>
      <c r="M155" s="259">
        <f>M154+M60</f>
        <v>204453.7</v>
      </c>
      <c r="N155" s="410">
        <f>N154+N60</f>
        <v>206652.2</v>
      </c>
      <c r="O155" s="2142"/>
      <c r="P155" s="2143"/>
      <c r="Q155" s="2143"/>
      <c r="R155" s="2144"/>
    </row>
    <row r="156" spans="1:18" s="5" customFormat="1" ht="19.5" customHeight="1" thickBot="1" x14ac:dyDescent="0.25">
      <c r="A156" s="2145" t="s">
        <v>2</v>
      </c>
      <c r="B156" s="2145"/>
      <c r="C156" s="2145"/>
      <c r="D156" s="2145"/>
      <c r="E156" s="2145"/>
      <c r="F156" s="2145"/>
      <c r="G156" s="2145"/>
      <c r="H156" s="2145"/>
      <c r="I156" s="2145"/>
      <c r="J156" s="2145"/>
      <c r="K156" s="2145"/>
      <c r="L156" s="2145"/>
      <c r="M156" s="2145"/>
      <c r="N156" s="2145"/>
      <c r="O156" s="260"/>
      <c r="P156" s="260"/>
      <c r="Q156" s="260"/>
      <c r="R156" s="96"/>
    </row>
    <row r="157" spans="1:18" s="6" customFormat="1" ht="34.5" customHeight="1" thickBot="1" x14ac:dyDescent="0.25">
      <c r="A157" s="2128" t="s">
        <v>3</v>
      </c>
      <c r="B157" s="2129"/>
      <c r="C157" s="2129"/>
      <c r="D157" s="2129"/>
      <c r="E157" s="2129"/>
      <c r="F157" s="2129"/>
      <c r="G157" s="2129"/>
      <c r="H157" s="2130"/>
      <c r="I157" s="2125" t="s">
        <v>103</v>
      </c>
      <c r="J157" s="2126"/>
      <c r="K157" s="2126"/>
      <c r="L157" s="2127"/>
      <c r="M157" s="74" t="s">
        <v>106</v>
      </c>
      <c r="N157" s="74" t="s">
        <v>107</v>
      </c>
      <c r="O157" s="72"/>
      <c r="P157" s="2141"/>
      <c r="Q157" s="2141"/>
      <c r="R157" s="61"/>
    </row>
    <row r="158" spans="1:18" s="6" customFormat="1" ht="12" customHeight="1" x14ac:dyDescent="0.2">
      <c r="A158" s="2111" t="s">
        <v>33</v>
      </c>
      <c r="B158" s="2112"/>
      <c r="C158" s="2112"/>
      <c r="D158" s="2112"/>
      <c r="E158" s="2112"/>
      <c r="F158" s="2112"/>
      <c r="G158" s="2112"/>
      <c r="H158" s="2113"/>
      <c r="I158" s="2109">
        <f ca="1">SUM(I159:L163)</f>
        <v>196056.3</v>
      </c>
      <c r="J158" s="2110"/>
      <c r="K158" s="2110"/>
      <c r="L158" s="2110"/>
      <c r="M158" s="75">
        <f>SUM(M159:M163)</f>
        <v>203669.6</v>
      </c>
      <c r="N158" s="75">
        <f>SUM(N159:N163)</f>
        <v>203102.2</v>
      </c>
      <c r="O158" s="73"/>
      <c r="P158" s="2115"/>
      <c r="Q158" s="2115"/>
      <c r="R158" s="61"/>
    </row>
    <row r="159" spans="1:18" s="6" customFormat="1" ht="12" customHeight="1" x14ac:dyDescent="0.2">
      <c r="A159" s="2100" t="s">
        <v>36</v>
      </c>
      <c r="B159" s="2101"/>
      <c r="C159" s="2101"/>
      <c r="D159" s="2101"/>
      <c r="E159" s="2101"/>
      <c r="F159" s="2101"/>
      <c r="G159" s="2101"/>
      <c r="H159" s="2102"/>
      <c r="I159" s="2107">
        <f>SUMIF(H12:H151,"sb",I12:I151)</f>
        <v>74582.100000000006</v>
      </c>
      <c r="J159" s="2108"/>
      <c r="K159" s="2108"/>
      <c r="L159" s="2108"/>
      <c r="M159" s="57">
        <f>SUMIF(H12:H152,"sb",M12:M152)</f>
        <v>77266.399999999994</v>
      </c>
      <c r="N159" s="57">
        <f>SUMIF(H12:H152,"sb",N12:N152)</f>
        <v>78412.399999999994</v>
      </c>
      <c r="O159" s="71"/>
      <c r="P159" s="2114"/>
      <c r="Q159" s="2114"/>
      <c r="R159" s="61"/>
    </row>
    <row r="160" spans="1:18" s="6" customFormat="1" ht="14.25" customHeight="1" x14ac:dyDescent="0.2">
      <c r="A160" s="2100" t="s">
        <v>44</v>
      </c>
      <c r="B160" s="2101"/>
      <c r="C160" s="2101"/>
      <c r="D160" s="2101"/>
      <c r="E160" s="2101"/>
      <c r="F160" s="2101"/>
      <c r="G160" s="2101"/>
      <c r="H160" s="2102"/>
      <c r="I160" s="2107">
        <f>SUMIF(H10:H144,"sb(sp)",I10:I144)</f>
        <v>16236.6</v>
      </c>
      <c r="J160" s="2108"/>
      <c r="K160" s="2108"/>
      <c r="L160" s="2108"/>
      <c r="M160" s="57">
        <f>SUMIF(H12:H152,"sb(sp)",M12:M152)</f>
        <v>16189.6</v>
      </c>
      <c r="N160" s="57">
        <f>SUMIF(H12:H152,"sb(sp)",N12:N152)</f>
        <v>16189.6</v>
      </c>
      <c r="O160" s="71"/>
      <c r="P160" s="2114"/>
      <c r="Q160" s="2114"/>
      <c r="R160" s="61"/>
    </row>
    <row r="161" spans="1:18" s="6" customFormat="1" ht="14.25" customHeight="1" x14ac:dyDescent="0.2">
      <c r="A161" s="2100" t="s">
        <v>37</v>
      </c>
      <c r="B161" s="2101"/>
      <c r="C161" s="2101"/>
      <c r="D161" s="2101"/>
      <c r="E161" s="2101"/>
      <c r="F161" s="2101"/>
      <c r="G161" s="2101"/>
      <c r="H161" s="2102"/>
      <c r="I161" s="2107">
        <f>SUMIF(H12:H144,"sb(vb)",I12:I144)</f>
        <v>103971.1</v>
      </c>
      <c r="J161" s="2108"/>
      <c r="K161" s="2108"/>
      <c r="L161" s="2108"/>
      <c r="M161" s="58">
        <f>SUMIF(H12:H147,"sb(vb)",M12:M147)</f>
        <v>109213.6</v>
      </c>
      <c r="N161" s="58">
        <f>SUMIF(H12:H152,"sb(vb)",N12:N152)</f>
        <v>108500.2</v>
      </c>
      <c r="O161" s="71"/>
      <c r="P161" s="2114"/>
      <c r="Q161" s="2114"/>
      <c r="R161" s="61"/>
    </row>
    <row r="162" spans="1:18" s="6" customFormat="1" ht="12.75" customHeight="1" x14ac:dyDescent="0.2">
      <c r="A162" s="2100" t="s">
        <v>54</v>
      </c>
      <c r="B162" s="2101"/>
      <c r="C162" s="2101"/>
      <c r="D162" s="2101"/>
      <c r="E162" s="2101"/>
      <c r="F162" s="2101"/>
      <c r="G162" s="2101"/>
      <c r="H162" s="2102"/>
      <c r="I162" s="2139">
        <f>SUMIF(H15:H144,"sb(p)",I15:I144)</f>
        <v>1159.5999999999999</v>
      </c>
      <c r="J162" s="2140"/>
      <c r="K162" s="2140"/>
      <c r="L162" s="2140"/>
      <c r="M162" s="40">
        <f>SUMIF(H15:H152,"sb(p)",M15:M152)</f>
        <v>0</v>
      </c>
      <c r="N162" s="40">
        <f>SUMIF(H15:H152,#REF!,N15:N152)</f>
        <v>0</v>
      </c>
      <c r="O162" s="71"/>
      <c r="P162" s="2114"/>
      <c r="Q162" s="2114"/>
      <c r="R162" s="61"/>
    </row>
    <row r="163" spans="1:18" s="6" customFormat="1" ht="12.75" customHeight="1" thickBot="1" x14ac:dyDescent="0.25">
      <c r="A163" s="2094" t="s">
        <v>0</v>
      </c>
      <c r="B163" s="2095"/>
      <c r="C163" s="2095"/>
      <c r="D163" s="2095"/>
      <c r="E163" s="2095"/>
      <c r="F163" s="2095"/>
      <c r="G163" s="2095"/>
      <c r="H163" s="2096"/>
      <c r="I163" s="2149">
        <f ca="1">SUMIF(H10:H155,"pf",I10:I144)</f>
        <v>106.9</v>
      </c>
      <c r="J163" s="2150"/>
      <c r="K163" s="2150"/>
      <c r="L163" s="2150"/>
      <c r="M163" s="76">
        <f>SUMIF(H15:H147,"pf",M15:M147)</f>
        <v>1000</v>
      </c>
      <c r="N163" s="76">
        <f>SUMIF(H15:H152,"pf",N15:N152)</f>
        <v>0</v>
      </c>
      <c r="O163" s="45"/>
      <c r="P163" s="2114"/>
      <c r="Q163" s="2114"/>
      <c r="R163" s="61"/>
    </row>
    <row r="164" spans="1:18" s="6" customFormat="1" ht="12.75" customHeight="1" thickBot="1" x14ac:dyDescent="0.25">
      <c r="A164" s="2088" t="s">
        <v>34</v>
      </c>
      <c r="B164" s="2089"/>
      <c r="C164" s="2089"/>
      <c r="D164" s="2089"/>
      <c r="E164" s="2089"/>
      <c r="F164" s="2089"/>
      <c r="G164" s="2089"/>
      <c r="H164" s="2090"/>
      <c r="I164" s="2146">
        <f>SUM(I165:L167)</f>
        <v>3596.3</v>
      </c>
      <c r="J164" s="2147"/>
      <c r="K164" s="2147"/>
      <c r="L164" s="2147"/>
      <c r="M164" s="35">
        <f>SUM(M165:M167)</f>
        <v>784.1</v>
      </c>
      <c r="N164" s="35">
        <f>SUM(N165:N167)</f>
        <v>3550</v>
      </c>
      <c r="O164" s="55"/>
      <c r="P164" s="2151"/>
      <c r="Q164" s="2151"/>
      <c r="R164" s="61"/>
    </row>
    <row r="165" spans="1:18" s="6" customFormat="1" ht="12.75" customHeight="1" x14ac:dyDescent="0.2">
      <c r="A165" s="2091" t="s">
        <v>38</v>
      </c>
      <c r="B165" s="2092"/>
      <c r="C165" s="2092"/>
      <c r="D165" s="2092"/>
      <c r="E165" s="2092"/>
      <c r="F165" s="2092"/>
      <c r="G165" s="2092"/>
      <c r="H165" s="2093"/>
      <c r="I165" s="2139">
        <f>SUMIF(H10:H144,"es",I10:I144)</f>
        <v>2091.3000000000002</v>
      </c>
      <c r="J165" s="2140"/>
      <c r="K165" s="2140"/>
      <c r="L165" s="2140"/>
      <c r="M165" s="9">
        <f>SUMIF(H15:H147,"es",M15:M147)</f>
        <v>784.1</v>
      </c>
      <c r="N165" s="9">
        <f>SUMIF(H15:H152,"es",N15:N152)</f>
        <v>3500</v>
      </c>
      <c r="O165" s="45"/>
      <c r="P165" s="2148"/>
      <c r="Q165" s="2148"/>
      <c r="R165" s="61"/>
    </row>
    <row r="166" spans="1:18" s="6" customFormat="1" ht="12.75" customHeight="1" x14ac:dyDescent="0.2">
      <c r="A166" s="2097" t="s">
        <v>1</v>
      </c>
      <c r="B166" s="2098"/>
      <c r="C166" s="2098"/>
      <c r="D166" s="2098"/>
      <c r="E166" s="2098"/>
      <c r="F166" s="2098"/>
      <c r="G166" s="2098"/>
      <c r="H166" s="2099"/>
      <c r="I166" s="2107">
        <f>SUMIF(H10:H144,"lrvb",I10:I144)</f>
        <v>65.8</v>
      </c>
      <c r="J166" s="2108"/>
      <c r="K166" s="2108"/>
      <c r="L166" s="2108"/>
      <c r="M166" s="59">
        <f>SUMIF(H15:H143,"lrvb",M15:M143)</f>
        <v>0</v>
      </c>
      <c r="N166" s="59">
        <f>SUMIF(H15:H152,"lrvb",N15:N152)</f>
        <v>0</v>
      </c>
      <c r="O166" s="45"/>
      <c r="P166" s="2148"/>
      <c r="Q166" s="2148"/>
      <c r="R166" s="61"/>
    </row>
    <row r="167" spans="1:18" s="6" customFormat="1" ht="12.75" customHeight="1" thickBot="1" x14ac:dyDescent="0.25">
      <c r="A167" s="2103" t="s">
        <v>168</v>
      </c>
      <c r="B167" s="2104"/>
      <c r="C167" s="2104"/>
      <c r="D167" s="2104"/>
      <c r="E167" s="2104"/>
      <c r="F167" s="2104"/>
      <c r="G167" s="2104"/>
      <c r="H167" s="2105"/>
      <c r="I167" s="2149">
        <f>SUMIF(H15:H150,"kt",I15:I151)</f>
        <v>1439.2</v>
      </c>
      <c r="J167" s="2150"/>
      <c r="K167" s="2150"/>
      <c r="L167" s="2152"/>
      <c r="M167" s="76">
        <f>SUMIF(H12:H150,"kt",M12:M150)</f>
        <v>0</v>
      </c>
      <c r="N167" s="76">
        <f>SUMIF(H12:H150,"Kt",N12:N150)</f>
        <v>50</v>
      </c>
      <c r="O167" s="45"/>
      <c r="P167" s="456"/>
      <c r="Q167" s="456"/>
      <c r="R167" s="61"/>
    </row>
    <row r="168" spans="1:18" ht="12.75" customHeight="1" thickBot="1" x14ac:dyDescent="0.25">
      <c r="A168" s="2085" t="s">
        <v>35</v>
      </c>
      <c r="B168" s="2086"/>
      <c r="C168" s="2086"/>
      <c r="D168" s="2086"/>
      <c r="E168" s="2086"/>
      <c r="F168" s="2086"/>
      <c r="G168" s="2086"/>
      <c r="H168" s="2087"/>
      <c r="I168" s="2137">
        <f ca="1">I164+I158</f>
        <v>199652.6</v>
      </c>
      <c r="J168" s="2138"/>
      <c r="K168" s="2138"/>
      <c r="L168" s="2138"/>
      <c r="M168" s="375">
        <f>M158+M164</f>
        <v>204453.7</v>
      </c>
      <c r="N168" s="375">
        <f>N164+N158</f>
        <v>206652.2</v>
      </c>
      <c r="O168" s="73"/>
      <c r="P168" s="2115"/>
      <c r="Q168" s="2115"/>
    </row>
    <row r="169" spans="1:18" x14ac:dyDescent="0.2">
      <c r="J169" s="209"/>
      <c r="M169" s="209"/>
      <c r="N169" s="209"/>
    </row>
    <row r="170" spans="1:18" x14ac:dyDescent="0.2">
      <c r="D170" s="2"/>
      <c r="E170" s="215"/>
      <c r="F170" s="215"/>
      <c r="G170" s="60"/>
      <c r="H170" s="114"/>
      <c r="I170" s="157"/>
      <c r="J170" s="2"/>
      <c r="K170" s="2"/>
      <c r="L170" s="2"/>
      <c r="M170" s="2"/>
      <c r="N170" s="2"/>
    </row>
    <row r="171" spans="1:18" x14ac:dyDescent="0.2">
      <c r="D171" s="2"/>
      <c r="E171" s="215"/>
      <c r="F171" s="215"/>
      <c r="G171" s="60"/>
      <c r="H171" s="114"/>
      <c r="I171" s="2"/>
      <c r="J171" s="2"/>
      <c r="K171" s="2"/>
      <c r="L171" s="2"/>
      <c r="M171" s="2"/>
      <c r="N171" s="2"/>
    </row>
    <row r="172" spans="1:18" x14ac:dyDescent="0.2">
      <c r="D172" s="2"/>
      <c r="E172" s="215"/>
      <c r="F172" s="215"/>
      <c r="G172" s="60"/>
      <c r="H172" s="114"/>
      <c r="I172" s="2"/>
      <c r="J172" s="2"/>
      <c r="K172" s="2"/>
      <c r="L172" s="2"/>
      <c r="M172" s="2"/>
      <c r="N172" s="2"/>
    </row>
    <row r="173" spans="1:18" x14ac:dyDescent="0.2">
      <c r="D173" s="2"/>
      <c r="E173" s="215"/>
      <c r="F173" s="215"/>
      <c r="G173" s="60"/>
      <c r="H173" s="114"/>
      <c r="I173" s="2"/>
      <c r="J173" s="2"/>
      <c r="K173" s="2"/>
      <c r="L173" s="2"/>
      <c r="M173" s="2"/>
      <c r="N173" s="2"/>
    </row>
    <row r="174" spans="1:18" x14ac:dyDescent="0.2">
      <c r="D174" s="2"/>
      <c r="E174" s="215"/>
      <c r="F174" s="215"/>
      <c r="G174" s="60"/>
      <c r="H174" s="114"/>
      <c r="I174" s="2"/>
      <c r="J174" s="2"/>
      <c r="K174" s="2"/>
      <c r="L174" s="2"/>
      <c r="M174" s="2"/>
      <c r="N174" s="2"/>
    </row>
    <row r="175" spans="1:18" x14ac:dyDescent="0.2">
      <c r="D175" s="2"/>
      <c r="E175" s="215"/>
      <c r="F175" s="215"/>
      <c r="G175" s="60"/>
      <c r="H175" s="114"/>
      <c r="I175" s="2"/>
      <c r="J175" s="2"/>
      <c r="K175" s="2"/>
      <c r="L175" s="2"/>
      <c r="M175" s="2"/>
      <c r="N175" s="2"/>
    </row>
    <row r="176" spans="1:18" x14ac:dyDescent="0.2">
      <c r="D176" s="2"/>
      <c r="E176" s="215"/>
      <c r="F176" s="215"/>
      <c r="G176" s="60"/>
      <c r="H176" s="114"/>
      <c r="I176" s="2"/>
      <c r="J176" s="2"/>
      <c r="K176" s="2"/>
      <c r="L176" s="2"/>
      <c r="M176" s="2"/>
      <c r="N176" s="2"/>
    </row>
    <row r="177" spans="1:18" x14ac:dyDescent="0.2">
      <c r="D177" s="2"/>
      <c r="E177" s="215"/>
      <c r="F177" s="215"/>
      <c r="G177" s="60"/>
      <c r="H177" s="114"/>
      <c r="I177" s="2"/>
      <c r="J177" s="2"/>
      <c r="K177" s="2"/>
      <c r="L177" s="2"/>
      <c r="M177" s="2"/>
      <c r="N177" s="2"/>
    </row>
    <row r="178" spans="1:18" x14ac:dyDescent="0.2">
      <c r="D178" s="2"/>
      <c r="E178" s="215"/>
      <c r="F178" s="215"/>
      <c r="G178" s="60"/>
      <c r="H178" s="114"/>
      <c r="I178" s="2"/>
      <c r="J178" s="2"/>
      <c r="K178" s="2"/>
      <c r="L178" s="2"/>
      <c r="M178" s="2"/>
      <c r="N178" s="2"/>
    </row>
    <row r="179" spans="1:18" x14ac:dyDescent="0.2">
      <c r="D179" s="2"/>
      <c r="E179" s="215"/>
      <c r="F179" s="215"/>
      <c r="G179" s="60"/>
      <c r="H179" s="114"/>
      <c r="I179" s="2"/>
      <c r="J179" s="2"/>
      <c r="K179" s="2"/>
      <c r="L179" s="2"/>
      <c r="M179" s="2"/>
      <c r="N179" s="2"/>
    </row>
    <row r="180" spans="1:18" x14ac:dyDescent="0.2">
      <c r="D180" s="2"/>
      <c r="E180" s="215"/>
      <c r="F180" s="215"/>
      <c r="G180" s="60"/>
      <c r="H180" s="114"/>
      <c r="I180" s="2"/>
      <c r="J180" s="2"/>
      <c r="K180" s="2"/>
      <c r="L180" s="2"/>
      <c r="M180" s="2"/>
      <c r="N180" s="2"/>
    </row>
    <row r="181" spans="1:18" x14ac:dyDescent="0.2">
      <c r="A181" s="2"/>
      <c r="B181" s="2"/>
      <c r="C181" s="2"/>
      <c r="D181" s="2"/>
      <c r="E181" s="215"/>
      <c r="F181" s="215"/>
      <c r="G181" s="60"/>
      <c r="H181" s="114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x14ac:dyDescent="0.2">
      <c r="A182" s="2"/>
      <c r="B182" s="2"/>
      <c r="C182" s="2"/>
      <c r="D182" s="2"/>
      <c r="E182" s="215"/>
      <c r="F182" s="215"/>
      <c r="G182" s="60"/>
      <c r="H182" s="114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x14ac:dyDescent="0.2">
      <c r="A183" s="2"/>
      <c r="B183" s="2"/>
      <c r="C183" s="2"/>
      <c r="D183" s="2"/>
      <c r="E183" s="215"/>
      <c r="F183" s="215"/>
      <c r="G183" s="60"/>
      <c r="H183" s="114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x14ac:dyDescent="0.2">
      <c r="A184" s="2"/>
      <c r="B184" s="2"/>
      <c r="C184" s="2"/>
      <c r="D184" s="2"/>
      <c r="E184" s="215"/>
      <c r="F184" s="215"/>
      <c r="G184" s="60"/>
      <c r="H184" s="114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x14ac:dyDescent="0.2">
      <c r="A185" s="2"/>
      <c r="B185" s="2"/>
      <c r="C185" s="2"/>
      <c r="D185" s="2"/>
      <c r="E185" s="215"/>
      <c r="F185" s="215"/>
      <c r="G185" s="60"/>
      <c r="H185" s="114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x14ac:dyDescent="0.2">
      <c r="A186" s="2"/>
      <c r="B186" s="2"/>
      <c r="C186" s="2"/>
      <c r="D186" s="2"/>
      <c r="E186" s="215"/>
      <c r="F186" s="215"/>
      <c r="G186" s="60"/>
      <c r="H186" s="114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x14ac:dyDescent="0.2">
      <c r="A187" s="2"/>
      <c r="B187" s="2"/>
      <c r="C187" s="2"/>
      <c r="D187" s="2"/>
      <c r="E187" s="215"/>
      <c r="F187" s="215"/>
      <c r="G187" s="60"/>
      <c r="H187" s="114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x14ac:dyDescent="0.2">
      <c r="A188" s="2"/>
      <c r="B188" s="2"/>
      <c r="C188" s="2"/>
      <c r="D188" s="2"/>
      <c r="E188" s="215"/>
      <c r="F188" s="215"/>
      <c r="G188" s="60"/>
      <c r="H188" s="114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x14ac:dyDescent="0.2">
      <c r="A189" s="2"/>
      <c r="B189" s="2"/>
      <c r="C189" s="2"/>
      <c r="D189" s="2"/>
      <c r="E189" s="215"/>
      <c r="F189" s="215"/>
      <c r="G189" s="60"/>
      <c r="H189" s="114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x14ac:dyDescent="0.2">
      <c r="A190" s="2"/>
      <c r="B190" s="2"/>
      <c r="C190" s="2"/>
      <c r="D190" s="2"/>
      <c r="E190" s="215"/>
      <c r="F190" s="215"/>
      <c r="G190" s="60"/>
      <c r="H190" s="114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x14ac:dyDescent="0.2">
      <c r="A191" s="2"/>
      <c r="B191" s="2"/>
      <c r="C191" s="2"/>
      <c r="D191" s="2"/>
      <c r="E191" s="215"/>
      <c r="F191" s="215"/>
      <c r="G191" s="60"/>
      <c r="H191" s="114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x14ac:dyDescent="0.2">
      <c r="A192" s="2"/>
      <c r="B192" s="2"/>
      <c r="C192" s="2"/>
      <c r="D192" s="2"/>
      <c r="E192" s="215"/>
      <c r="F192" s="215"/>
      <c r="G192" s="60"/>
      <c r="H192" s="114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x14ac:dyDescent="0.2">
      <c r="A193" s="2"/>
      <c r="B193" s="2"/>
      <c r="C193" s="2"/>
      <c r="D193" s="2"/>
      <c r="E193" s="215"/>
      <c r="F193" s="215"/>
      <c r="G193" s="60"/>
      <c r="H193" s="114"/>
      <c r="I193" s="2"/>
      <c r="J193" s="2"/>
      <c r="K193" s="2"/>
      <c r="L193" s="2"/>
      <c r="M193" s="2"/>
      <c r="N193" s="2"/>
      <c r="O193" s="2"/>
      <c r="P193" s="2"/>
      <c r="Q193" s="2"/>
      <c r="R193" s="2"/>
    </row>
  </sheetData>
  <mergeCells count="300">
    <mergeCell ref="C122:C123"/>
    <mergeCell ref="D122:D123"/>
    <mergeCell ref="E122:E123"/>
    <mergeCell ref="F122:F123"/>
    <mergeCell ref="G122:G123"/>
    <mergeCell ref="O122:O123"/>
    <mergeCell ref="O107:O110"/>
    <mergeCell ref="C120:C121"/>
    <mergeCell ref="D106:D107"/>
    <mergeCell ref="O120:O121"/>
    <mergeCell ref="E119:H119"/>
    <mergeCell ref="X24:X25"/>
    <mergeCell ref="U24:U25"/>
    <mergeCell ref="V24:V25"/>
    <mergeCell ref="W24:W25"/>
    <mergeCell ref="X26:X27"/>
    <mergeCell ref="G36:G37"/>
    <mergeCell ref="O42:R42"/>
    <mergeCell ref="R38:R41"/>
    <mergeCell ref="O84:O85"/>
    <mergeCell ref="Q38:Q41"/>
    <mergeCell ref="P38:P41"/>
    <mergeCell ref="O38:O41"/>
    <mergeCell ref="G34:G35"/>
    <mergeCell ref="P80:P83"/>
    <mergeCell ref="G21:G25"/>
    <mergeCell ref="C18:C20"/>
    <mergeCell ref="E18:E20"/>
    <mergeCell ref="D26:D27"/>
    <mergeCell ref="D34:D35"/>
    <mergeCell ref="D36:D37"/>
    <mergeCell ref="F34:F35"/>
    <mergeCell ref="E30:E31"/>
    <mergeCell ref="F30:F31"/>
    <mergeCell ref="D30:D31"/>
    <mergeCell ref="F36:F37"/>
    <mergeCell ref="E34:E35"/>
    <mergeCell ref="C28:C29"/>
    <mergeCell ref="E26:E27"/>
    <mergeCell ref="D21:D25"/>
    <mergeCell ref="F28:F29"/>
    <mergeCell ref="G18:G20"/>
    <mergeCell ref="G30:G31"/>
    <mergeCell ref="D18:D20"/>
    <mergeCell ref="F18:F20"/>
    <mergeCell ref="R28:R29"/>
    <mergeCell ref="Q36:Q37"/>
    <mergeCell ref="O34:O35"/>
    <mergeCell ref="E36:E37"/>
    <mergeCell ref="D32:D33"/>
    <mergeCell ref="O36:O37"/>
    <mergeCell ref="O32:O33"/>
    <mergeCell ref="R36:R37"/>
    <mergeCell ref="Q28:Q29"/>
    <mergeCell ref="P28:P29"/>
    <mergeCell ref="O28:O29"/>
    <mergeCell ref="R30:R31"/>
    <mergeCell ref="P36:P37"/>
    <mergeCell ref="G26:G27"/>
    <mergeCell ref="G28:G29"/>
    <mergeCell ref="A8:R8"/>
    <mergeCell ref="A9:R9"/>
    <mergeCell ref="D15:D17"/>
    <mergeCell ref="F15:F17"/>
    <mergeCell ref="E15:E17"/>
    <mergeCell ref="F12:F13"/>
    <mergeCell ref="D12:D13"/>
    <mergeCell ref="E12:E13"/>
    <mergeCell ref="B10:R10"/>
    <mergeCell ref="C15:C17"/>
    <mergeCell ref="G15:G17"/>
    <mergeCell ref="C12:C13"/>
    <mergeCell ref="C11:R11"/>
    <mergeCell ref="O16:O17"/>
    <mergeCell ref="G12:G13"/>
    <mergeCell ref="A21:A24"/>
    <mergeCell ref="C21:C24"/>
    <mergeCell ref="A26:A27"/>
    <mergeCell ref="B26:B27"/>
    <mergeCell ref="C26:C27"/>
    <mergeCell ref="D28:D29"/>
    <mergeCell ref="F26:F27"/>
    <mergeCell ref="A32:A33"/>
    <mergeCell ref="B32:B33"/>
    <mergeCell ref="C32:C33"/>
    <mergeCell ref="E28:E29"/>
    <mergeCell ref="E21:E25"/>
    <mergeCell ref="F21:F25"/>
    <mergeCell ref="B28:B29"/>
    <mergeCell ref="A1:R1"/>
    <mergeCell ref="E5:E7"/>
    <mergeCell ref="F5:F7"/>
    <mergeCell ref="A2:R2"/>
    <mergeCell ref="A3:R3"/>
    <mergeCell ref="G5:G7"/>
    <mergeCell ref="O5:R5"/>
    <mergeCell ref="P6:R6"/>
    <mergeCell ref="N5:N7"/>
    <mergeCell ref="C4:R4"/>
    <mergeCell ref="M5:M7"/>
    <mergeCell ref="A5:A7"/>
    <mergeCell ref="I5:L5"/>
    <mergeCell ref="D5:D7"/>
    <mergeCell ref="H5:H7"/>
    <mergeCell ref="O6:O7"/>
    <mergeCell ref="I6:I7"/>
    <mergeCell ref="J6:K6"/>
    <mergeCell ref="L6:L7"/>
    <mergeCell ref="B5:B7"/>
    <mergeCell ref="C5:C7"/>
    <mergeCell ref="A18:A20"/>
    <mergeCell ref="A28:A29"/>
    <mergeCell ref="D143:D144"/>
    <mergeCell ref="O126:O127"/>
    <mergeCell ref="E126:E127"/>
    <mergeCell ref="G143:G144"/>
    <mergeCell ref="D126:D127"/>
    <mergeCell ref="F126:F127"/>
    <mergeCell ref="P71:P72"/>
    <mergeCell ref="C42:H42"/>
    <mergeCell ref="G38:G41"/>
    <mergeCell ref="F38:F41"/>
    <mergeCell ref="G53:G54"/>
    <mergeCell ref="G57:G58"/>
    <mergeCell ref="C44:C45"/>
    <mergeCell ref="D38:D41"/>
    <mergeCell ref="D46:D47"/>
    <mergeCell ref="O113:O114"/>
    <mergeCell ref="G120:G121"/>
    <mergeCell ref="O71:O72"/>
    <mergeCell ref="E120:E121"/>
    <mergeCell ref="F104:F105"/>
    <mergeCell ref="G104:G105"/>
    <mergeCell ref="C125:F125"/>
    <mergeCell ref="C124:H124"/>
    <mergeCell ref="I168:L168"/>
    <mergeCell ref="I162:L162"/>
    <mergeCell ref="O154:R154"/>
    <mergeCell ref="P157:Q157"/>
    <mergeCell ref="O155:R155"/>
    <mergeCell ref="A156:N156"/>
    <mergeCell ref="B143:B144"/>
    <mergeCell ref="P163:Q163"/>
    <mergeCell ref="O143:O144"/>
    <mergeCell ref="I164:L164"/>
    <mergeCell ref="I165:L165"/>
    <mergeCell ref="P166:Q166"/>
    <mergeCell ref="I166:L166"/>
    <mergeCell ref="I163:L163"/>
    <mergeCell ref="P168:Q168"/>
    <mergeCell ref="P165:Q165"/>
    <mergeCell ref="P164:Q164"/>
    <mergeCell ref="I167:L167"/>
    <mergeCell ref="P161:Q161"/>
    <mergeCell ref="P160:Q160"/>
    <mergeCell ref="A161:H161"/>
    <mergeCell ref="P162:Q162"/>
    <mergeCell ref="I161:L161"/>
    <mergeCell ref="I159:L159"/>
    <mergeCell ref="I158:L158"/>
    <mergeCell ref="A159:H159"/>
    <mergeCell ref="I160:L160"/>
    <mergeCell ref="A158:H158"/>
    <mergeCell ref="P159:Q159"/>
    <mergeCell ref="P158:Q158"/>
    <mergeCell ref="O153:R153"/>
    <mergeCell ref="O145:O146"/>
    <mergeCell ref="D150:D152"/>
    <mergeCell ref="E150:E152"/>
    <mergeCell ref="D145:D146"/>
    <mergeCell ref="E145:E146"/>
    <mergeCell ref="I157:L157"/>
    <mergeCell ref="A157:H157"/>
    <mergeCell ref="B154:H154"/>
    <mergeCell ref="B155:H155"/>
    <mergeCell ref="A147:A149"/>
    <mergeCell ref="A150:A152"/>
    <mergeCell ref="D147:D149"/>
    <mergeCell ref="E147:E149"/>
    <mergeCell ref="B147:B149"/>
    <mergeCell ref="G147:G149"/>
    <mergeCell ref="C153:H153"/>
    <mergeCell ref="B150:B152"/>
    <mergeCell ref="A168:H168"/>
    <mergeCell ref="A164:H164"/>
    <mergeCell ref="A165:H165"/>
    <mergeCell ref="A163:H163"/>
    <mergeCell ref="A166:H166"/>
    <mergeCell ref="A162:H162"/>
    <mergeCell ref="A160:H160"/>
    <mergeCell ref="A167:H167"/>
    <mergeCell ref="G150:G152"/>
    <mergeCell ref="A128:A129"/>
    <mergeCell ref="A143:A144"/>
    <mergeCell ref="A145:A146"/>
    <mergeCell ref="B145:B146"/>
    <mergeCell ref="G145:G146"/>
    <mergeCell ref="G128:G129"/>
    <mergeCell ref="D128:D129"/>
    <mergeCell ref="C130:H130"/>
    <mergeCell ref="C131:R131"/>
    <mergeCell ref="E143:E144"/>
    <mergeCell ref="O130:R130"/>
    <mergeCell ref="E141:E142"/>
    <mergeCell ref="F128:F129"/>
    <mergeCell ref="E128:E129"/>
    <mergeCell ref="G141:G142"/>
    <mergeCell ref="O141:O142"/>
    <mergeCell ref="O139:O140"/>
    <mergeCell ref="D141:D142"/>
    <mergeCell ref="A55:A56"/>
    <mergeCell ref="D80:D83"/>
    <mergeCell ref="D116:D117"/>
    <mergeCell ref="G116:G117"/>
    <mergeCell ref="O104:O105"/>
    <mergeCell ref="E112:E114"/>
    <mergeCell ref="O57:O58"/>
    <mergeCell ref="C62:R62"/>
    <mergeCell ref="P59:R59"/>
    <mergeCell ref="Q71:Q72"/>
    <mergeCell ref="O117:O118"/>
    <mergeCell ref="D55:D56"/>
    <mergeCell ref="G55:G56"/>
    <mergeCell ref="E57:E58"/>
    <mergeCell ref="A57:A58"/>
    <mergeCell ref="D84:D87"/>
    <mergeCell ref="E102:H102"/>
    <mergeCell ref="O64:O66"/>
    <mergeCell ref="O68:O69"/>
    <mergeCell ref="F55:F56"/>
    <mergeCell ref="O73:O75"/>
    <mergeCell ref="O76:O79"/>
    <mergeCell ref="O89:O92"/>
    <mergeCell ref="O93:O96"/>
    <mergeCell ref="A50:A52"/>
    <mergeCell ref="O124:R124"/>
    <mergeCell ref="G126:G127"/>
    <mergeCell ref="D120:D121"/>
    <mergeCell ref="E55:E56"/>
    <mergeCell ref="F120:F121"/>
    <mergeCell ref="F112:F114"/>
    <mergeCell ref="E106:E111"/>
    <mergeCell ref="C50:C52"/>
    <mergeCell ref="C57:C58"/>
    <mergeCell ref="C59:H59"/>
    <mergeCell ref="C53:C54"/>
    <mergeCell ref="D68:D70"/>
    <mergeCell ref="D71:D72"/>
    <mergeCell ref="D100:D101"/>
    <mergeCell ref="D89:D92"/>
    <mergeCell ref="D93:D96"/>
    <mergeCell ref="A53:A54"/>
    <mergeCell ref="A126:A127"/>
    <mergeCell ref="B126:B127"/>
    <mergeCell ref="D104:D105"/>
    <mergeCell ref="Q125:R125"/>
    <mergeCell ref="D113:D114"/>
    <mergeCell ref="G50:G52"/>
    <mergeCell ref="A48:A49"/>
    <mergeCell ref="C46:C47"/>
    <mergeCell ref="A46:A47"/>
    <mergeCell ref="A38:A40"/>
    <mergeCell ref="D44:D45"/>
    <mergeCell ref="C48:C49"/>
    <mergeCell ref="D48:D49"/>
    <mergeCell ref="B38:B40"/>
    <mergeCell ref="G46:G47"/>
    <mergeCell ref="E38:E41"/>
    <mergeCell ref="G48:G49"/>
    <mergeCell ref="C38:C40"/>
    <mergeCell ref="G44:G45"/>
    <mergeCell ref="F44:F45"/>
    <mergeCell ref="F46:F47"/>
    <mergeCell ref="C43:R43"/>
    <mergeCell ref="B46:B47"/>
    <mergeCell ref="B44:B45"/>
    <mergeCell ref="E44:E45"/>
    <mergeCell ref="F48:F49"/>
    <mergeCell ref="E48:E49"/>
    <mergeCell ref="E46:E47"/>
    <mergeCell ref="O98:O99"/>
    <mergeCell ref="O80:O83"/>
    <mergeCell ref="D76:D79"/>
    <mergeCell ref="D73:D75"/>
    <mergeCell ref="B50:B52"/>
    <mergeCell ref="B60:H60"/>
    <mergeCell ref="B61:R61"/>
    <mergeCell ref="D64:D67"/>
    <mergeCell ref="O60:R60"/>
    <mergeCell ref="D53:D54"/>
    <mergeCell ref="F50:F52"/>
    <mergeCell ref="F57:F58"/>
    <mergeCell ref="E50:E52"/>
    <mergeCell ref="B53:B54"/>
    <mergeCell ref="D57:D58"/>
    <mergeCell ref="C55:C56"/>
    <mergeCell ref="D50:D52"/>
    <mergeCell ref="E53:E54"/>
    <mergeCell ref="F53:F54"/>
    <mergeCell ref="E87:H87"/>
  </mergeCells>
  <phoneticPr fontId="0" type="noConversion"/>
  <printOptions horizontalCentered="1"/>
  <pageMargins left="0" right="0" top="0.35433070866141736" bottom="0.19685039370078741" header="0.31496062992125984" footer="0.31496062992125984"/>
  <pageSetup paperSize="9" scale="95" orientation="landscape" r:id="rId1"/>
  <rowBreaks count="7" manualBreakCount="7">
    <brk id="31" max="17" man="1"/>
    <brk id="52" max="17" man="1"/>
    <brk id="75" max="17" man="1"/>
    <brk id="99" max="17" man="1"/>
    <brk id="124" max="17" man="1"/>
    <brk id="140" max="17" man="1"/>
    <brk id="155" max="17" man="1"/>
  </rowBreaks>
  <colBreaks count="1" manualBreakCount="1">
    <brk id="18" max="1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workbookViewId="0">
      <selection activeCell="H20" sqref="H20"/>
    </sheetView>
  </sheetViews>
  <sheetFormatPr defaultRowHeight="12.75" x14ac:dyDescent="0.2"/>
  <cols>
    <col min="2" max="2" width="22.42578125" customWidth="1"/>
    <col min="3" max="3" width="55.85546875" customWidth="1"/>
  </cols>
  <sheetData>
    <row r="1" spans="2:3" ht="15.75" x14ac:dyDescent="0.2">
      <c r="B1" s="2303" t="s">
        <v>93</v>
      </c>
      <c r="C1" s="2303"/>
    </row>
    <row r="2" spans="2:3" ht="31.5" x14ac:dyDescent="0.2">
      <c r="B2" s="142" t="s">
        <v>16</v>
      </c>
      <c r="C2" s="143" t="s">
        <v>94</v>
      </c>
    </row>
    <row r="3" spans="2:3" ht="15.75" x14ac:dyDescent="0.2">
      <c r="B3" s="142">
        <v>1</v>
      </c>
      <c r="C3" s="144" t="s">
        <v>92</v>
      </c>
    </row>
    <row r="4" spans="2:3" ht="15.75" x14ac:dyDescent="0.2">
      <c r="B4" s="142">
        <v>2</v>
      </c>
      <c r="C4" s="145" t="s">
        <v>95</v>
      </c>
    </row>
    <row r="5" spans="2:3" ht="15.75" x14ac:dyDescent="0.2">
      <c r="B5" s="142">
        <v>3</v>
      </c>
      <c r="C5" s="144" t="s">
        <v>96</v>
      </c>
    </row>
    <row r="6" spans="2:3" ht="15.75" x14ac:dyDescent="0.2">
      <c r="B6" s="142">
        <v>4</v>
      </c>
      <c r="C6" s="144" t="s">
        <v>97</v>
      </c>
    </row>
    <row r="7" spans="2:3" ht="15.75" x14ac:dyDescent="0.2">
      <c r="B7" s="142">
        <v>5</v>
      </c>
      <c r="C7" s="144" t="s">
        <v>98</v>
      </c>
    </row>
    <row r="8" spans="2:3" ht="15.75" x14ac:dyDescent="0.2">
      <c r="B8" s="142">
        <v>6</v>
      </c>
      <c r="C8" s="144" t="s">
        <v>99</v>
      </c>
    </row>
    <row r="10" spans="2:3" ht="12.75" customHeight="1" x14ac:dyDescent="0.2">
      <c r="B10" s="2304" t="s">
        <v>100</v>
      </c>
      <c r="C10" s="2304"/>
    </row>
    <row r="11" spans="2:3" x14ac:dyDescent="0.2">
      <c r="B11" s="2304"/>
      <c r="C11" s="2304"/>
    </row>
  </sheetData>
  <mergeCells count="2">
    <mergeCell ref="B1:C1"/>
    <mergeCell ref="B10:C11"/>
  </mergeCells>
  <phoneticPr fontId="1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6"/>
  <sheetViews>
    <sheetView zoomScaleNormal="100" zoomScaleSheetLayoutView="80" workbookViewId="0">
      <selection sqref="A1:R1"/>
    </sheetView>
  </sheetViews>
  <sheetFormatPr defaultRowHeight="12.75" x14ac:dyDescent="0.2"/>
  <cols>
    <col min="1" max="3" width="2.42578125" style="6" customWidth="1"/>
    <col min="4" max="4" width="34.7109375" style="6" customWidth="1"/>
    <col min="5" max="5" width="3.5703125" style="214" customWidth="1"/>
    <col min="6" max="6" width="3" style="61" customWidth="1"/>
    <col min="7" max="7" width="8.140625" style="1031" customWidth="1"/>
    <col min="8" max="8" width="9.85546875" style="974" hidden="1" customWidth="1"/>
    <col min="9" max="9" width="9.7109375" style="209" customWidth="1"/>
    <col min="10" max="10" width="8.42578125" style="209" hidden="1" customWidth="1"/>
    <col min="11" max="11" width="8.5703125" style="209" hidden="1" customWidth="1"/>
    <col min="12" max="12" width="7.42578125" style="209" hidden="1" customWidth="1"/>
    <col min="13" max="14" width="8.85546875" style="209" customWidth="1"/>
    <col min="15" max="15" width="26.42578125" style="6" customWidth="1"/>
    <col min="16" max="16" width="6.140625" style="18" customWidth="1"/>
    <col min="17" max="17" width="6.85546875" style="61" customWidth="1"/>
    <col min="18" max="18" width="5.85546875" style="1046" customWidth="1"/>
    <col min="19" max="19" width="9.140625" style="2" customWidth="1"/>
    <col min="20" max="16384" width="9.140625" style="2"/>
  </cols>
  <sheetData>
    <row r="1" spans="1:22" x14ac:dyDescent="0.2">
      <c r="A1" s="2178" t="s">
        <v>220</v>
      </c>
      <c r="B1" s="2178"/>
      <c r="C1" s="2178"/>
      <c r="D1" s="2178"/>
      <c r="E1" s="2178"/>
      <c r="F1" s="2178"/>
      <c r="G1" s="2178"/>
      <c r="H1" s="2178"/>
      <c r="I1" s="2178"/>
      <c r="J1" s="2178"/>
      <c r="K1" s="2178"/>
      <c r="L1" s="2178"/>
      <c r="M1" s="2178"/>
      <c r="N1" s="2178"/>
      <c r="O1" s="2178"/>
      <c r="P1" s="2178"/>
      <c r="Q1" s="2178"/>
      <c r="R1" s="2178"/>
    </row>
    <row r="2" spans="1:22" x14ac:dyDescent="0.2">
      <c r="A2" s="2185" t="s">
        <v>39</v>
      </c>
      <c r="B2" s="2185"/>
      <c r="C2" s="2185"/>
      <c r="D2" s="2185"/>
      <c r="E2" s="2185"/>
      <c r="F2" s="2185"/>
      <c r="G2" s="2185"/>
      <c r="H2" s="2185"/>
      <c r="I2" s="2185"/>
      <c r="J2" s="2185"/>
      <c r="K2" s="2185"/>
      <c r="L2" s="2185"/>
      <c r="M2" s="2185"/>
      <c r="N2" s="2185"/>
      <c r="O2" s="2185"/>
      <c r="P2" s="2185"/>
      <c r="Q2" s="2185"/>
      <c r="R2" s="2185"/>
    </row>
    <row r="3" spans="1:22" x14ac:dyDescent="0.2">
      <c r="A3" s="2186" t="s">
        <v>215</v>
      </c>
      <c r="B3" s="2186"/>
      <c r="C3" s="2186"/>
      <c r="D3" s="2186"/>
      <c r="E3" s="2186"/>
      <c r="F3" s="2186"/>
      <c r="G3" s="2186"/>
      <c r="H3" s="2186"/>
      <c r="I3" s="2186"/>
      <c r="J3" s="2186"/>
      <c r="K3" s="2186"/>
      <c r="L3" s="2186"/>
      <c r="M3" s="2186"/>
      <c r="N3" s="2186"/>
      <c r="O3" s="2186"/>
      <c r="P3" s="2186"/>
      <c r="Q3" s="2186"/>
      <c r="R3" s="2186"/>
    </row>
    <row r="4" spans="1:22" ht="13.5" thickBot="1" x14ac:dyDescent="0.25">
      <c r="A4" s="1032"/>
      <c r="B4" s="1032"/>
      <c r="C4" s="2199" t="s">
        <v>8</v>
      </c>
      <c r="D4" s="2199"/>
      <c r="E4" s="2199"/>
      <c r="F4" s="2199"/>
      <c r="G4" s="2199"/>
      <c r="H4" s="2199"/>
      <c r="I4" s="2199"/>
      <c r="J4" s="2199"/>
      <c r="K4" s="2199"/>
      <c r="L4" s="2199"/>
      <c r="M4" s="2199"/>
      <c r="N4" s="2199"/>
      <c r="O4" s="2199"/>
      <c r="P4" s="2199"/>
      <c r="Q4" s="2199"/>
      <c r="R4" s="2199"/>
    </row>
    <row r="5" spans="1:22" x14ac:dyDescent="0.2">
      <c r="A5" s="2200" t="s">
        <v>12</v>
      </c>
      <c r="B5" s="2216" t="s">
        <v>13</v>
      </c>
      <c r="C5" s="2216" t="s">
        <v>14</v>
      </c>
      <c r="D5" s="2203" t="s">
        <v>31</v>
      </c>
      <c r="E5" s="2179" t="s">
        <v>15</v>
      </c>
      <c r="F5" s="2187" t="s">
        <v>16</v>
      </c>
      <c r="G5" s="2206" t="s">
        <v>17</v>
      </c>
      <c r="H5" s="2440" t="s">
        <v>276</v>
      </c>
      <c r="I5" s="2443" t="s">
        <v>276</v>
      </c>
      <c r="J5" s="2444"/>
      <c r="K5" s="2444"/>
      <c r="L5" s="2445"/>
      <c r="M5" s="2452" t="s">
        <v>104</v>
      </c>
      <c r="N5" s="2452" t="s">
        <v>221</v>
      </c>
      <c r="O5" s="2190" t="s">
        <v>71</v>
      </c>
      <c r="P5" s="2191"/>
      <c r="Q5" s="2191"/>
      <c r="R5" s="2192"/>
    </row>
    <row r="6" spans="1:22" x14ac:dyDescent="0.2">
      <c r="A6" s="2201"/>
      <c r="B6" s="2217"/>
      <c r="C6" s="2217"/>
      <c r="D6" s="2204"/>
      <c r="E6" s="2180"/>
      <c r="F6" s="2188"/>
      <c r="G6" s="2207"/>
      <c r="H6" s="2441"/>
      <c r="I6" s="2446"/>
      <c r="J6" s="2447"/>
      <c r="K6" s="2447"/>
      <c r="L6" s="2448"/>
      <c r="M6" s="2453"/>
      <c r="N6" s="2453"/>
      <c r="O6" s="2209" t="s">
        <v>31</v>
      </c>
      <c r="P6" s="2193" t="s">
        <v>281</v>
      </c>
      <c r="Q6" s="2194"/>
      <c r="R6" s="2195"/>
    </row>
    <row r="7" spans="1:22" ht="106.5" customHeight="1" thickBot="1" x14ac:dyDescent="0.25">
      <c r="A7" s="2202"/>
      <c r="B7" s="2218"/>
      <c r="C7" s="2218"/>
      <c r="D7" s="2205"/>
      <c r="E7" s="2181"/>
      <c r="F7" s="2189"/>
      <c r="G7" s="2208"/>
      <c r="H7" s="2442"/>
      <c r="I7" s="2449"/>
      <c r="J7" s="2450"/>
      <c r="K7" s="2450"/>
      <c r="L7" s="2451"/>
      <c r="M7" s="2454"/>
      <c r="N7" s="2454"/>
      <c r="O7" s="2210"/>
      <c r="P7" s="246" t="s">
        <v>74</v>
      </c>
      <c r="Q7" s="246" t="s">
        <v>105</v>
      </c>
      <c r="R7" s="247" t="s">
        <v>222</v>
      </c>
    </row>
    <row r="8" spans="1:22" ht="13.5" thickBot="1" x14ac:dyDescent="0.25">
      <c r="A8" s="2231" t="s">
        <v>41</v>
      </c>
      <c r="B8" s="2232"/>
      <c r="C8" s="2232"/>
      <c r="D8" s="2232"/>
      <c r="E8" s="2232"/>
      <c r="F8" s="2232"/>
      <c r="G8" s="2232"/>
      <c r="H8" s="2232"/>
      <c r="I8" s="2232"/>
      <c r="J8" s="2232"/>
      <c r="K8" s="2232"/>
      <c r="L8" s="2232"/>
      <c r="M8" s="2232"/>
      <c r="N8" s="2232"/>
      <c r="O8" s="2232"/>
      <c r="P8" s="2232"/>
      <c r="Q8" s="2232"/>
      <c r="R8" s="2233"/>
    </row>
    <row r="9" spans="1:22" ht="13.5" thickBot="1" x14ac:dyDescent="0.25">
      <c r="A9" s="2234" t="s">
        <v>40</v>
      </c>
      <c r="B9" s="2235"/>
      <c r="C9" s="2235"/>
      <c r="D9" s="2235"/>
      <c r="E9" s="2235"/>
      <c r="F9" s="2235"/>
      <c r="G9" s="2235"/>
      <c r="H9" s="2235"/>
      <c r="I9" s="2235"/>
      <c r="J9" s="2235"/>
      <c r="K9" s="2235"/>
      <c r="L9" s="2235"/>
      <c r="M9" s="2235"/>
      <c r="N9" s="2235"/>
      <c r="O9" s="2235"/>
      <c r="P9" s="2235"/>
      <c r="Q9" s="2235"/>
      <c r="R9" s="2236"/>
    </row>
    <row r="10" spans="1:22" ht="13.5" thickBot="1" x14ac:dyDescent="0.25">
      <c r="A10" s="123" t="s">
        <v>20</v>
      </c>
      <c r="B10" s="2242" t="s">
        <v>51</v>
      </c>
      <c r="C10" s="2243"/>
      <c r="D10" s="2243"/>
      <c r="E10" s="2243"/>
      <c r="F10" s="2243"/>
      <c r="G10" s="2243"/>
      <c r="H10" s="2243"/>
      <c r="I10" s="2243"/>
      <c r="J10" s="2243"/>
      <c r="K10" s="2243"/>
      <c r="L10" s="2243"/>
      <c r="M10" s="2243"/>
      <c r="N10" s="2243"/>
      <c r="O10" s="2243"/>
      <c r="P10" s="2243"/>
      <c r="Q10" s="2243"/>
      <c r="R10" s="2244"/>
    </row>
    <row r="11" spans="1:22" ht="13.5" thickBot="1" x14ac:dyDescent="0.25">
      <c r="A11" s="219" t="s">
        <v>20</v>
      </c>
      <c r="B11" s="98" t="s">
        <v>20</v>
      </c>
      <c r="C11" s="2052" t="s">
        <v>182</v>
      </c>
      <c r="D11" s="2053"/>
      <c r="E11" s="2053"/>
      <c r="F11" s="2053"/>
      <c r="G11" s="2247"/>
      <c r="H11" s="2247"/>
      <c r="I11" s="2247"/>
      <c r="J11" s="2247"/>
      <c r="K11" s="2247"/>
      <c r="L11" s="2247"/>
      <c r="M11" s="2247"/>
      <c r="N11" s="2247"/>
      <c r="O11" s="2247"/>
      <c r="P11" s="2247"/>
      <c r="Q11" s="2247"/>
      <c r="R11" s="2248"/>
    </row>
    <row r="12" spans="1:22" x14ac:dyDescent="0.2">
      <c r="A12" s="25" t="s">
        <v>20</v>
      </c>
      <c r="B12" s="16" t="s">
        <v>20</v>
      </c>
      <c r="C12" s="2246" t="s">
        <v>20</v>
      </c>
      <c r="D12" s="2438" t="s">
        <v>102</v>
      </c>
      <c r="E12" s="2240"/>
      <c r="F12" s="886" t="s">
        <v>43</v>
      </c>
      <c r="G12" s="135" t="s">
        <v>22</v>
      </c>
      <c r="H12" s="931">
        <f>69796.1/3.4528*1000</f>
        <v>20214348</v>
      </c>
      <c r="I12" s="1096">
        <f t="shared" ref="I12" si="0">+J12+L12</f>
        <v>69824.899999999994</v>
      </c>
      <c r="J12" s="475">
        <v>69824.899999999994</v>
      </c>
      <c r="K12" s="475">
        <v>48274.400000000001</v>
      </c>
      <c r="L12" s="724"/>
      <c r="M12" s="713">
        <v>69824.899999999994</v>
      </c>
      <c r="N12" s="713">
        <v>69824.899999999994</v>
      </c>
      <c r="O12" s="876"/>
      <c r="P12" s="77"/>
      <c r="Q12" s="78"/>
      <c r="R12" s="675"/>
    </row>
    <row r="13" spans="1:22" x14ac:dyDescent="0.2">
      <c r="A13" s="26"/>
      <c r="B13" s="27"/>
      <c r="C13" s="2222"/>
      <c r="D13" s="2439"/>
      <c r="E13" s="2241"/>
      <c r="F13" s="886"/>
      <c r="G13" s="117" t="s">
        <v>25</v>
      </c>
      <c r="H13" s="932">
        <f>102252.1/3.4528*1000</f>
        <v>29614255</v>
      </c>
      <c r="I13" s="1096">
        <f>J13+L13</f>
        <v>102252.1</v>
      </c>
      <c r="J13" s="712">
        <v>102107.9</v>
      </c>
      <c r="K13" s="712">
        <v>75676.800000000003</v>
      </c>
      <c r="L13" s="717">
        <v>144.19999999999999</v>
      </c>
      <c r="M13" s="3">
        <v>102252.1</v>
      </c>
      <c r="N13" s="3">
        <v>102252.1</v>
      </c>
      <c r="O13" s="1048"/>
      <c r="P13" s="377"/>
      <c r="Q13" s="1046"/>
      <c r="R13" s="622"/>
    </row>
    <row r="14" spans="1:22" x14ac:dyDescent="0.2">
      <c r="A14" s="26"/>
      <c r="B14" s="27"/>
      <c r="C14" s="1034"/>
      <c r="D14" s="890"/>
      <c r="E14" s="1055"/>
      <c r="F14" s="886"/>
      <c r="G14" s="376" t="s">
        <v>91</v>
      </c>
      <c r="H14" s="994">
        <f>17293/3.4528*1000</f>
        <v>5008399</v>
      </c>
      <c r="I14" s="649">
        <f>J14+L14</f>
        <v>17292.599999999999</v>
      </c>
      <c r="J14" s="239">
        <v>17167.599999999999</v>
      </c>
      <c r="K14" s="239">
        <v>3110.6</v>
      </c>
      <c r="L14" s="698">
        <v>125</v>
      </c>
      <c r="M14" s="793">
        <f>17293</f>
        <v>17293</v>
      </c>
      <c r="N14" s="793">
        <f>17293</f>
        <v>17293</v>
      </c>
      <c r="O14" s="860"/>
      <c r="P14" s="377"/>
      <c r="Q14" s="1046"/>
      <c r="R14" s="622"/>
    </row>
    <row r="15" spans="1:22" ht="25.5" x14ac:dyDescent="0.2">
      <c r="A15" s="26"/>
      <c r="B15" s="1033"/>
      <c r="C15" s="155"/>
      <c r="D15" s="2432" t="s">
        <v>191</v>
      </c>
      <c r="E15" s="864"/>
      <c r="F15" s="886"/>
      <c r="G15" s="248"/>
      <c r="H15" s="934"/>
      <c r="I15" s="1097"/>
      <c r="J15" s="1098"/>
      <c r="K15" s="1098"/>
      <c r="L15" s="1099"/>
      <c r="M15" s="1100"/>
      <c r="N15" s="1100"/>
      <c r="O15" s="1078" t="s">
        <v>282</v>
      </c>
      <c r="P15" s="714" t="s">
        <v>227</v>
      </c>
      <c r="Q15" s="714" t="s">
        <v>228</v>
      </c>
      <c r="R15" s="715" t="s">
        <v>229</v>
      </c>
      <c r="T15" s="157"/>
      <c r="U15" s="157"/>
      <c r="V15" s="157"/>
    </row>
    <row r="16" spans="1:22" x14ac:dyDescent="0.2">
      <c r="A16" s="26"/>
      <c r="B16" s="27"/>
      <c r="C16" s="155"/>
      <c r="D16" s="2122"/>
      <c r="E16" s="864"/>
      <c r="F16" s="886"/>
      <c r="G16" s="652"/>
      <c r="H16" s="935"/>
      <c r="I16" s="503"/>
      <c r="J16" s="225"/>
      <c r="K16" s="1101"/>
      <c r="L16" s="1102"/>
      <c r="M16" s="884"/>
      <c r="N16" s="885"/>
      <c r="O16" s="231" t="s">
        <v>236</v>
      </c>
      <c r="P16" s="873" t="s">
        <v>230</v>
      </c>
      <c r="Q16" s="874" t="s">
        <v>231</v>
      </c>
      <c r="R16" s="875" t="s">
        <v>232</v>
      </c>
    </row>
    <row r="17" spans="1:23" x14ac:dyDescent="0.2">
      <c r="A17" s="26"/>
      <c r="B17" s="27"/>
      <c r="C17" s="155"/>
      <c r="D17" s="871"/>
      <c r="E17" s="864"/>
      <c r="F17" s="886"/>
      <c r="G17" s="652"/>
      <c r="H17" s="935"/>
      <c r="I17" s="1103"/>
      <c r="J17" s="1104"/>
      <c r="K17" s="1104"/>
      <c r="L17" s="1105"/>
      <c r="M17" s="650"/>
      <c r="N17" s="650"/>
      <c r="O17" s="2433" t="s">
        <v>283</v>
      </c>
      <c r="P17" s="714" t="s">
        <v>233</v>
      </c>
      <c r="Q17" s="714" t="s">
        <v>234</v>
      </c>
      <c r="R17" s="715" t="s">
        <v>235</v>
      </c>
      <c r="T17" s="157"/>
      <c r="U17" s="157"/>
      <c r="V17" s="157"/>
      <c r="W17" s="157"/>
    </row>
    <row r="18" spans="1:23" x14ac:dyDescent="0.2">
      <c r="A18" s="26"/>
      <c r="B18" s="27"/>
      <c r="C18" s="155"/>
      <c r="D18" s="871"/>
      <c r="E18" s="864"/>
      <c r="F18" s="886"/>
      <c r="G18" s="376"/>
      <c r="H18" s="933"/>
      <c r="I18" s="1106"/>
      <c r="J18" s="1107"/>
      <c r="K18" s="1107"/>
      <c r="L18" s="1108"/>
      <c r="M18" s="797"/>
      <c r="N18" s="797"/>
      <c r="O18" s="2434"/>
      <c r="P18" s="877"/>
      <c r="Q18" s="877"/>
      <c r="R18" s="878"/>
      <c r="T18" s="157"/>
      <c r="U18" s="157"/>
      <c r="V18" s="157"/>
      <c r="W18" s="157"/>
    </row>
    <row r="19" spans="1:23" x14ac:dyDescent="0.2">
      <c r="A19" s="26"/>
      <c r="B19" s="27"/>
      <c r="C19" s="1036"/>
      <c r="D19" s="872"/>
      <c r="E19" s="1045"/>
      <c r="F19" s="887"/>
      <c r="G19" s="901"/>
      <c r="H19" s="936"/>
      <c r="I19" s="584"/>
      <c r="J19" s="1109"/>
      <c r="K19" s="1109"/>
      <c r="L19" s="1110"/>
      <c r="M19" s="1111"/>
      <c r="N19" s="1112"/>
      <c r="O19" s="892" t="s">
        <v>237</v>
      </c>
      <c r="P19" s="1047">
        <v>244</v>
      </c>
      <c r="Q19" s="1056">
        <v>300</v>
      </c>
      <c r="R19" s="1057">
        <v>340</v>
      </c>
      <c r="U19" s="889"/>
      <c r="V19" s="889"/>
    </row>
    <row r="20" spans="1:23" x14ac:dyDescent="0.2">
      <c r="A20" s="2153"/>
      <c r="B20" s="27"/>
      <c r="C20" s="2226"/>
      <c r="D20" s="2237" t="s">
        <v>267</v>
      </c>
      <c r="E20" s="2229"/>
      <c r="F20" s="2435"/>
      <c r="G20" s="248"/>
      <c r="H20" s="934"/>
      <c r="I20" s="333"/>
      <c r="J20" s="1113"/>
      <c r="K20" s="1113"/>
      <c r="L20" s="1114"/>
      <c r="M20" s="1115"/>
      <c r="N20" s="1100"/>
      <c r="O20" s="2436" t="s">
        <v>284</v>
      </c>
      <c r="P20" s="2428">
        <v>8</v>
      </c>
      <c r="Q20" s="2428">
        <v>7</v>
      </c>
      <c r="R20" s="2430">
        <v>6</v>
      </c>
    </row>
    <row r="21" spans="1:23" x14ac:dyDescent="0.2">
      <c r="A21" s="2153"/>
      <c r="B21" s="27"/>
      <c r="C21" s="2226"/>
      <c r="D21" s="2237"/>
      <c r="E21" s="2229"/>
      <c r="F21" s="2435"/>
      <c r="G21" s="891"/>
      <c r="H21" s="937"/>
      <c r="I21" s="649"/>
      <c r="J21" s="238"/>
      <c r="K21" s="239"/>
      <c r="L21" s="1102"/>
      <c r="M21" s="188"/>
      <c r="N21" s="513"/>
      <c r="O21" s="2437"/>
      <c r="P21" s="2429"/>
      <c r="Q21" s="2429"/>
      <c r="R21" s="2431"/>
    </row>
    <row r="22" spans="1:23" x14ac:dyDescent="0.2">
      <c r="A22" s="2153"/>
      <c r="B22" s="27"/>
      <c r="C22" s="2222"/>
      <c r="D22" s="2432"/>
      <c r="E22" s="2241"/>
      <c r="F22" s="2251"/>
      <c r="G22" s="376"/>
      <c r="H22" s="933"/>
      <c r="I22" s="503"/>
      <c r="J22" s="225"/>
      <c r="K22" s="225"/>
      <c r="L22" s="698"/>
      <c r="M22" s="884"/>
      <c r="N22" s="884"/>
      <c r="O22" s="1079" t="s">
        <v>285</v>
      </c>
      <c r="P22" s="718">
        <v>2119</v>
      </c>
      <c r="Q22" s="718">
        <v>2200</v>
      </c>
      <c r="R22" s="719">
        <v>2200</v>
      </c>
    </row>
    <row r="23" spans="1:23" x14ac:dyDescent="0.2">
      <c r="A23" s="1025"/>
      <c r="B23" s="27"/>
      <c r="C23" s="1029"/>
      <c r="D23" s="1022"/>
      <c r="E23" s="1055"/>
      <c r="F23" s="886"/>
      <c r="G23" s="902"/>
      <c r="H23" s="938"/>
      <c r="I23" s="360"/>
      <c r="J23" s="1116"/>
      <c r="K23" s="1117"/>
      <c r="L23" s="1118"/>
      <c r="M23" s="1119"/>
      <c r="N23" s="1116"/>
      <c r="O23" s="893" t="s">
        <v>238</v>
      </c>
      <c r="P23" s="894">
        <v>1060</v>
      </c>
      <c r="Q23" s="895">
        <v>1040</v>
      </c>
      <c r="R23" s="896">
        <v>1020</v>
      </c>
    </row>
    <row r="24" spans="1:23" x14ac:dyDescent="0.2">
      <c r="A24" s="2154"/>
      <c r="B24" s="1033"/>
      <c r="C24" s="2164"/>
      <c r="D24" s="2237" t="s">
        <v>268</v>
      </c>
      <c r="E24" s="2229"/>
      <c r="F24" s="2423"/>
      <c r="G24" s="248"/>
      <c r="H24" s="934"/>
      <c r="I24" s="1120"/>
      <c r="J24" s="1121"/>
      <c r="K24" s="1121"/>
      <c r="L24" s="1122"/>
      <c r="M24" s="793"/>
      <c r="N24" s="793"/>
      <c r="O24" s="756" t="s">
        <v>239</v>
      </c>
      <c r="P24" s="757">
        <v>36</v>
      </c>
      <c r="Q24" s="757">
        <v>35</v>
      </c>
      <c r="R24" s="758">
        <v>35</v>
      </c>
    </row>
    <row r="25" spans="1:23" x14ac:dyDescent="0.2">
      <c r="A25" s="2154"/>
      <c r="B25" s="1033"/>
      <c r="C25" s="2164"/>
      <c r="D25" s="2237"/>
      <c r="E25" s="2229"/>
      <c r="F25" s="2423"/>
      <c r="G25" s="652"/>
      <c r="H25" s="935"/>
      <c r="I25" s="649"/>
      <c r="J25" s="239"/>
      <c r="K25" s="239"/>
      <c r="L25" s="698"/>
      <c r="M25" s="1123"/>
      <c r="N25" s="485"/>
      <c r="O25" s="723" t="s">
        <v>240</v>
      </c>
      <c r="P25" s="1058">
        <v>16960</v>
      </c>
      <c r="Q25" s="1058">
        <v>17000</v>
      </c>
      <c r="R25" s="1077">
        <v>17000</v>
      </c>
    </row>
    <row r="26" spans="1:23" x14ac:dyDescent="0.2">
      <c r="A26" s="2154"/>
      <c r="B26" s="1033"/>
      <c r="C26" s="2164"/>
      <c r="D26" s="2237"/>
      <c r="E26" s="2229"/>
      <c r="F26" s="2423"/>
      <c r="G26" s="652"/>
      <c r="H26" s="935"/>
      <c r="I26" s="649"/>
      <c r="J26" s="239"/>
      <c r="K26" s="239"/>
      <c r="L26" s="240"/>
      <c r="M26" s="797"/>
      <c r="N26" s="697"/>
      <c r="O26" s="720"/>
      <c r="P26" s="721"/>
      <c r="Q26" s="721"/>
      <c r="R26" s="722"/>
    </row>
    <row r="27" spans="1:23" x14ac:dyDescent="0.2">
      <c r="A27" s="2219"/>
      <c r="B27" s="2220"/>
      <c r="C27" s="2222"/>
      <c r="D27" s="2237" t="s">
        <v>241</v>
      </c>
      <c r="E27" s="2426"/>
      <c r="F27" s="2417"/>
      <c r="G27" s="248"/>
      <c r="H27" s="934"/>
      <c r="I27" s="1124"/>
      <c r="J27" s="1113"/>
      <c r="K27" s="1113"/>
      <c r="L27" s="1114"/>
      <c r="M27" s="1100"/>
      <c r="N27" s="1114"/>
      <c r="O27" s="723" t="s">
        <v>65</v>
      </c>
      <c r="P27" s="1058">
        <v>6</v>
      </c>
      <c r="Q27" s="1058">
        <v>6</v>
      </c>
      <c r="R27" s="1077">
        <v>6</v>
      </c>
    </row>
    <row r="28" spans="1:23" x14ac:dyDescent="0.2">
      <c r="A28" s="2154"/>
      <c r="B28" s="2221"/>
      <c r="C28" s="2222"/>
      <c r="D28" s="2254"/>
      <c r="E28" s="2284"/>
      <c r="F28" s="2427"/>
      <c r="G28" s="376"/>
      <c r="H28" s="933"/>
      <c r="I28" s="649"/>
      <c r="J28" s="754"/>
      <c r="K28" s="754"/>
      <c r="L28" s="760"/>
      <c r="M28" s="650"/>
      <c r="N28" s="111"/>
      <c r="O28" s="996" t="s">
        <v>242</v>
      </c>
      <c r="P28" s="1058">
        <v>5049</v>
      </c>
      <c r="Q28" s="1058">
        <v>5050</v>
      </c>
      <c r="R28" s="1077">
        <v>5100</v>
      </c>
      <c r="S28" s="109"/>
    </row>
    <row r="29" spans="1:23" x14ac:dyDescent="0.2">
      <c r="A29" s="2154"/>
      <c r="B29" s="2221"/>
      <c r="C29" s="2222"/>
      <c r="D29" s="2223" t="s">
        <v>141</v>
      </c>
      <c r="E29" s="2228"/>
      <c r="F29" s="2417"/>
      <c r="G29" s="248"/>
      <c r="H29" s="934"/>
      <c r="I29" s="1120"/>
      <c r="J29" s="1121"/>
      <c r="K29" s="1121"/>
      <c r="L29" s="759"/>
      <c r="M29" s="793"/>
      <c r="N29" s="1122"/>
      <c r="O29" s="2271" t="s">
        <v>80</v>
      </c>
      <c r="P29" s="2269">
        <v>4</v>
      </c>
      <c r="Q29" s="2269">
        <v>4.5</v>
      </c>
      <c r="R29" s="2256">
        <v>5</v>
      </c>
    </row>
    <row r="30" spans="1:23" x14ac:dyDescent="0.2">
      <c r="A30" s="2154"/>
      <c r="B30" s="2221"/>
      <c r="C30" s="2222"/>
      <c r="D30" s="2223"/>
      <c r="E30" s="2228"/>
      <c r="F30" s="2417"/>
      <c r="G30" s="376"/>
      <c r="H30" s="933"/>
      <c r="I30" s="649"/>
      <c r="J30" s="239"/>
      <c r="K30" s="239"/>
      <c r="L30" s="227"/>
      <c r="M30" s="797"/>
      <c r="N30" s="240"/>
      <c r="O30" s="2083"/>
      <c r="P30" s="2270"/>
      <c r="Q30" s="2270"/>
      <c r="R30" s="2257"/>
    </row>
    <row r="31" spans="1:23" x14ac:dyDescent="0.2">
      <c r="A31" s="2154"/>
      <c r="B31" s="2221"/>
      <c r="C31" s="2222"/>
      <c r="D31" s="2425"/>
      <c r="E31" s="2012"/>
      <c r="F31" s="1994"/>
      <c r="G31" s="380"/>
      <c r="H31" s="939"/>
      <c r="I31" s="264"/>
      <c r="J31" s="244"/>
      <c r="K31" s="794"/>
      <c r="L31" s="785"/>
      <c r="M31" s="702"/>
      <c r="N31" s="692"/>
      <c r="O31" s="2419"/>
      <c r="P31" s="2420"/>
      <c r="Q31" s="2420"/>
      <c r="R31" s="2421"/>
    </row>
    <row r="32" spans="1:23" x14ac:dyDescent="0.2">
      <c r="A32" s="185"/>
      <c r="B32" s="27"/>
      <c r="C32" s="186"/>
      <c r="D32" s="2223" t="s">
        <v>142</v>
      </c>
      <c r="E32" s="2422"/>
      <c r="F32" s="2423"/>
      <c r="G32" s="248"/>
      <c r="H32" s="934"/>
      <c r="I32" s="288"/>
      <c r="J32" s="216"/>
      <c r="K32" s="216"/>
      <c r="L32" s="693"/>
      <c r="M32" s="791"/>
      <c r="N32" s="791"/>
      <c r="O32" s="187" t="s">
        <v>114</v>
      </c>
      <c r="P32" s="1058">
        <v>92</v>
      </c>
      <c r="Q32" s="1058">
        <v>130</v>
      </c>
      <c r="R32" s="1077">
        <v>145</v>
      </c>
    </row>
    <row r="33" spans="1:20" x14ac:dyDescent="0.2">
      <c r="A33" s="185"/>
      <c r="B33" s="27"/>
      <c r="C33" s="186"/>
      <c r="D33" s="2280"/>
      <c r="E33" s="2277"/>
      <c r="F33" s="2424"/>
      <c r="G33" s="751"/>
      <c r="H33" s="940"/>
      <c r="I33" s="264"/>
      <c r="J33" s="244"/>
      <c r="K33" s="244"/>
      <c r="L33" s="692"/>
      <c r="M33" s="702"/>
      <c r="N33" s="702"/>
      <c r="O33" s="897"/>
      <c r="P33" s="898"/>
      <c r="Q33" s="899"/>
      <c r="R33" s="900"/>
    </row>
    <row r="34" spans="1:20" x14ac:dyDescent="0.2">
      <c r="A34" s="185"/>
      <c r="B34" s="27"/>
      <c r="C34" s="155"/>
      <c r="D34" s="2239" t="s">
        <v>183</v>
      </c>
      <c r="E34" s="2228"/>
      <c r="F34" s="2417"/>
      <c r="G34" s="248"/>
      <c r="H34" s="934"/>
      <c r="I34" s="1120"/>
      <c r="J34" s="1121"/>
      <c r="K34" s="1121"/>
      <c r="L34" s="217"/>
      <c r="M34" s="793"/>
      <c r="N34" s="793"/>
      <c r="O34" s="2418" t="s">
        <v>115</v>
      </c>
      <c r="P34" s="728">
        <v>250</v>
      </c>
      <c r="Q34" s="728">
        <v>255</v>
      </c>
      <c r="R34" s="716">
        <v>260</v>
      </c>
      <c r="T34" s="157"/>
    </row>
    <row r="35" spans="1:20" x14ac:dyDescent="0.2">
      <c r="A35" s="185"/>
      <c r="B35" s="27"/>
      <c r="C35" s="155"/>
      <c r="D35" s="2261"/>
      <c r="E35" s="2012"/>
      <c r="F35" s="1994"/>
      <c r="G35" s="652"/>
      <c r="H35" s="935"/>
      <c r="I35" s="649"/>
      <c r="J35" s="239"/>
      <c r="K35" s="239"/>
      <c r="L35" s="227"/>
      <c r="M35" s="797"/>
      <c r="N35" s="240"/>
      <c r="O35" s="2418"/>
      <c r="P35" s="728"/>
      <c r="Q35" s="728"/>
      <c r="R35" s="716"/>
      <c r="T35" s="157"/>
    </row>
    <row r="36" spans="1:20" x14ac:dyDescent="0.2">
      <c r="A36" s="185"/>
      <c r="B36" s="27"/>
      <c r="C36" s="155"/>
      <c r="D36" s="2030" t="s">
        <v>244</v>
      </c>
      <c r="E36" s="1007"/>
      <c r="F36" s="1014"/>
      <c r="G36" s="652"/>
      <c r="H36" s="935"/>
      <c r="I36" s="503"/>
      <c r="J36" s="1125"/>
      <c r="K36" s="883"/>
      <c r="L36" s="227"/>
      <c r="M36" s="884"/>
      <c r="N36" s="885"/>
      <c r="O36" s="786" t="s">
        <v>243</v>
      </c>
      <c r="P36" s="1056">
        <v>9</v>
      </c>
      <c r="Q36" s="728"/>
      <c r="R36" s="716"/>
      <c r="T36" s="157"/>
    </row>
    <row r="37" spans="1:20" x14ac:dyDescent="0.2">
      <c r="A37" s="185"/>
      <c r="B37" s="27"/>
      <c r="C37" s="155"/>
      <c r="D37" s="2030"/>
      <c r="E37" s="1007"/>
      <c r="F37" s="1014"/>
      <c r="G37" s="901"/>
      <c r="H37" s="936"/>
      <c r="I37" s="584"/>
      <c r="J37" s="1112"/>
      <c r="K37" s="1126"/>
      <c r="L37" s="1110"/>
      <c r="M37" s="1111"/>
      <c r="N37" s="1110"/>
      <c r="O37" s="763"/>
      <c r="P37" s="761"/>
      <c r="Q37" s="761"/>
      <c r="R37" s="762"/>
    </row>
    <row r="38" spans="1:20" x14ac:dyDescent="0.2">
      <c r="A38" s="1004"/>
      <c r="B38" s="997"/>
      <c r="C38" s="1005"/>
      <c r="D38" s="2411" t="s">
        <v>263</v>
      </c>
      <c r="E38" s="2413"/>
      <c r="F38" s="2395"/>
      <c r="G38" s="868"/>
      <c r="H38" s="941"/>
      <c r="I38" s="1120"/>
      <c r="J38" s="1121"/>
      <c r="K38" s="1127"/>
      <c r="L38" s="1128"/>
      <c r="M38" s="793"/>
      <c r="N38" s="1122"/>
      <c r="O38" s="882" t="s">
        <v>65</v>
      </c>
      <c r="P38" s="1049">
        <v>92</v>
      </c>
      <c r="Q38" s="115">
        <v>92</v>
      </c>
      <c r="R38" s="99">
        <v>92</v>
      </c>
    </row>
    <row r="39" spans="1:20" ht="13.5" thickBot="1" x14ac:dyDescent="0.25">
      <c r="A39" s="536"/>
      <c r="B39" s="28"/>
      <c r="C39" s="784"/>
      <c r="D39" s="2412"/>
      <c r="E39" s="2414"/>
      <c r="F39" s="2343"/>
      <c r="G39" s="299" t="s">
        <v>23</v>
      </c>
      <c r="H39" s="942">
        <f t="shared" ref="H39:N39" si="1">SUM(H12:H38)</f>
        <v>54837002</v>
      </c>
      <c r="I39" s="300">
        <f t="shared" si="1"/>
        <v>189369.60000000001</v>
      </c>
      <c r="J39" s="300">
        <f t="shared" si="1"/>
        <v>189100.4</v>
      </c>
      <c r="K39" s="300">
        <f t="shared" si="1"/>
        <v>127061.8</v>
      </c>
      <c r="L39" s="300">
        <f t="shared" si="1"/>
        <v>269.2</v>
      </c>
      <c r="M39" s="300">
        <f t="shared" si="1"/>
        <v>189370</v>
      </c>
      <c r="N39" s="300">
        <f t="shared" si="1"/>
        <v>189370</v>
      </c>
      <c r="O39" s="881"/>
      <c r="P39" s="619"/>
      <c r="Q39" s="619"/>
      <c r="R39" s="189"/>
      <c r="T39" s="211"/>
    </row>
    <row r="40" spans="1:20" ht="32.25" customHeight="1" x14ac:dyDescent="0.2">
      <c r="A40" s="1017" t="s">
        <v>20</v>
      </c>
      <c r="B40" s="220" t="s">
        <v>20</v>
      </c>
      <c r="C40" s="1028" t="s">
        <v>24</v>
      </c>
      <c r="D40" s="2276" t="s">
        <v>197</v>
      </c>
      <c r="E40" s="2415" t="s">
        <v>127</v>
      </c>
      <c r="F40" s="1993">
        <v>2</v>
      </c>
      <c r="G40" s="117" t="s">
        <v>25</v>
      </c>
      <c r="H40" s="932">
        <f>50.9/3.4528*1000</f>
        <v>14742</v>
      </c>
      <c r="I40" s="331">
        <f>J40+L40</f>
        <v>50.9</v>
      </c>
      <c r="J40" s="711">
        <v>50.9</v>
      </c>
      <c r="K40" s="711">
        <v>38.799999999999997</v>
      </c>
      <c r="L40" s="218"/>
      <c r="M40" s="725">
        <f>50.9</f>
        <v>50.9</v>
      </c>
      <c r="N40" s="729">
        <f>50.9</f>
        <v>50.9</v>
      </c>
      <c r="O40" s="2407" t="s">
        <v>245</v>
      </c>
      <c r="P40" s="2294">
        <v>1</v>
      </c>
      <c r="Q40" s="2294">
        <v>1</v>
      </c>
      <c r="R40" s="2291">
        <v>1</v>
      </c>
      <c r="T40" s="210"/>
    </row>
    <row r="41" spans="1:20" ht="13.5" thickBot="1" x14ac:dyDescent="0.25">
      <c r="A41" s="1035"/>
      <c r="B41" s="28"/>
      <c r="C41" s="1051"/>
      <c r="D41" s="2167"/>
      <c r="E41" s="2416"/>
      <c r="F41" s="2402"/>
      <c r="G41" s="299" t="s">
        <v>23</v>
      </c>
      <c r="H41" s="942">
        <f>H40</f>
        <v>14742</v>
      </c>
      <c r="I41" s="300">
        <f t="shared" ref="I41:K41" si="2">SUM(I40:I40)</f>
        <v>50.9</v>
      </c>
      <c r="J41" s="293">
        <f t="shared" si="2"/>
        <v>50.9</v>
      </c>
      <c r="K41" s="315">
        <f t="shared" si="2"/>
        <v>38.799999999999997</v>
      </c>
      <c r="L41" s="302"/>
      <c r="M41" s="301">
        <f>SUM(M40:M40)</f>
        <v>50.9</v>
      </c>
      <c r="N41" s="302">
        <f>SUM(N40:N40)</f>
        <v>50.9</v>
      </c>
      <c r="O41" s="2408"/>
      <c r="P41" s="2409"/>
      <c r="Q41" s="2409"/>
      <c r="R41" s="2410"/>
    </row>
    <row r="42" spans="1:20" x14ac:dyDescent="0.2">
      <c r="A42" s="1002" t="s">
        <v>20</v>
      </c>
      <c r="B42" s="1010" t="s">
        <v>20</v>
      </c>
      <c r="C42" s="999" t="s">
        <v>26</v>
      </c>
      <c r="D42" s="2276" t="s">
        <v>149</v>
      </c>
      <c r="E42" s="1995"/>
      <c r="F42" s="1993">
        <v>2</v>
      </c>
      <c r="G42" s="116" t="s">
        <v>25</v>
      </c>
      <c r="H42" s="935">
        <f>141.1/3.4528*1000</f>
        <v>40865</v>
      </c>
      <c r="I42" s="649">
        <f>J42+L42</f>
        <v>141.1</v>
      </c>
      <c r="J42" s="730">
        <v>141.1</v>
      </c>
      <c r="K42" s="712">
        <v>107.8</v>
      </c>
      <c r="L42" s="218"/>
      <c r="M42" s="110">
        <f>141.1</f>
        <v>141.1</v>
      </c>
      <c r="N42" s="755">
        <f>141.1</f>
        <v>141.1</v>
      </c>
      <c r="O42" s="2263" t="s">
        <v>286</v>
      </c>
      <c r="P42" s="2258">
        <v>5</v>
      </c>
      <c r="Q42" s="2258">
        <v>5</v>
      </c>
      <c r="R42" s="2267">
        <v>5</v>
      </c>
    </row>
    <row r="43" spans="1:20" ht="13.5" thickBot="1" x14ac:dyDescent="0.25">
      <c r="A43" s="1003"/>
      <c r="B43" s="28"/>
      <c r="C43" s="1000"/>
      <c r="D43" s="2167"/>
      <c r="E43" s="1997"/>
      <c r="F43" s="2402"/>
      <c r="G43" s="299" t="s">
        <v>23</v>
      </c>
      <c r="H43" s="942">
        <f>H42</f>
        <v>40865</v>
      </c>
      <c r="I43" s="300">
        <f t="shared" ref="I43:K43" si="3">SUM(I42:I42)</f>
        <v>141.1</v>
      </c>
      <c r="J43" s="293">
        <f t="shared" si="3"/>
        <v>141.1</v>
      </c>
      <c r="K43" s="315">
        <f t="shared" si="3"/>
        <v>107.8</v>
      </c>
      <c r="L43" s="302"/>
      <c r="M43" s="316">
        <f>SUM(M42:M42)</f>
        <v>141.1</v>
      </c>
      <c r="N43" s="317">
        <f>SUM(N42:N42)</f>
        <v>141.1</v>
      </c>
      <c r="O43" s="2264"/>
      <c r="P43" s="2259"/>
      <c r="Q43" s="2259"/>
      <c r="R43" s="2268"/>
    </row>
    <row r="44" spans="1:20" x14ac:dyDescent="0.2">
      <c r="A44" s="1008" t="s">
        <v>20</v>
      </c>
      <c r="B44" s="1010" t="s">
        <v>20</v>
      </c>
      <c r="C44" s="753" t="s">
        <v>28</v>
      </c>
      <c r="D44" s="2165" t="s">
        <v>254</v>
      </c>
      <c r="E44" s="1995"/>
      <c r="F44" s="1993">
        <v>2</v>
      </c>
      <c r="G44" s="116" t="s">
        <v>25</v>
      </c>
      <c r="H44" s="943">
        <f>282.4/3.4528*1000</f>
        <v>81789</v>
      </c>
      <c r="I44" s="323">
        <f>J44+L44</f>
        <v>282.39999999999998</v>
      </c>
      <c r="J44" s="711">
        <v>282.39999999999998</v>
      </c>
      <c r="K44" s="731">
        <v>150</v>
      </c>
      <c r="L44" s="218"/>
      <c r="M44" s="732">
        <f>300</f>
        <v>300</v>
      </c>
      <c r="N44" s="733">
        <f>300</f>
        <v>300</v>
      </c>
      <c r="O44" s="2405" t="s">
        <v>255</v>
      </c>
      <c r="P44" s="1039">
        <v>25</v>
      </c>
      <c r="Q44" s="1039">
        <v>30</v>
      </c>
      <c r="R44" s="1042">
        <v>30</v>
      </c>
    </row>
    <row r="45" spans="1:20" ht="13.5" thickBot="1" x14ac:dyDescent="0.25">
      <c r="A45" s="1003"/>
      <c r="B45" s="28"/>
      <c r="C45" s="1000"/>
      <c r="D45" s="2167"/>
      <c r="E45" s="1997"/>
      <c r="F45" s="2402"/>
      <c r="G45" s="299" t="s">
        <v>23</v>
      </c>
      <c r="H45" s="942">
        <f>H44</f>
        <v>81789</v>
      </c>
      <c r="I45" s="300">
        <f t="shared" ref="I45:K45" si="4">SUM(I44:I44)</f>
        <v>282.39999999999998</v>
      </c>
      <c r="J45" s="293">
        <f t="shared" si="4"/>
        <v>282.39999999999998</v>
      </c>
      <c r="K45" s="315">
        <f t="shared" si="4"/>
        <v>150</v>
      </c>
      <c r="L45" s="302"/>
      <c r="M45" s="301">
        <f>SUM(M44:M44)</f>
        <v>300</v>
      </c>
      <c r="N45" s="302">
        <f>SUM(N44:N44)</f>
        <v>300</v>
      </c>
      <c r="O45" s="2406"/>
      <c r="P45" s="752"/>
      <c r="Q45" s="129"/>
      <c r="R45" s="203"/>
    </row>
    <row r="46" spans="1:20" x14ac:dyDescent="0.2">
      <c r="A46" s="1002" t="s">
        <v>20</v>
      </c>
      <c r="B46" s="1010" t="s">
        <v>20</v>
      </c>
      <c r="C46" s="999" t="s">
        <v>29</v>
      </c>
      <c r="D46" s="2400" t="s">
        <v>246</v>
      </c>
      <c r="E46" s="1995"/>
      <c r="F46" s="1993">
        <v>2</v>
      </c>
      <c r="G46" s="116" t="s">
        <v>22</v>
      </c>
      <c r="H46" s="943">
        <f>10/3.4528*1000</f>
        <v>2896</v>
      </c>
      <c r="I46" s="323">
        <f>J46+L46</f>
        <v>10</v>
      </c>
      <c r="J46" s="711">
        <v>10</v>
      </c>
      <c r="K46" s="731"/>
      <c r="L46" s="218"/>
      <c r="M46" s="732">
        <f>10</f>
        <v>10</v>
      </c>
      <c r="N46" s="733">
        <f>10</f>
        <v>10</v>
      </c>
      <c r="O46" s="1026" t="s">
        <v>247</v>
      </c>
      <c r="P46" s="726">
        <v>30</v>
      </c>
      <c r="Q46" s="726">
        <v>35</v>
      </c>
      <c r="R46" s="737">
        <v>35</v>
      </c>
    </row>
    <row r="47" spans="1:20" ht="13.5" thickBot="1" x14ac:dyDescent="0.25">
      <c r="A47" s="1003"/>
      <c r="B47" s="28"/>
      <c r="C47" s="1000"/>
      <c r="D47" s="2401"/>
      <c r="E47" s="1997"/>
      <c r="F47" s="2402"/>
      <c r="G47" s="299" t="s">
        <v>23</v>
      </c>
      <c r="H47" s="942">
        <f>H46</f>
        <v>2896</v>
      </c>
      <c r="I47" s="300">
        <f>SUM(I46:I46)</f>
        <v>10</v>
      </c>
      <c r="J47" s="293">
        <f>SUM(J46:J46)</f>
        <v>10</v>
      </c>
      <c r="K47" s="315"/>
      <c r="L47" s="302"/>
      <c r="M47" s="301">
        <f>SUM(M46:M46)</f>
        <v>10</v>
      </c>
      <c r="N47" s="302">
        <f>SUM(N46:N46)</f>
        <v>10</v>
      </c>
      <c r="O47" s="1027"/>
      <c r="P47" s="735"/>
      <c r="Q47" s="735"/>
      <c r="R47" s="736"/>
    </row>
    <row r="48" spans="1:20" x14ac:dyDescent="0.2">
      <c r="A48" s="1002" t="s">
        <v>20</v>
      </c>
      <c r="B48" s="1010" t="s">
        <v>20</v>
      </c>
      <c r="C48" s="999" t="s">
        <v>30</v>
      </c>
      <c r="D48" s="2400" t="s">
        <v>248</v>
      </c>
      <c r="E48" s="1995"/>
      <c r="F48" s="1993">
        <v>2</v>
      </c>
      <c r="G48" s="116" t="s">
        <v>22</v>
      </c>
      <c r="H48" s="943">
        <f>50/3.4528*1000</f>
        <v>14481</v>
      </c>
      <c r="I48" s="323">
        <f>J48+L48</f>
        <v>50</v>
      </c>
      <c r="J48" s="711">
        <v>50</v>
      </c>
      <c r="K48" s="731"/>
      <c r="L48" s="218"/>
      <c r="M48" s="732">
        <f>50</f>
        <v>50</v>
      </c>
      <c r="N48" s="733">
        <f>50</f>
        <v>50</v>
      </c>
      <c r="O48" s="2155" t="s">
        <v>249</v>
      </c>
      <c r="P48" s="2403">
        <v>1.5</v>
      </c>
      <c r="Q48" s="2403">
        <v>1.5</v>
      </c>
      <c r="R48" s="2396">
        <v>1.5</v>
      </c>
    </row>
    <row r="49" spans="1:18" ht="13.5" thickBot="1" x14ac:dyDescent="0.25">
      <c r="A49" s="1003"/>
      <c r="B49" s="28"/>
      <c r="C49" s="1000"/>
      <c r="D49" s="2401"/>
      <c r="E49" s="1997"/>
      <c r="F49" s="2402"/>
      <c r="G49" s="299" t="s">
        <v>23</v>
      </c>
      <c r="H49" s="942">
        <f>H48</f>
        <v>14481</v>
      </c>
      <c r="I49" s="300">
        <f>SUM(I48:I48)</f>
        <v>50</v>
      </c>
      <c r="J49" s="293">
        <f>SUM(J48:J48)</f>
        <v>50</v>
      </c>
      <c r="K49" s="315"/>
      <c r="L49" s="302"/>
      <c r="M49" s="301">
        <f>SUM(M48:M48)</f>
        <v>50</v>
      </c>
      <c r="N49" s="302">
        <f>SUM(N48:N48)</f>
        <v>50</v>
      </c>
      <c r="O49" s="2156"/>
      <c r="P49" s="2404"/>
      <c r="Q49" s="2404"/>
      <c r="R49" s="2397"/>
    </row>
    <row r="50" spans="1:18" ht="13.5" thickBot="1" x14ac:dyDescent="0.25">
      <c r="A50" s="1003" t="s">
        <v>20</v>
      </c>
      <c r="B50" s="1011" t="s">
        <v>20</v>
      </c>
      <c r="C50" s="2157" t="s">
        <v>27</v>
      </c>
      <c r="D50" s="2157"/>
      <c r="E50" s="2157"/>
      <c r="F50" s="2157"/>
      <c r="G50" s="2074"/>
      <c r="H50" s="992">
        <f>H49+H47+H45+H43+H41+H39</f>
        <v>54991775</v>
      </c>
      <c r="I50" s="1">
        <f t="shared" ref="I50:N50" si="5">I45+I43+I41+I39+I47+I49</f>
        <v>189904</v>
      </c>
      <c r="J50" s="1">
        <f t="shared" si="5"/>
        <v>189634.8</v>
      </c>
      <c r="K50" s="1">
        <f t="shared" si="5"/>
        <v>127358.39999999999</v>
      </c>
      <c r="L50" s="1">
        <f t="shared" si="5"/>
        <v>269.2</v>
      </c>
      <c r="M50" s="1">
        <f t="shared" si="5"/>
        <v>189922</v>
      </c>
      <c r="N50" s="1">
        <f t="shared" si="5"/>
        <v>189922</v>
      </c>
      <c r="O50" s="2014"/>
      <c r="P50" s="2015"/>
      <c r="Q50" s="2015"/>
      <c r="R50" s="2016"/>
    </row>
    <row r="51" spans="1:18" ht="13.5" thickBot="1" x14ac:dyDescent="0.25">
      <c r="A51" s="15" t="s">
        <v>20</v>
      </c>
      <c r="B51" s="17" t="s">
        <v>24</v>
      </c>
      <c r="C51" s="2007" t="s">
        <v>113</v>
      </c>
      <c r="D51" s="2008"/>
      <c r="E51" s="2008"/>
      <c r="F51" s="2008"/>
      <c r="G51" s="2008"/>
      <c r="H51" s="2008"/>
      <c r="I51" s="2008"/>
      <c r="J51" s="2008"/>
      <c r="K51" s="2008"/>
      <c r="L51" s="2008"/>
      <c r="M51" s="2008"/>
      <c r="N51" s="2008"/>
      <c r="O51" s="2008"/>
      <c r="P51" s="2008"/>
      <c r="Q51" s="2008"/>
      <c r="R51" s="2009"/>
    </row>
    <row r="52" spans="1:18" x14ac:dyDescent="0.2">
      <c r="A52" s="219" t="s">
        <v>20</v>
      </c>
      <c r="B52" s="1959" t="s">
        <v>24</v>
      </c>
      <c r="C52" s="2163" t="s">
        <v>20</v>
      </c>
      <c r="D52" s="1991" t="s">
        <v>116</v>
      </c>
      <c r="E52" s="2011"/>
      <c r="F52" s="2001">
        <v>2</v>
      </c>
      <c r="G52" s="1053" t="s">
        <v>22</v>
      </c>
      <c r="H52" s="944">
        <f>65/3.4528*1000</f>
        <v>18825</v>
      </c>
      <c r="I52" s="309">
        <f>J52+L52</f>
        <v>65.400000000000006</v>
      </c>
      <c r="J52" s="49">
        <v>65.400000000000006</v>
      </c>
      <c r="K52" s="49"/>
      <c r="L52" s="50"/>
      <c r="M52" s="22">
        <f>65.4</f>
        <v>65.400000000000006</v>
      </c>
      <c r="N52" s="22">
        <f>65.4</f>
        <v>65.400000000000006</v>
      </c>
      <c r="O52" s="191" t="s">
        <v>250</v>
      </c>
      <c r="P52" s="192">
        <v>20</v>
      </c>
      <c r="Q52" s="192">
        <v>20</v>
      </c>
      <c r="R52" s="193">
        <v>20</v>
      </c>
    </row>
    <row r="53" spans="1:18" ht="26.25" thickBot="1" x14ac:dyDescent="0.25">
      <c r="A53" s="1035"/>
      <c r="B53" s="1961"/>
      <c r="C53" s="2299"/>
      <c r="D53" s="2377"/>
      <c r="E53" s="2398"/>
      <c r="F53" s="2399"/>
      <c r="G53" s="807" t="s">
        <v>23</v>
      </c>
      <c r="H53" s="945">
        <f>H52</f>
        <v>18825</v>
      </c>
      <c r="I53" s="808">
        <f>SUM(I52)</f>
        <v>65.400000000000006</v>
      </c>
      <c r="J53" s="809">
        <f>SUM(J52)</f>
        <v>65.400000000000006</v>
      </c>
      <c r="K53" s="810"/>
      <c r="L53" s="811"/>
      <c r="M53" s="812">
        <f>SUM(M52)</f>
        <v>65.400000000000006</v>
      </c>
      <c r="N53" s="812">
        <f>SUM(N52)</f>
        <v>65.400000000000006</v>
      </c>
      <c r="O53" s="194" t="s">
        <v>117</v>
      </c>
      <c r="P53" s="195">
        <v>36</v>
      </c>
      <c r="Q53" s="195">
        <v>36</v>
      </c>
      <c r="R53" s="196">
        <v>36</v>
      </c>
    </row>
    <row r="54" spans="1:18" x14ac:dyDescent="0.2">
      <c r="A54" s="1988" t="s">
        <v>20</v>
      </c>
      <c r="B54" s="1959" t="s">
        <v>24</v>
      </c>
      <c r="C54" s="1986" t="s">
        <v>24</v>
      </c>
      <c r="D54" s="2168" t="s">
        <v>252</v>
      </c>
      <c r="E54" s="2011"/>
      <c r="F54" s="1993">
        <v>2</v>
      </c>
      <c r="G54" s="652" t="s">
        <v>25</v>
      </c>
      <c r="H54" s="935">
        <f>105/3.4528*1000</f>
        <v>30410</v>
      </c>
      <c r="I54" s="309">
        <f>J54+L54</f>
        <v>104.8</v>
      </c>
      <c r="J54" s="738">
        <v>104.8</v>
      </c>
      <c r="K54" s="19">
        <v>80</v>
      </c>
      <c r="L54" s="227"/>
      <c r="M54" s="1123">
        <f>105</f>
        <v>105</v>
      </c>
      <c r="N54" s="226">
        <f>105</f>
        <v>105</v>
      </c>
      <c r="O54" s="2155" t="s">
        <v>287</v>
      </c>
      <c r="P54" s="139">
        <v>17</v>
      </c>
      <c r="Q54" s="139">
        <v>17</v>
      </c>
      <c r="R54" s="138">
        <v>17</v>
      </c>
    </row>
    <row r="55" spans="1:18" ht="13.5" thickBot="1" x14ac:dyDescent="0.25">
      <c r="A55" s="1989"/>
      <c r="B55" s="2010"/>
      <c r="C55" s="1987"/>
      <c r="D55" s="2169"/>
      <c r="E55" s="2012"/>
      <c r="F55" s="1994"/>
      <c r="G55" s="299" t="s">
        <v>23</v>
      </c>
      <c r="H55" s="946">
        <f>H54</f>
        <v>30410</v>
      </c>
      <c r="I55" s="314">
        <f>SUM(I54)</f>
        <v>104.8</v>
      </c>
      <c r="J55" s="293">
        <f>SUM(J54)</f>
        <v>104.8</v>
      </c>
      <c r="K55" s="292">
        <f>SUM(K54)</f>
        <v>80</v>
      </c>
      <c r="L55" s="296"/>
      <c r="M55" s="301">
        <f>SUM(M54)</f>
        <v>105</v>
      </c>
      <c r="N55" s="292">
        <f>SUM(N54)</f>
        <v>105</v>
      </c>
      <c r="O55" s="2156"/>
      <c r="P55" s="764"/>
      <c r="Q55" s="764"/>
      <c r="R55" s="765"/>
    </row>
    <row r="56" spans="1:18" x14ac:dyDescent="0.2">
      <c r="A56" s="1984" t="s">
        <v>20</v>
      </c>
      <c r="B56" s="1010" t="s">
        <v>24</v>
      </c>
      <c r="C56" s="1978" t="s">
        <v>26</v>
      </c>
      <c r="D56" s="1970" t="s">
        <v>45</v>
      </c>
      <c r="E56" s="1975"/>
      <c r="F56" s="1998">
        <v>2</v>
      </c>
      <c r="G56" s="750" t="s">
        <v>22</v>
      </c>
      <c r="H56" s="947">
        <f>137/3.4528*1000</f>
        <v>39678</v>
      </c>
      <c r="I56" s="370">
        <f>J56+L56</f>
        <v>136.69999999999999</v>
      </c>
      <c r="J56" s="43">
        <v>136.69999999999999</v>
      </c>
      <c r="K56" s="43"/>
      <c r="L56" s="44"/>
      <c r="M56" s="22">
        <f>140</f>
        <v>140</v>
      </c>
      <c r="N56" s="19">
        <f>140</f>
        <v>140</v>
      </c>
      <c r="O56" s="766" t="s">
        <v>288</v>
      </c>
      <c r="P56" s="761">
        <v>180</v>
      </c>
      <c r="Q56" s="1021">
        <v>180</v>
      </c>
      <c r="R56" s="672">
        <v>180</v>
      </c>
    </row>
    <row r="57" spans="1:18" ht="13.5" thickBot="1" x14ac:dyDescent="0.25">
      <c r="A57" s="1985"/>
      <c r="B57" s="1011"/>
      <c r="C57" s="1979"/>
      <c r="D57" s="1971"/>
      <c r="E57" s="1977"/>
      <c r="F57" s="1999"/>
      <c r="G57" s="1001" t="s">
        <v>23</v>
      </c>
      <c r="H57" s="946">
        <f>H56</f>
        <v>39678</v>
      </c>
      <c r="I57" s="322">
        <f>SUM(I56)</f>
        <v>136.69999999999999</v>
      </c>
      <c r="J57" s="321">
        <f>SUM(J56)</f>
        <v>136.69999999999999</v>
      </c>
      <c r="K57" s="318"/>
      <c r="L57" s="319"/>
      <c r="M57" s="301">
        <f>SUM(M56)</f>
        <v>140</v>
      </c>
      <c r="N57" s="302">
        <f>SUM(N56)</f>
        <v>140</v>
      </c>
      <c r="O57" s="767"/>
      <c r="P57" s="768"/>
      <c r="Q57" s="748"/>
      <c r="R57" s="1044"/>
    </row>
    <row r="58" spans="1:18" x14ac:dyDescent="0.2">
      <c r="A58" s="1988" t="s">
        <v>20</v>
      </c>
      <c r="B58" s="1959" t="s">
        <v>24</v>
      </c>
      <c r="C58" s="1986" t="s">
        <v>28</v>
      </c>
      <c r="D58" s="1970" t="s">
        <v>298</v>
      </c>
      <c r="E58" s="2392" t="s">
        <v>121</v>
      </c>
      <c r="F58" s="2042">
        <v>2</v>
      </c>
      <c r="G58" s="647" t="s">
        <v>25</v>
      </c>
      <c r="H58" s="943">
        <f>134/3.4528*1000</f>
        <v>38809</v>
      </c>
      <c r="I58" s="309">
        <f>J58+L58</f>
        <v>133.5</v>
      </c>
      <c r="J58" s="740">
        <v>102.5</v>
      </c>
      <c r="K58" s="740">
        <v>78.3</v>
      </c>
      <c r="L58" s="741">
        <v>31</v>
      </c>
      <c r="M58" s="742">
        <f>102.5</f>
        <v>102.5</v>
      </c>
      <c r="N58" s="741"/>
      <c r="O58" s="197" t="s">
        <v>65</v>
      </c>
      <c r="P58" s="139">
        <v>2</v>
      </c>
      <c r="Q58" s="139">
        <v>1</v>
      </c>
      <c r="R58" s="747"/>
    </row>
    <row r="59" spans="1:18" x14ac:dyDescent="0.2">
      <c r="A59" s="1990"/>
      <c r="B59" s="1960"/>
      <c r="C59" s="2000"/>
      <c r="D59" s="1980"/>
      <c r="E59" s="2324"/>
      <c r="F59" s="2043"/>
      <c r="G59" s="117"/>
      <c r="H59" s="932"/>
      <c r="I59" s="264"/>
      <c r="J59" s="739"/>
      <c r="K59" s="739"/>
      <c r="L59" s="513"/>
      <c r="M59" s="744"/>
      <c r="N59" s="743"/>
      <c r="O59" s="769"/>
      <c r="P59" s="176"/>
      <c r="Q59" s="176"/>
      <c r="R59" s="672"/>
    </row>
    <row r="60" spans="1:18" ht="13.5" thickBot="1" x14ac:dyDescent="0.25">
      <c r="A60" s="1989"/>
      <c r="B60" s="2010"/>
      <c r="C60" s="1987"/>
      <c r="D60" s="2394"/>
      <c r="E60" s="2359"/>
      <c r="F60" s="2395"/>
      <c r="G60" s="299" t="s">
        <v>23</v>
      </c>
      <c r="H60" s="942">
        <f>H58</f>
        <v>38809</v>
      </c>
      <c r="I60" s="322">
        <f t="shared" ref="I60:N60" si="6">I58</f>
        <v>133.5</v>
      </c>
      <c r="J60" s="338">
        <f t="shared" si="6"/>
        <v>102.5</v>
      </c>
      <c r="K60" s="338">
        <f t="shared" si="6"/>
        <v>78.3</v>
      </c>
      <c r="L60" s="319">
        <f t="shared" si="6"/>
        <v>31</v>
      </c>
      <c r="M60" s="316">
        <f t="shared" si="6"/>
        <v>102.5</v>
      </c>
      <c r="N60" s="318">
        <f t="shared" si="6"/>
        <v>0</v>
      </c>
      <c r="O60" s="1041"/>
      <c r="P60" s="764"/>
      <c r="Q60" s="764"/>
      <c r="R60" s="765"/>
    </row>
    <row r="61" spans="1:18" x14ac:dyDescent="0.2">
      <c r="A61" s="1988" t="s">
        <v>20</v>
      </c>
      <c r="B61" s="1959" t="s">
        <v>24</v>
      </c>
      <c r="C61" s="1986" t="s">
        <v>29</v>
      </c>
      <c r="D61" s="1970" t="s">
        <v>122</v>
      </c>
      <c r="E61" s="2392"/>
      <c r="F61" s="2042">
        <v>2</v>
      </c>
      <c r="G61" s="652" t="s">
        <v>25</v>
      </c>
      <c r="H61" s="935">
        <f>1280/3.4528*1000</f>
        <v>370714</v>
      </c>
      <c r="I61" s="374">
        <f>J61+L61</f>
        <v>1279.8</v>
      </c>
      <c r="J61" s="238">
        <v>1279.8</v>
      </c>
      <c r="K61" s="239">
        <v>977.1</v>
      </c>
      <c r="L61" s="240"/>
      <c r="M61" s="508">
        <f>1313.3</f>
        <v>1313.3</v>
      </c>
      <c r="N61" s="10">
        <f>1313.3</f>
        <v>1313.3</v>
      </c>
      <c r="O61" s="745" t="s">
        <v>65</v>
      </c>
      <c r="P61" s="746">
        <v>34</v>
      </c>
      <c r="Q61" s="746">
        <v>34</v>
      </c>
      <c r="R61" s="747">
        <v>34</v>
      </c>
    </row>
    <row r="62" spans="1:18" ht="13.5" thickBot="1" x14ac:dyDescent="0.25">
      <c r="A62" s="1989"/>
      <c r="B62" s="2010"/>
      <c r="C62" s="1987"/>
      <c r="D62" s="2394"/>
      <c r="E62" s="2359"/>
      <c r="F62" s="2395"/>
      <c r="G62" s="299" t="s">
        <v>23</v>
      </c>
      <c r="H62" s="946">
        <f>H61</f>
        <v>370714</v>
      </c>
      <c r="I62" s="338">
        <f>SUM(I61)</f>
        <v>1279.8</v>
      </c>
      <c r="J62" s="321">
        <f>SUM(J61)</f>
        <v>1279.8</v>
      </c>
      <c r="K62" s="318">
        <f>K61</f>
        <v>977.1</v>
      </c>
      <c r="L62" s="319"/>
      <c r="M62" s="301">
        <f>SUM(M61)</f>
        <v>1313.3</v>
      </c>
      <c r="N62" s="292">
        <f>SUM(N61)</f>
        <v>1313.3</v>
      </c>
      <c r="O62" s="1041"/>
      <c r="P62" s="764"/>
      <c r="Q62" s="764"/>
      <c r="R62" s="765"/>
    </row>
    <row r="63" spans="1:18" x14ac:dyDescent="0.2">
      <c r="A63" s="1984" t="s">
        <v>20</v>
      </c>
      <c r="B63" s="1010" t="s">
        <v>24</v>
      </c>
      <c r="C63" s="1978" t="s">
        <v>30</v>
      </c>
      <c r="D63" s="1970" t="s">
        <v>251</v>
      </c>
      <c r="E63" s="2392"/>
      <c r="F63" s="1998">
        <v>2</v>
      </c>
      <c r="G63" s="750" t="s">
        <v>22</v>
      </c>
      <c r="H63" s="947">
        <f>30/3.4528*1000</f>
        <v>8689</v>
      </c>
      <c r="I63" s="370">
        <f>J63+L63</f>
        <v>30</v>
      </c>
      <c r="J63" s="43">
        <v>30</v>
      </c>
      <c r="K63" s="43"/>
      <c r="L63" s="44"/>
      <c r="M63" s="22">
        <f>30</f>
        <v>30</v>
      </c>
      <c r="N63" s="19">
        <f>30</f>
        <v>30</v>
      </c>
      <c r="O63" s="766" t="s">
        <v>138</v>
      </c>
      <c r="P63" s="678">
        <v>5000</v>
      </c>
      <c r="Q63" s="770">
        <v>5000</v>
      </c>
      <c r="R63" s="806">
        <v>5000</v>
      </c>
    </row>
    <row r="64" spans="1:18" ht="13.5" thickBot="1" x14ac:dyDescent="0.25">
      <c r="A64" s="1985"/>
      <c r="B64" s="1011"/>
      <c r="C64" s="1979"/>
      <c r="D64" s="1971"/>
      <c r="E64" s="2393"/>
      <c r="F64" s="1999"/>
      <c r="G64" s="1001" t="s">
        <v>23</v>
      </c>
      <c r="H64" s="946">
        <f>H63</f>
        <v>8689</v>
      </c>
      <c r="I64" s="322">
        <f>SUM(I63)</f>
        <v>30</v>
      </c>
      <c r="J64" s="321">
        <f>SUM(J63)</f>
        <v>30</v>
      </c>
      <c r="K64" s="318"/>
      <c r="L64" s="319"/>
      <c r="M64" s="301">
        <f>SUM(M63)</f>
        <v>30</v>
      </c>
      <c r="N64" s="302">
        <f>SUM(N63)</f>
        <v>30</v>
      </c>
      <c r="O64" s="767"/>
      <c r="P64" s="768"/>
      <c r="Q64" s="748"/>
      <c r="R64" s="1044"/>
    </row>
    <row r="65" spans="1:18" x14ac:dyDescent="0.2">
      <c r="A65" s="1984" t="s">
        <v>20</v>
      </c>
      <c r="B65" s="1010" t="s">
        <v>24</v>
      </c>
      <c r="C65" s="1978" t="s">
        <v>55</v>
      </c>
      <c r="D65" s="1970" t="s">
        <v>260</v>
      </c>
      <c r="E65" s="2392" t="s">
        <v>131</v>
      </c>
      <c r="F65" s="1998">
        <v>2</v>
      </c>
      <c r="G65" s="750" t="s">
        <v>22</v>
      </c>
      <c r="H65" s="995">
        <f>439/3.4528*1000</f>
        <v>127143</v>
      </c>
      <c r="I65" s="370">
        <f>J65+L65</f>
        <v>438.6</v>
      </c>
      <c r="J65" s="43">
        <v>438.6</v>
      </c>
      <c r="K65" s="43"/>
      <c r="L65" s="44"/>
      <c r="M65" s="22">
        <f>295.5</f>
        <v>295.5</v>
      </c>
      <c r="N65" s="19"/>
      <c r="O65" s="2265" t="s">
        <v>206</v>
      </c>
      <c r="P65" s="761">
        <f>24+29</f>
        <v>53</v>
      </c>
      <c r="Q65" s="1021">
        <v>25</v>
      </c>
      <c r="R65" s="672"/>
    </row>
    <row r="66" spans="1:18" ht="38.25" customHeight="1" thickBot="1" x14ac:dyDescent="0.25">
      <c r="A66" s="1985"/>
      <c r="B66" s="1011"/>
      <c r="C66" s="1979"/>
      <c r="D66" s="1971"/>
      <c r="E66" s="2393"/>
      <c r="F66" s="1999"/>
      <c r="G66" s="1001" t="s">
        <v>23</v>
      </c>
      <c r="H66" s="946">
        <f>H65</f>
        <v>127143</v>
      </c>
      <c r="I66" s="322">
        <f>SUM(I65)</f>
        <v>438.6</v>
      </c>
      <c r="J66" s="321">
        <f>SUM(J65)</f>
        <v>438.6</v>
      </c>
      <c r="K66" s="318"/>
      <c r="L66" s="319"/>
      <c r="M66" s="301">
        <f>SUM(M65)</f>
        <v>295.5</v>
      </c>
      <c r="N66" s="302"/>
      <c r="O66" s="2266"/>
      <c r="P66" s="768"/>
      <c r="Q66" s="748"/>
      <c r="R66" s="1044"/>
    </row>
    <row r="67" spans="1:18" ht="13.5" thickBot="1" x14ac:dyDescent="0.25">
      <c r="A67" s="15" t="s">
        <v>20</v>
      </c>
      <c r="B67" s="14" t="s">
        <v>24</v>
      </c>
      <c r="C67" s="2029" t="s">
        <v>27</v>
      </c>
      <c r="D67" s="2029"/>
      <c r="E67" s="2029"/>
      <c r="F67" s="2029"/>
      <c r="G67" s="2029"/>
      <c r="H67" s="992">
        <f>H66+H64+H62+H60+H57+H55+H53</f>
        <v>634268</v>
      </c>
      <c r="I67" s="1">
        <f>J67+L67</f>
        <v>2188.8000000000002</v>
      </c>
      <c r="J67" s="1">
        <f t="shared" ref="J67:N67" si="7">J57+J62+J60+J55+J53+J64+J66</f>
        <v>2157.8000000000002</v>
      </c>
      <c r="K67" s="1">
        <f t="shared" si="7"/>
        <v>1135.4000000000001</v>
      </c>
      <c r="L67" s="1">
        <f t="shared" si="7"/>
        <v>31</v>
      </c>
      <c r="M67" s="1129">
        <f>M57+M62+M60+M55+M53+M64+M66</f>
        <v>2051.6999999999998</v>
      </c>
      <c r="N67" s="30">
        <f t="shared" si="7"/>
        <v>1653.7</v>
      </c>
      <c r="O67" s="1006"/>
      <c r="P67" s="2386"/>
      <c r="Q67" s="2386"/>
      <c r="R67" s="2387"/>
    </row>
    <row r="68" spans="1:18" ht="13.5" thickBot="1" x14ac:dyDescent="0.25">
      <c r="A68" s="15" t="s">
        <v>20</v>
      </c>
      <c r="B68" s="2388" t="s">
        <v>10</v>
      </c>
      <c r="C68" s="2131"/>
      <c r="D68" s="2131"/>
      <c r="E68" s="2131"/>
      <c r="F68" s="2131"/>
      <c r="G68" s="2131"/>
      <c r="H68" s="986">
        <f>H67+H50</f>
        <v>55626043</v>
      </c>
      <c r="I68" s="20">
        <f>J68+L68</f>
        <v>192092.79999999999</v>
      </c>
      <c r="J68" s="20">
        <f t="shared" ref="J68:N68" si="8">J67+J50</f>
        <v>191792.6</v>
      </c>
      <c r="K68" s="20">
        <f t="shared" si="8"/>
        <v>128493.8</v>
      </c>
      <c r="L68" s="20">
        <f t="shared" si="8"/>
        <v>300.2</v>
      </c>
      <c r="M68" s="1130">
        <f t="shared" si="8"/>
        <v>191973.7</v>
      </c>
      <c r="N68" s="771">
        <f t="shared" si="8"/>
        <v>191575.7</v>
      </c>
      <c r="O68" s="2389"/>
      <c r="P68" s="2390"/>
      <c r="Q68" s="2390"/>
      <c r="R68" s="2391"/>
    </row>
    <row r="69" spans="1:18" ht="13.5" thickBot="1" x14ac:dyDescent="0.25">
      <c r="A69" s="1002" t="s">
        <v>24</v>
      </c>
      <c r="B69" s="1964" t="s">
        <v>56</v>
      </c>
      <c r="C69" s="1965"/>
      <c r="D69" s="1965"/>
      <c r="E69" s="1965"/>
      <c r="F69" s="1965"/>
      <c r="G69" s="1965"/>
      <c r="H69" s="1965"/>
      <c r="I69" s="1965"/>
      <c r="J69" s="1965"/>
      <c r="K69" s="1965"/>
      <c r="L69" s="1965"/>
      <c r="M69" s="1965"/>
      <c r="N69" s="1965"/>
      <c r="O69" s="1965"/>
      <c r="P69" s="1965"/>
      <c r="Q69" s="1965"/>
      <c r="R69" s="1966"/>
    </row>
    <row r="70" spans="1:18" ht="13.5" thickBot="1" x14ac:dyDescent="0.25">
      <c r="A70" s="23" t="s">
        <v>24</v>
      </c>
      <c r="B70" s="17" t="s">
        <v>20</v>
      </c>
      <c r="C70" s="2384" t="s">
        <v>47</v>
      </c>
      <c r="D70" s="2247"/>
      <c r="E70" s="2247"/>
      <c r="F70" s="2247"/>
      <c r="G70" s="2247"/>
      <c r="H70" s="2247"/>
      <c r="I70" s="2247"/>
      <c r="J70" s="2247"/>
      <c r="K70" s="2247"/>
      <c r="L70" s="2247"/>
      <c r="M70" s="2247"/>
      <c r="N70" s="2247"/>
      <c r="O70" s="2247"/>
      <c r="P70" s="2247"/>
      <c r="Q70" s="2247"/>
      <c r="R70" s="2248"/>
    </row>
    <row r="71" spans="1:18" ht="25.5" x14ac:dyDescent="0.2">
      <c r="A71" s="1008" t="s">
        <v>24</v>
      </c>
      <c r="B71" s="1010" t="s">
        <v>20</v>
      </c>
      <c r="C71" s="1038" t="s">
        <v>20</v>
      </c>
      <c r="D71" s="127" t="s">
        <v>57</v>
      </c>
      <c r="E71" s="249"/>
      <c r="F71" s="125"/>
      <c r="G71" s="1053"/>
      <c r="H71" s="944"/>
      <c r="I71" s="309"/>
      <c r="J71" s="49"/>
      <c r="K71" s="49"/>
      <c r="L71" s="50"/>
      <c r="M71" s="22"/>
      <c r="N71" s="42"/>
      <c r="O71" s="67"/>
      <c r="P71" s="674"/>
      <c r="Q71" s="87"/>
      <c r="R71" s="675"/>
    </row>
    <row r="72" spans="1:18" s="4" customFormat="1" x14ac:dyDescent="0.2">
      <c r="A72" s="1023"/>
      <c r="B72" s="997"/>
      <c r="C72" s="1005"/>
      <c r="D72" s="1957" t="s">
        <v>223</v>
      </c>
      <c r="E72" s="1037" t="s">
        <v>4</v>
      </c>
      <c r="F72" s="222">
        <v>5</v>
      </c>
      <c r="G72" s="24" t="s">
        <v>22</v>
      </c>
      <c r="H72" s="948">
        <f>921/3.4528*1000</f>
        <v>266740</v>
      </c>
      <c r="I72" s="356">
        <f>J72+L72</f>
        <v>921.4</v>
      </c>
      <c r="J72" s="146"/>
      <c r="K72" s="146"/>
      <c r="L72" s="160">
        <f>108.4+813</f>
        <v>921.4</v>
      </c>
      <c r="M72" s="122"/>
      <c r="N72" s="38"/>
      <c r="O72" s="1951" t="s">
        <v>101</v>
      </c>
      <c r="P72" s="149"/>
      <c r="Q72" s="88"/>
      <c r="R72" s="101"/>
    </row>
    <row r="73" spans="1:18" s="4" customFormat="1" x14ac:dyDescent="0.2">
      <c r="A73" s="1023"/>
      <c r="B73" s="997"/>
      <c r="C73" s="1005"/>
      <c r="D73" s="1955"/>
      <c r="E73" s="1055"/>
      <c r="F73" s="223"/>
      <c r="G73" s="379" t="s">
        <v>6</v>
      </c>
      <c r="H73" s="949">
        <f>1103/3.4528*1000</f>
        <v>319451</v>
      </c>
      <c r="I73" s="288">
        <f>J73+L73</f>
        <v>1102.9000000000001</v>
      </c>
      <c r="J73" s="47">
        <v>17.399999999999999</v>
      </c>
      <c r="K73" s="47">
        <v>13.3</v>
      </c>
      <c r="L73" s="51">
        <v>1085.5</v>
      </c>
      <c r="M73" s="122"/>
      <c r="N73" s="38"/>
      <c r="O73" s="2064"/>
      <c r="P73" s="676"/>
      <c r="Q73" s="89"/>
      <c r="R73" s="102"/>
    </row>
    <row r="74" spans="1:18" s="4" customFormat="1" x14ac:dyDescent="0.2">
      <c r="A74" s="1023"/>
      <c r="B74" s="997"/>
      <c r="C74" s="1005"/>
      <c r="D74" s="1955"/>
      <c r="E74" s="1055"/>
      <c r="F74" s="223"/>
      <c r="G74" s="380"/>
      <c r="H74" s="939"/>
      <c r="I74" s="264"/>
      <c r="J74" s="425"/>
      <c r="K74" s="425"/>
      <c r="L74" s="141"/>
      <c r="M74" s="525"/>
      <c r="N74" s="10"/>
      <c r="O74" s="2064"/>
      <c r="P74" s="772">
        <v>100</v>
      </c>
      <c r="Q74" s="773"/>
      <c r="R74" s="102"/>
    </row>
    <row r="75" spans="1:18" s="4" customFormat="1" ht="13.5" thickBot="1" x14ac:dyDescent="0.25">
      <c r="A75" s="1023"/>
      <c r="B75" s="997"/>
      <c r="C75" s="1005"/>
      <c r="D75" s="1956"/>
      <c r="E75" s="1045"/>
      <c r="F75" s="156"/>
      <c r="G75" s="363" t="s">
        <v>23</v>
      </c>
      <c r="H75" s="950">
        <f>SUM(H72:H74)</f>
        <v>586191</v>
      </c>
      <c r="I75" s="335">
        <f>J75+L75</f>
        <v>2024.3</v>
      </c>
      <c r="J75" s="334">
        <f t="shared" ref="J75:L75" si="9">SUM(J72:J74)</f>
        <v>17.399999999999999</v>
      </c>
      <c r="K75" s="334">
        <f t="shared" si="9"/>
        <v>13.3</v>
      </c>
      <c r="L75" s="358">
        <f t="shared" si="9"/>
        <v>2006.9</v>
      </c>
      <c r="M75" s="749"/>
      <c r="N75" s="358"/>
      <c r="O75" s="68"/>
      <c r="P75" s="90"/>
      <c r="Q75" s="91"/>
      <c r="R75" s="103"/>
    </row>
    <row r="76" spans="1:18" ht="25.5" x14ac:dyDescent="0.2">
      <c r="A76" s="1008" t="s">
        <v>24</v>
      </c>
      <c r="B76" s="1010" t="s">
        <v>20</v>
      </c>
      <c r="C76" s="1038" t="s">
        <v>24</v>
      </c>
      <c r="D76" s="870" t="s">
        <v>224</v>
      </c>
      <c r="E76" s="863" t="s">
        <v>58</v>
      </c>
      <c r="F76" s="125">
        <v>5</v>
      </c>
      <c r="G76" s="1053"/>
      <c r="H76" s="944"/>
      <c r="I76" s="309"/>
      <c r="J76" s="49"/>
      <c r="K76" s="49"/>
      <c r="L76" s="50"/>
      <c r="M76" s="22"/>
      <c r="N76" s="42"/>
      <c r="O76" s="67"/>
      <c r="P76" s="674"/>
      <c r="Q76" s="87"/>
      <c r="R76" s="675"/>
    </row>
    <row r="77" spans="1:18" ht="38.25" x14ac:dyDescent="0.2">
      <c r="A77" s="1023"/>
      <c r="B77" s="997"/>
      <c r="C77" s="1029"/>
      <c r="D77" s="2358" t="s">
        <v>303</v>
      </c>
      <c r="E77" s="468"/>
      <c r="F77" s="622"/>
      <c r="G77" s="170" t="s">
        <v>22</v>
      </c>
      <c r="H77" s="951">
        <f>6/3.4528*1000</f>
        <v>1738</v>
      </c>
      <c r="I77" s="288">
        <f>J77+L77</f>
        <v>6</v>
      </c>
      <c r="J77" s="158"/>
      <c r="K77" s="158"/>
      <c r="L77" s="160">
        <v>6</v>
      </c>
      <c r="M77" s="56">
        <f>145.9</f>
        <v>145.9</v>
      </c>
      <c r="N77" s="36"/>
      <c r="O77" s="706" t="s">
        <v>269</v>
      </c>
      <c r="P77" s="1015">
        <v>1</v>
      </c>
      <c r="Q77" s="1015"/>
      <c r="R77" s="707"/>
    </row>
    <row r="78" spans="1:18" ht="25.5" x14ac:dyDescent="0.2">
      <c r="A78" s="1023"/>
      <c r="B78" s="997"/>
      <c r="C78" s="1029"/>
      <c r="D78" s="2030"/>
      <c r="E78" s="1047"/>
      <c r="F78" s="223"/>
      <c r="G78" s="903" t="s">
        <v>6</v>
      </c>
      <c r="H78" s="951"/>
      <c r="I78" s="288"/>
      <c r="J78" s="158"/>
      <c r="K78" s="158"/>
      <c r="L78" s="51"/>
      <c r="M78" s="32"/>
      <c r="N78" s="38">
        <f>2061.1</f>
        <v>2061.1</v>
      </c>
      <c r="O78" s="862" t="s">
        <v>226</v>
      </c>
      <c r="P78" s="1016"/>
      <c r="Q78" s="1016">
        <v>1</v>
      </c>
      <c r="R78" s="708"/>
    </row>
    <row r="79" spans="1:18" x14ac:dyDescent="0.2">
      <c r="A79" s="1023"/>
      <c r="B79" s="997"/>
      <c r="C79" s="1029"/>
      <c r="D79" s="2030"/>
      <c r="E79" s="1047"/>
      <c r="F79" s="223"/>
      <c r="G79" s="905"/>
      <c r="H79" s="952"/>
      <c r="I79" s="311"/>
      <c r="J79" s="175"/>
      <c r="K79" s="175"/>
      <c r="L79" s="54"/>
      <c r="M79" s="508"/>
      <c r="N79" s="10"/>
      <c r="O79" s="862" t="s">
        <v>273</v>
      </c>
      <c r="P79" s="1016"/>
      <c r="Q79" s="1016"/>
      <c r="R79" s="708">
        <v>75</v>
      </c>
    </row>
    <row r="80" spans="1:18" ht="38.25" x14ac:dyDescent="0.2">
      <c r="A80" s="1023"/>
      <c r="B80" s="997"/>
      <c r="C80" s="1029"/>
      <c r="D80" s="2358" t="s">
        <v>302</v>
      </c>
      <c r="E80" s="467"/>
      <c r="F80" s="222"/>
      <c r="G80" s="170" t="s">
        <v>22</v>
      </c>
      <c r="H80" s="951">
        <f>6/3.4528*1000</f>
        <v>1738</v>
      </c>
      <c r="I80" s="288">
        <f>J80+L80</f>
        <v>6</v>
      </c>
      <c r="J80" s="158"/>
      <c r="K80" s="158"/>
      <c r="L80" s="160">
        <v>6</v>
      </c>
      <c r="M80" s="56">
        <f>145.9</f>
        <v>145.9</v>
      </c>
      <c r="N80" s="36"/>
      <c r="O80" s="706" t="s">
        <v>269</v>
      </c>
      <c r="P80" s="1015">
        <v>1</v>
      </c>
      <c r="Q80" s="1015"/>
      <c r="R80" s="707"/>
    </row>
    <row r="81" spans="1:18" ht="25.5" x14ac:dyDescent="0.2">
      <c r="A81" s="1023"/>
      <c r="B81" s="997"/>
      <c r="C81" s="1029"/>
      <c r="D81" s="2030"/>
      <c r="E81" s="1055"/>
      <c r="F81" s="223"/>
      <c r="G81" s="903" t="s">
        <v>6</v>
      </c>
      <c r="H81" s="951"/>
      <c r="I81" s="288"/>
      <c r="J81" s="158"/>
      <c r="K81" s="158"/>
      <c r="L81" s="51"/>
      <c r="M81" s="32"/>
      <c r="N81" s="38">
        <f>2061.1</f>
        <v>2061.1</v>
      </c>
      <c r="O81" s="862" t="s">
        <v>226</v>
      </c>
      <c r="P81" s="1016"/>
      <c r="Q81" s="1016">
        <v>1</v>
      </c>
      <c r="R81" s="708"/>
    </row>
    <row r="82" spans="1:18" x14ac:dyDescent="0.2">
      <c r="A82" s="1023"/>
      <c r="B82" s="997"/>
      <c r="C82" s="1029"/>
      <c r="D82" s="2030"/>
      <c r="E82" s="1055"/>
      <c r="F82" s="223"/>
      <c r="G82" s="705"/>
      <c r="H82" s="953"/>
      <c r="I82" s="518"/>
      <c r="J82" s="53"/>
      <c r="K82" s="53"/>
      <c r="L82" s="1131"/>
      <c r="M82" s="509"/>
      <c r="N82" s="21"/>
      <c r="O82" s="907" t="s">
        <v>273</v>
      </c>
      <c r="P82" s="787"/>
      <c r="Q82" s="787"/>
      <c r="R82" s="906">
        <v>75</v>
      </c>
    </row>
    <row r="83" spans="1:18" ht="38.25" x14ac:dyDescent="0.2">
      <c r="A83" s="1023"/>
      <c r="B83" s="997"/>
      <c r="C83" s="1029"/>
      <c r="D83" s="2358" t="s">
        <v>301</v>
      </c>
      <c r="E83" s="467"/>
      <c r="F83" s="222"/>
      <c r="G83" s="170" t="s">
        <v>22</v>
      </c>
      <c r="H83" s="951">
        <f>6/3.4528*1000</f>
        <v>1738</v>
      </c>
      <c r="I83" s="288">
        <f>J83+L83</f>
        <v>6</v>
      </c>
      <c r="J83" s="158"/>
      <c r="K83" s="158"/>
      <c r="L83" s="160">
        <v>6</v>
      </c>
      <c r="M83" s="56">
        <f>145.9</f>
        <v>145.9</v>
      </c>
      <c r="N83" s="36"/>
      <c r="O83" s="706" t="s">
        <v>269</v>
      </c>
      <c r="P83" s="1015">
        <v>1</v>
      </c>
      <c r="Q83" s="1015"/>
      <c r="R83" s="707"/>
    </row>
    <row r="84" spans="1:18" ht="25.5" x14ac:dyDescent="0.2">
      <c r="A84" s="1023"/>
      <c r="B84" s="997"/>
      <c r="C84" s="1029"/>
      <c r="D84" s="2030"/>
      <c r="E84" s="864"/>
      <c r="F84" s="223"/>
      <c r="G84" s="903" t="s">
        <v>6</v>
      </c>
      <c r="H84" s="951"/>
      <c r="I84" s="288"/>
      <c r="J84" s="158"/>
      <c r="K84" s="158"/>
      <c r="L84" s="51"/>
      <c r="M84" s="32"/>
      <c r="N84" s="38">
        <f>2061.1</f>
        <v>2061.1</v>
      </c>
      <c r="O84" s="862" t="s">
        <v>226</v>
      </c>
      <c r="P84" s="1016"/>
      <c r="Q84" s="1016">
        <v>1</v>
      </c>
      <c r="R84" s="708"/>
    </row>
    <row r="85" spans="1:18" x14ac:dyDescent="0.2">
      <c r="A85" s="1023"/>
      <c r="B85" s="997"/>
      <c r="C85" s="1029"/>
      <c r="D85" s="2385"/>
      <c r="E85" s="904"/>
      <c r="F85" s="156"/>
      <c r="G85" s="705"/>
      <c r="H85" s="953"/>
      <c r="I85" s="518"/>
      <c r="J85" s="53"/>
      <c r="K85" s="53"/>
      <c r="L85" s="1131"/>
      <c r="M85" s="509"/>
      <c r="N85" s="21"/>
      <c r="O85" s="907" t="s">
        <v>273</v>
      </c>
      <c r="P85" s="787"/>
      <c r="Q85" s="787"/>
      <c r="R85" s="906">
        <v>75</v>
      </c>
    </row>
    <row r="86" spans="1:18" ht="38.25" x14ac:dyDescent="0.2">
      <c r="A86" s="1023"/>
      <c r="B86" s="997"/>
      <c r="C86" s="1029"/>
      <c r="D86" s="2030" t="s">
        <v>310</v>
      </c>
      <c r="E86" s="468"/>
      <c r="F86" s="223"/>
      <c r="G86" s="705" t="s">
        <v>22</v>
      </c>
      <c r="H86" s="951">
        <f>6/3.4528*1000</f>
        <v>1738</v>
      </c>
      <c r="I86" s="288">
        <f>J86+L86</f>
        <v>6</v>
      </c>
      <c r="J86" s="158"/>
      <c r="K86" s="158"/>
      <c r="L86" s="160">
        <v>6</v>
      </c>
      <c r="M86" s="56">
        <f>145.9</f>
        <v>145.9</v>
      </c>
      <c r="N86" s="21"/>
      <c r="O86" s="706" t="s">
        <v>269</v>
      </c>
      <c r="P86" s="1015">
        <v>1</v>
      </c>
      <c r="Q86" s="1015"/>
      <c r="R86" s="707"/>
    </row>
    <row r="87" spans="1:18" ht="25.5" x14ac:dyDescent="0.2">
      <c r="A87" s="1023"/>
      <c r="B87" s="997"/>
      <c r="C87" s="1029"/>
      <c r="D87" s="2030"/>
      <c r="E87" s="2381"/>
      <c r="F87" s="223"/>
      <c r="G87" s="903" t="s">
        <v>6</v>
      </c>
      <c r="H87" s="951"/>
      <c r="I87" s="288"/>
      <c r="J87" s="158"/>
      <c r="K87" s="158"/>
      <c r="L87" s="51"/>
      <c r="M87" s="32"/>
      <c r="N87" s="38">
        <f>2061.1</f>
        <v>2061.1</v>
      </c>
      <c r="O87" s="862" t="s">
        <v>226</v>
      </c>
      <c r="P87" s="1016"/>
      <c r="Q87" s="1016">
        <v>1</v>
      </c>
      <c r="R87" s="708"/>
    </row>
    <row r="88" spans="1:18" x14ac:dyDescent="0.2">
      <c r="A88" s="1023"/>
      <c r="B88" s="997"/>
      <c r="C88" s="1029"/>
      <c r="D88" s="2030"/>
      <c r="E88" s="2381"/>
      <c r="F88" s="223"/>
      <c r="G88" s="905"/>
      <c r="H88" s="952"/>
      <c r="I88" s="503"/>
      <c r="J88" s="175"/>
      <c r="K88" s="175"/>
      <c r="L88" s="52"/>
      <c r="M88" s="508"/>
      <c r="N88" s="10"/>
      <c r="O88" s="862" t="s">
        <v>273</v>
      </c>
      <c r="P88" s="1016"/>
      <c r="Q88" s="1016"/>
      <c r="R88" s="708">
        <v>75</v>
      </c>
    </row>
    <row r="89" spans="1:18" ht="38.25" x14ac:dyDescent="0.2">
      <c r="A89" s="1023"/>
      <c r="B89" s="997"/>
      <c r="C89" s="1029"/>
      <c r="D89" s="2358" t="s">
        <v>309</v>
      </c>
      <c r="E89" s="467"/>
      <c r="F89" s="222"/>
      <c r="G89" s="170" t="s">
        <v>22</v>
      </c>
      <c r="H89" s="951">
        <f>6/3.4528*1000</f>
        <v>1738</v>
      </c>
      <c r="I89" s="288">
        <f>J89+L89</f>
        <v>6</v>
      </c>
      <c r="J89" s="158"/>
      <c r="K89" s="158"/>
      <c r="L89" s="160">
        <v>6</v>
      </c>
      <c r="M89" s="56"/>
      <c r="N89" s="36"/>
      <c r="O89" s="706" t="s">
        <v>269</v>
      </c>
      <c r="P89" s="1015">
        <v>1</v>
      </c>
      <c r="Q89" s="1015"/>
      <c r="R89" s="707"/>
    </row>
    <row r="90" spans="1:18" ht="25.5" x14ac:dyDescent="0.2">
      <c r="A90" s="1023"/>
      <c r="B90" s="997"/>
      <c r="C90" s="1029"/>
      <c r="D90" s="2030"/>
      <c r="E90" s="2381"/>
      <c r="F90" s="223"/>
      <c r="G90" s="170" t="s">
        <v>53</v>
      </c>
      <c r="H90" s="951"/>
      <c r="I90" s="288"/>
      <c r="J90" s="158"/>
      <c r="K90" s="158"/>
      <c r="L90" s="160"/>
      <c r="M90" s="508">
        <f>150</f>
        <v>150</v>
      </c>
      <c r="N90" s="10"/>
      <c r="O90" s="862" t="s">
        <v>226</v>
      </c>
      <c r="P90" s="1016"/>
      <c r="Q90" s="1016">
        <v>1</v>
      </c>
      <c r="R90" s="708"/>
    </row>
    <row r="91" spans="1:18" x14ac:dyDescent="0.2">
      <c r="A91" s="1023"/>
      <c r="B91" s="997"/>
      <c r="C91" s="1029"/>
      <c r="D91" s="2030"/>
      <c r="E91" s="2381"/>
      <c r="F91" s="223"/>
      <c r="G91" s="903" t="s">
        <v>6</v>
      </c>
      <c r="H91" s="951"/>
      <c r="I91" s="288"/>
      <c r="J91" s="158"/>
      <c r="K91" s="158"/>
      <c r="L91" s="51"/>
      <c r="M91" s="32"/>
      <c r="N91" s="38">
        <f>2133</f>
        <v>2133</v>
      </c>
      <c r="O91" s="862" t="s">
        <v>273</v>
      </c>
      <c r="P91" s="1016"/>
      <c r="Q91" s="1016"/>
      <c r="R91" s="708">
        <v>75</v>
      </c>
    </row>
    <row r="92" spans="1:18" ht="38.25" x14ac:dyDescent="0.2">
      <c r="A92" s="1004"/>
      <c r="B92" s="997"/>
      <c r="C92" s="2164"/>
      <c r="D92" s="2382" t="s">
        <v>156</v>
      </c>
      <c r="E92" s="703"/>
      <c r="F92" s="2373"/>
      <c r="G92" s="908" t="s">
        <v>22</v>
      </c>
      <c r="H92" s="954"/>
      <c r="I92" s="288"/>
      <c r="J92" s="1132"/>
      <c r="K92" s="158"/>
      <c r="L92" s="1133"/>
      <c r="M92" s="32">
        <f>62.3</f>
        <v>62.3</v>
      </c>
      <c r="N92" s="38"/>
      <c r="O92" s="910" t="s">
        <v>158</v>
      </c>
      <c r="P92" s="1062"/>
      <c r="Q92" s="909">
        <v>1</v>
      </c>
      <c r="R92" s="99"/>
    </row>
    <row r="93" spans="1:18" x14ac:dyDescent="0.2">
      <c r="A93" s="1004"/>
      <c r="B93" s="997"/>
      <c r="C93" s="2164"/>
      <c r="D93" s="2383"/>
      <c r="E93" s="865"/>
      <c r="F93" s="2171"/>
      <c r="G93" s="173" t="s">
        <v>6</v>
      </c>
      <c r="H93" s="1085"/>
      <c r="I93" s="356"/>
      <c r="J93" s="48"/>
      <c r="K93" s="159"/>
      <c r="L93" s="174"/>
      <c r="M93" s="56">
        <f>388.9</f>
        <v>388.9</v>
      </c>
      <c r="N93" s="36">
        <f>388.9</f>
        <v>388.9</v>
      </c>
      <c r="O93" s="912" t="s">
        <v>273</v>
      </c>
      <c r="P93" s="676"/>
      <c r="Q93" s="89">
        <v>50</v>
      </c>
      <c r="R93" s="622">
        <v>50</v>
      </c>
    </row>
    <row r="94" spans="1:18" ht="13.5" thickBot="1" x14ac:dyDescent="0.25">
      <c r="A94" s="1004"/>
      <c r="B94" s="997"/>
      <c r="C94" s="2164"/>
      <c r="D94" s="2383"/>
      <c r="E94" s="913"/>
      <c r="F94" s="2171"/>
      <c r="G94" s="686" t="s">
        <v>23</v>
      </c>
      <c r="H94" s="955">
        <f>SUM(H77:H93)</f>
        <v>8690</v>
      </c>
      <c r="I94" s="348">
        <f>SUM(I77:I93)</f>
        <v>30</v>
      </c>
      <c r="J94" s="346"/>
      <c r="K94" s="345"/>
      <c r="L94" s="350">
        <f>SUM(L77:L93)</f>
        <v>30</v>
      </c>
      <c r="M94" s="316">
        <f>SUM(M77:M93)</f>
        <v>1184.8</v>
      </c>
      <c r="N94" s="350">
        <f>SUM(N77:N93)</f>
        <v>10766.3</v>
      </c>
      <c r="O94" s="911"/>
      <c r="P94" s="676"/>
      <c r="Q94" s="89"/>
      <c r="R94" s="622"/>
    </row>
    <row r="95" spans="1:18" ht="25.5" x14ac:dyDescent="0.2">
      <c r="A95" s="1008" t="s">
        <v>24</v>
      </c>
      <c r="B95" s="1010" t="s">
        <v>20</v>
      </c>
      <c r="C95" s="1028" t="s">
        <v>26</v>
      </c>
      <c r="D95" s="127" t="s">
        <v>46</v>
      </c>
      <c r="E95" s="526"/>
      <c r="F95" s="1018"/>
      <c r="G95" s="1053"/>
      <c r="H95" s="944"/>
      <c r="I95" s="309"/>
      <c r="J95" s="993"/>
      <c r="K95" s="49"/>
      <c r="L95" s="50"/>
      <c r="M95" s="22"/>
      <c r="N95" s="42"/>
      <c r="O95" s="774"/>
      <c r="P95" s="674"/>
      <c r="Q95" s="775"/>
      <c r="R95" s="675"/>
    </row>
    <row r="96" spans="1:18" x14ac:dyDescent="0.2">
      <c r="A96" s="1023"/>
      <c r="B96" s="997"/>
      <c r="C96" s="1029"/>
      <c r="D96" s="1955" t="s">
        <v>69</v>
      </c>
      <c r="E96" s="251" t="s">
        <v>4</v>
      </c>
      <c r="F96" s="152">
        <v>5</v>
      </c>
      <c r="G96" s="12" t="s">
        <v>22</v>
      </c>
      <c r="H96" s="1085">
        <f>568/3.4528*1000</f>
        <v>164504</v>
      </c>
      <c r="I96" s="356">
        <f>J96+L96</f>
        <v>567.9</v>
      </c>
      <c r="J96" s="235"/>
      <c r="K96" s="236"/>
      <c r="L96" s="234">
        <v>567.9</v>
      </c>
      <c r="M96" s="56"/>
      <c r="N96" s="36"/>
      <c r="O96" s="2374" t="s">
        <v>152</v>
      </c>
      <c r="P96" s="1049"/>
      <c r="Q96" s="115"/>
      <c r="R96" s="99"/>
    </row>
    <row r="97" spans="1:18" s="4" customFormat="1" x14ac:dyDescent="0.2">
      <c r="A97" s="1023"/>
      <c r="B97" s="997"/>
      <c r="C97" s="1005"/>
      <c r="D97" s="1955"/>
      <c r="E97" s="1055"/>
      <c r="F97" s="223"/>
      <c r="G97" s="171" t="s">
        <v>53</v>
      </c>
      <c r="H97" s="956"/>
      <c r="I97" s="356"/>
      <c r="J97" s="46"/>
      <c r="K97" s="159"/>
      <c r="L97" s="160"/>
      <c r="M97" s="122"/>
      <c r="N97" s="38"/>
      <c r="O97" s="2375"/>
      <c r="P97" s="1050"/>
      <c r="Q97" s="82"/>
      <c r="R97" s="622"/>
    </row>
    <row r="98" spans="1:18" s="4" customFormat="1" x14ac:dyDescent="0.2">
      <c r="A98" s="1023"/>
      <c r="B98" s="997"/>
      <c r="C98" s="1005"/>
      <c r="D98" s="1955"/>
      <c r="E98" s="1055"/>
      <c r="F98" s="223"/>
      <c r="G98" s="1059" t="s">
        <v>5</v>
      </c>
      <c r="H98" s="957"/>
      <c r="I98" s="288"/>
      <c r="J98" s="169"/>
      <c r="K98" s="158"/>
      <c r="L98" s="51"/>
      <c r="M98" s="32"/>
      <c r="N98" s="38"/>
      <c r="O98" s="2375"/>
      <c r="P98" s="1050"/>
      <c r="Q98" s="82"/>
      <c r="R98" s="622"/>
    </row>
    <row r="99" spans="1:18" s="4" customFormat="1" x14ac:dyDescent="0.2">
      <c r="A99" s="1023"/>
      <c r="B99" s="997"/>
      <c r="C99" s="1005"/>
      <c r="D99" s="1955"/>
      <c r="E99" s="1055"/>
      <c r="F99" s="223"/>
      <c r="G99" s="1059" t="s">
        <v>6</v>
      </c>
      <c r="H99" s="957"/>
      <c r="I99" s="288"/>
      <c r="J99" s="169"/>
      <c r="K99" s="158"/>
      <c r="L99" s="51"/>
      <c r="M99" s="56"/>
      <c r="N99" s="36"/>
      <c r="O99" s="2375"/>
      <c r="P99" s="1050"/>
      <c r="Q99" s="82"/>
      <c r="R99" s="622"/>
    </row>
    <row r="100" spans="1:18" s="4" customFormat="1" x14ac:dyDescent="0.2">
      <c r="A100" s="1023"/>
      <c r="B100" s="997"/>
      <c r="C100" s="1005"/>
      <c r="D100" s="130"/>
      <c r="E100" s="1045"/>
      <c r="F100" s="156"/>
      <c r="G100" s="343" t="s">
        <v>23</v>
      </c>
      <c r="H100" s="955">
        <f>SUM(H96:H99)</f>
        <v>164504</v>
      </c>
      <c r="I100" s="348">
        <f>SUM(I96:I99)</f>
        <v>567.9</v>
      </c>
      <c r="J100" s="349"/>
      <c r="K100" s="345"/>
      <c r="L100" s="347">
        <f>SUM(L95:L99)</f>
        <v>567.9</v>
      </c>
      <c r="M100" s="351"/>
      <c r="N100" s="350"/>
      <c r="O100" s="2375"/>
      <c r="P100" s="1050">
        <v>100</v>
      </c>
      <c r="Q100" s="82"/>
      <c r="R100" s="622"/>
    </row>
    <row r="101" spans="1:18" ht="38.25" x14ac:dyDescent="0.2">
      <c r="A101" s="1023"/>
      <c r="B101" s="997"/>
      <c r="C101" s="1029"/>
      <c r="D101" s="1957" t="s">
        <v>304</v>
      </c>
      <c r="E101" s="467" t="s">
        <v>4</v>
      </c>
      <c r="F101" s="223">
        <v>5</v>
      </c>
      <c r="G101" s="1061" t="s">
        <v>22</v>
      </c>
      <c r="H101" s="954">
        <f>862/3.4528*1000</f>
        <v>249652</v>
      </c>
      <c r="I101" s="288">
        <f>J101+L101</f>
        <v>861.9</v>
      </c>
      <c r="J101" s="169"/>
      <c r="K101" s="158"/>
      <c r="L101" s="51">
        <v>861.9</v>
      </c>
      <c r="M101" s="122"/>
      <c r="N101" s="37"/>
      <c r="O101" s="914" t="s">
        <v>158</v>
      </c>
      <c r="P101" s="1062" t="s">
        <v>275</v>
      </c>
      <c r="Q101" s="915"/>
      <c r="R101" s="916"/>
    </row>
    <row r="102" spans="1:18" ht="25.5" x14ac:dyDescent="0.2">
      <c r="A102" s="1023"/>
      <c r="B102" s="997"/>
      <c r="C102" s="1029"/>
      <c r="D102" s="1955"/>
      <c r="E102" s="468"/>
      <c r="F102" s="223"/>
      <c r="G102" s="382" t="s">
        <v>23</v>
      </c>
      <c r="H102" s="958">
        <f>H101</f>
        <v>249652</v>
      </c>
      <c r="I102" s="335">
        <f>SUM(I101:I101)</f>
        <v>861.9</v>
      </c>
      <c r="J102" s="334"/>
      <c r="K102" s="307"/>
      <c r="L102" s="334">
        <f>SUM(L101:L101)</f>
        <v>861.9</v>
      </c>
      <c r="M102" s="749"/>
      <c r="N102" s="359"/>
      <c r="O102" s="917" t="s">
        <v>225</v>
      </c>
      <c r="P102" s="918">
        <v>100</v>
      </c>
      <c r="Q102" s="919"/>
      <c r="R102" s="920"/>
    </row>
    <row r="103" spans="1:18" x14ac:dyDescent="0.2">
      <c r="A103" s="1023"/>
      <c r="B103" s="997"/>
      <c r="C103" s="1029"/>
      <c r="D103" s="2376" t="s">
        <v>305</v>
      </c>
      <c r="E103" s="467" t="s">
        <v>4</v>
      </c>
      <c r="F103" s="222">
        <v>5</v>
      </c>
      <c r="G103" s="1061" t="s">
        <v>22</v>
      </c>
      <c r="H103" s="954"/>
      <c r="I103" s="288"/>
      <c r="J103" s="169"/>
      <c r="K103" s="158"/>
      <c r="L103" s="51"/>
      <c r="M103" s="122">
        <f>60</f>
        <v>60</v>
      </c>
      <c r="N103" s="37">
        <f>150</f>
        <v>150</v>
      </c>
      <c r="O103" s="2378" t="s">
        <v>158</v>
      </c>
      <c r="P103" s="2361"/>
      <c r="Q103" s="2361"/>
      <c r="R103" s="2363">
        <v>1</v>
      </c>
    </row>
    <row r="104" spans="1:18" x14ac:dyDescent="0.2">
      <c r="A104" s="1004"/>
      <c r="B104" s="997"/>
      <c r="C104" s="463"/>
      <c r="D104" s="1992"/>
      <c r="E104" s="468"/>
      <c r="F104" s="223"/>
      <c r="G104" s="343" t="s">
        <v>23</v>
      </c>
      <c r="H104" s="955"/>
      <c r="I104" s="348"/>
      <c r="J104" s="349"/>
      <c r="K104" s="345"/>
      <c r="L104" s="347"/>
      <c r="M104" s="365">
        <f>SUM(M103)</f>
        <v>60</v>
      </c>
      <c r="N104" s="362">
        <f>SUM(N103)</f>
        <v>150</v>
      </c>
      <c r="O104" s="2379"/>
      <c r="P104" s="2362"/>
      <c r="Q104" s="2362"/>
      <c r="R104" s="2364"/>
    </row>
    <row r="105" spans="1:18" ht="13.5" thickBot="1" x14ac:dyDescent="0.25">
      <c r="A105" s="1003"/>
      <c r="B105" s="1011"/>
      <c r="C105" s="1051"/>
      <c r="D105" s="2377"/>
      <c r="E105" s="2366" t="s">
        <v>210</v>
      </c>
      <c r="F105" s="2367"/>
      <c r="G105" s="2368"/>
      <c r="H105" s="946">
        <f>H104+H102+H100</f>
        <v>414156</v>
      </c>
      <c r="I105" s="320">
        <f>J105+L105</f>
        <v>1429.8</v>
      </c>
      <c r="J105" s="355"/>
      <c r="K105" s="321"/>
      <c r="L105" s="319">
        <f>L104+L102+L100</f>
        <v>1429.8</v>
      </c>
      <c r="M105" s="316">
        <f>M104+M102+M100</f>
        <v>60</v>
      </c>
      <c r="N105" s="319">
        <f>N104+N102+N100</f>
        <v>150</v>
      </c>
      <c r="O105" s="2380"/>
      <c r="P105" s="2278"/>
      <c r="Q105" s="2278"/>
      <c r="R105" s="2365"/>
    </row>
    <row r="106" spans="1:18" x14ac:dyDescent="0.2">
      <c r="A106" s="1008" t="s">
        <v>24</v>
      </c>
      <c r="B106" s="1010" t="s">
        <v>20</v>
      </c>
      <c r="C106" s="888" t="s">
        <v>28</v>
      </c>
      <c r="D106" s="2019" t="s">
        <v>259</v>
      </c>
      <c r="E106" s="2369" t="s">
        <v>125</v>
      </c>
      <c r="F106" s="2354">
        <v>2</v>
      </c>
      <c r="G106" s="1053" t="s">
        <v>22</v>
      </c>
      <c r="H106" s="944">
        <f>50/3.4528*1000</f>
        <v>14481</v>
      </c>
      <c r="I106" s="371">
        <f>J106+L106</f>
        <v>50</v>
      </c>
      <c r="J106" s="783">
        <v>50</v>
      </c>
      <c r="K106" s="803"/>
      <c r="L106" s="804"/>
      <c r="M106" s="64"/>
      <c r="N106" s="64"/>
      <c r="O106" s="2356" t="s">
        <v>65</v>
      </c>
      <c r="P106" s="776">
        <v>3</v>
      </c>
      <c r="Q106" s="777"/>
      <c r="R106" s="675"/>
    </row>
    <row r="107" spans="1:18" ht="21" customHeight="1" x14ac:dyDescent="0.2">
      <c r="A107" s="1023"/>
      <c r="B107" s="997"/>
      <c r="C107" s="186"/>
      <c r="D107" s="2030"/>
      <c r="E107" s="2370"/>
      <c r="F107" s="2355"/>
      <c r="G107" s="1054"/>
      <c r="H107" s="959"/>
      <c r="I107" s="649"/>
      <c r="J107" s="800"/>
      <c r="K107" s="801"/>
      <c r="L107" s="802"/>
      <c r="M107" s="650"/>
      <c r="N107" s="650"/>
      <c r="O107" s="2357"/>
      <c r="P107" s="1050"/>
      <c r="Q107" s="82"/>
      <c r="R107" s="622"/>
    </row>
    <row r="108" spans="1:18" ht="13.5" thickBot="1" x14ac:dyDescent="0.25">
      <c r="A108" s="1023"/>
      <c r="B108" s="997"/>
      <c r="C108" s="186"/>
      <c r="D108" s="2020"/>
      <c r="E108" s="781" t="s">
        <v>313</v>
      </c>
      <c r="F108" s="2371"/>
      <c r="G108" s="299" t="s">
        <v>23</v>
      </c>
      <c r="H108" s="942">
        <f>H106</f>
        <v>14481</v>
      </c>
      <c r="I108" s="320">
        <f>I106</f>
        <v>50</v>
      </c>
      <c r="J108" s="355">
        <f>J106</f>
        <v>50</v>
      </c>
      <c r="K108" s="321"/>
      <c r="L108" s="319"/>
      <c r="M108" s="316"/>
      <c r="N108" s="316"/>
      <c r="O108" s="2372"/>
      <c r="P108" s="79"/>
      <c r="Q108" s="1064"/>
      <c r="R108" s="646"/>
    </row>
    <row r="109" spans="1:18" x14ac:dyDescent="0.2">
      <c r="A109" s="1008" t="s">
        <v>24</v>
      </c>
      <c r="B109" s="1010" t="s">
        <v>20</v>
      </c>
      <c r="C109" s="888" t="s">
        <v>29</v>
      </c>
      <c r="D109" s="2019" t="s">
        <v>306</v>
      </c>
      <c r="E109" s="2025"/>
      <c r="F109" s="2354">
        <v>2</v>
      </c>
      <c r="G109" s="1053" t="s">
        <v>22</v>
      </c>
      <c r="H109" s="944">
        <f>100/3.4528*1000</f>
        <v>28962</v>
      </c>
      <c r="I109" s="371">
        <f>J109+L109</f>
        <v>100</v>
      </c>
      <c r="J109" s="783"/>
      <c r="K109" s="803"/>
      <c r="L109" s="804">
        <v>100</v>
      </c>
      <c r="M109" s="486">
        <f>100</f>
        <v>100</v>
      </c>
      <c r="N109" s="64"/>
      <c r="O109" s="2356" t="s">
        <v>258</v>
      </c>
      <c r="P109" s="776"/>
      <c r="Q109" s="777">
        <v>152</v>
      </c>
      <c r="R109" s="675"/>
    </row>
    <row r="110" spans="1:18" x14ac:dyDescent="0.2">
      <c r="A110" s="1023"/>
      <c r="B110" s="997"/>
      <c r="C110" s="186"/>
      <c r="D110" s="2030"/>
      <c r="E110" s="2026"/>
      <c r="F110" s="2355"/>
      <c r="G110" s="1054"/>
      <c r="H110" s="959"/>
      <c r="I110" s="649"/>
      <c r="J110" s="800"/>
      <c r="K110" s="801"/>
      <c r="L110" s="802"/>
      <c r="M110" s="650"/>
      <c r="N110" s="650"/>
      <c r="O110" s="2357"/>
      <c r="P110" s="1050"/>
      <c r="Q110" s="82"/>
      <c r="R110" s="622"/>
    </row>
    <row r="111" spans="1:18" ht="38.25" customHeight="1" thickBot="1" x14ac:dyDescent="0.25">
      <c r="A111" s="1023"/>
      <c r="B111" s="997"/>
      <c r="C111" s="186"/>
      <c r="D111" s="2030"/>
      <c r="E111" s="2026"/>
      <c r="F111" s="2355"/>
      <c r="G111" s="343" t="s">
        <v>23</v>
      </c>
      <c r="H111" s="955">
        <f>SUM(H109:H110)</f>
        <v>28962</v>
      </c>
      <c r="I111" s="348">
        <f>I109</f>
        <v>100</v>
      </c>
      <c r="J111" s="349"/>
      <c r="K111" s="345"/>
      <c r="L111" s="347">
        <f>SUM(L109:L110)</f>
        <v>100</v>
      </c>
      <c r="M111" s="351">
        <f>SUM(M109:M110)</f>
        <v>100</v>
      </c>
      <c r="N111" s="351"/>
      <c r="O111" s="2357"/>
      <c r="P111" s="779"/>
      <c r="Q111" s="780"/>
      <c r="R111" s="622"/>
    </row>
    <row r="112" spans="1:18" ht="25.5" x14ac:dyDescent="0.2">
      <c r="A112" s="1008" t="s">
        <v>24</v>
      </c>
      <c r="B112" s="1010" t="s">
        <v>20</v>
      </c>
      <c r="C112" s="1028" t="s">
        <v>30</v>
      </c>
      <c r="D112" s="921" t="s">
        <v>187</v>
      </c>
      <c r="E112" s="922" t="s">
        <v>4</v>
      </c>
      <c r="F112" s="923"/>
      <c r="G112" s="13"/>
      <c r="H112" s="960"/>
      <c r="I112" s="370"/>
      <c r="J112" s="1134"/>
      <c r="K112" s="43"/>
      <c r="L112" s="1135"/>
      <c r="M112" s="725"/>
      <c r="N112" s="725"/>
      <c r="O112" s="924"/>
      <c r="P112" s="925"/>
      <c r="Q112" s="926"/>
      <c r="R112" s="927"/>
    </row>
    <row r="113" spans="1:18" ht="38.25" x14ac:dyDescent="0.2">
      <c r="A113" s="1023"/>
      <c r="B113" s="997"/>
      <c r="C113" s="1029"/>
      <c r="D113" s="2358" t="s">
        <v>256</v>
      </c>
      <c r="E113" s="2359" t="s">
        <v>126</v>
      </c>
      <c r="F113" s="2360">
        <v>6</v>
      </c>
      <c r="G113" s="1061" t="s">
        <v>270</v>
      </c>
      <c r="H113" s="954">
        <f>3515/3.4528*1000</f>
        <v>1018014</v>
      </c>
      <c r="I113" s="288">
        <f>+J113+L113</f>
        <v>3515</v>
      </c>
      <c r="J113" s="216">
        <v>15</v>
      </c>
      <c r="K113" s="216"/>
      <c r="L113" s="217">
        <v>3500</v>
      </c>
      <c r="M113" s="805">
        <f>3000</f>
        <v>3000</v>
      </c>
      <c r="N113" s="805"/>
      <c r="O113" s="520" t="s">
        <v>158</v>
      </c>
      <c r="P113" s="787">
        <v>100</v>
      </c>
      <c r="Q113" s="787"/>
      <c r="R113" s="521"/>
    </row>
    <row r="114" spans="1:18" x14ac:dyDescent="0.2">
      <c r="A114" s="1023"/>
      <c r="B114" s="997"/>
      <c r="C114" s="1029"/>
      <c r="D114" s="2030"/>
      <c r="E114" s="2324"/>
      <c r="F114" s="2360"/>
      <c r="G114" s="1060"/>
      <c r="H114" s="959"/>
      <c r="I114" s="503"/>
      <c r="J114" s="225"/>
      <c r="K114" s="225"/>
      <c r="L114" s="227"/>
      <c r="M114" s="1136"/>
      <c r="N114" s="509"/>
      <c r="O114" s="2059" t="s">
        <v>165</v>
      </c>
      <c r="P114" s="1015">
        <v>50</v>
      </c>
      <c r="Q114" s="1015">
        <v>50</v>
      </c>
      <c r="R114" s="1043"/>
    </row>
    <row r="115" spans="1:18" ht="13.5" thickBot="1" x14ac:dyDescent="0.25">
      <c r="A115" s="1003"/>
      <c r="B115" s="1011"/>
      <c r="C115" s="1051"/>
      <c r="D115" s="2020"/>
      <c r="E115" s="2325"/>
      <c r="F115" s="928"/>
      <c r="G115" s="313" t="s">
        <v>23</v>
      </c>
      <c r="H115" s="942">
        <f>SUM(H113:H114)</f>
        <v>1018014</v>
      </c>
      <c r="I115" s="312">
        <f t="shared" ref="I115:L115" si="10">SUM(I113:I114)</f>
        <v>3515</v>
      </c>
      <c r="J115" s="292">
        <f t="shared" si="10"/>
        <v>15</v>
      </c>
      <c r="K115" s="293">
        <f t="shared" si="10"/>
        <v>0</v>
      </c>
      <c r="L115" s="302">
        <f t="shared" si="10"/>
        <v>3500</v>
      </c>
      <c r="M115" s="301">
        <f>SUM(M113:M114)</f>
        <v>3000</v>
      </c>
      <c r="N115" s="301"/>
      <c r="O115" s="2082"/>
      <c r="P115" s="619"/>
      <c r="Q115" s="81"/>
      <c r="R115" s="1044"/>
    </row>
    <row r="116" spans="1:18" x14ac:dyDescent="0.2">
      <c r="A116" s="1023" t="s">
        <v>24</v>
      </c>
      <c r="B116" s="997" t="s">
        <v>20</v>
      </c>
      <c r="C116" s="1029" t="s">
        <v>30</v>
      </c>
      <c r="D116" s="2030" t="s">
        <v>262</v>
      </c>
      <c r="E116" s="2026"/>
      <c r="F116" s="1030">
        <v>6</v>
      </c>
      <c r="G116" s="1060" t="s">
        <v>22</v>
      </c>
      <c r="H116" s="961">
        <f>350/3.4528*1000</f>
        <v>101367</v>
      </c>
      <c r="I116" s="264">
        <f>J116+L116</f>
        <v>350</v>
      </c>
      <c r="J116" s="790"/>
      <c r="K116" s="53"/>
      <c r="L116" s="213">
        <v>350</v>
      </c>
      <c r="M116" s="110"/>
      <c r="N116" s="110"/>
      <c r="O116" s="778" t="s">
        <v>261</v>
      </c>
      <c r="P116" s="676">
        <v>100</v>
      </c>
      <c r="Q116" s="89"/>
      <c r="R116" s="622"/>
    </row>
    <row r="117" spans="1:18" ht="13.5" thickBot="1" x14ac:dyDescent="0.25">
      <c r="A117" s="1009"/>
      <c r="B117" s="1011"/>
      <c r="C117" s="1000"/>
      <c r="D117" s="2020"/>
      <c r="E117" s="2027"/>
      <c r="F117" s="788"/>
      <c r="G117" s="632" t="s">
        <v>23</v>
      </c>
      <c r="H117" s="962">
        <f>H116</f>
        <v>101367</v>
      </c>
      <c r="I117" s="339">
        <f>J117+L117</f>
        <v>350</v>
      </c>
      <c r="J117" s="340"/>
      <c r="K117" s="341"/>
      <c r="L117" s="342">
        <f>L116</f>
        <v>350</v>
      </c>
      <c r="M117" s="789"/>
      <c r="N117" s="789"/>
      <c r="O117" s="70"/>
      <c r="P117" s="79"/>
      <c r="Q117" s="1064"/>
      <c r="R117" s="646"/>
    </row>
    <row r="118" spans="1:18" ht="13.5" thickBot="1" x14ac:dyDescent="0.25">
      <c r="A118" s="1003" t="s">
        <v>24</v>
      </c>
      <c r="B118" s="14" t="s">
        <v>20</v>
      </c>
      <c r="C118" s="2074" t="s">
        <v>27</v>
      </c>
      <c r="D118" s="2029"/>
      <c r="E118" s="2029"/>
      <c r="F118" s="2029"/>
      <c r="G118" s="2029"/>
      <c r="H118" s="976">
        <f>H117+H115+H111+H108+H105+H94+H75</f>
        <v>2171861</v>
      </c>
      <c r="I118" s="1093">
        <f>I117+I111+I105+I108+I115+I94+I75</f>
        <v>7499.1</v>
      </c>
      <c r="J118" s="542">
        <f t="shared" ref="J118:N118" si="11">J117+J111+J105+J108+J115+J94+J75</f>
        <v>82.4</v>
      </c>
      <c r="K118" s="1094">
        <f t="shared" si="11"/>
        <v>13.3</v>
      </c>
      <c r="L118" s="1137">
        <f t="shared" si="11"/>
        <v>7416.7</v>
      </c>
      <c r="M118" s="1129">
        <f t="shared" si="11"/>
        <v>4344.8</v>
      </c>
      <c r="N118" s="30">
        <f t="shared" si="11"/>
        <v>10916.3</v>
      </c>
      <c r="O118" s="2014"/>
      <c r="P118" s="2015"/>
      <c r="Q118" s="2015"/>
      <c r="R118" s="2016"/>
    </row>
    <row r="119" spans="1:18" ht="13.5" thickBot="1" x14ac:dyDescent="0.25">
      <c r="A119" s="1004" t="s">
        <v>24</v>
      </c>
      <c r="B119" s="14" t="s">
        <v>24</v>
      </c>
      <c r="C119" s="2176" t="s">
        <v>49</v>
      </c>
      <c r="D119" s="2177"/>
      <c r="E119" s="2177"/>
      <c r="F119" s="1012"/>
      <c r="G119" s="113"/>
      <c r="H119" s="977"/>
      <c r="I119" s="1138"/>
      <c r="J119" s="1138"/>
      <c r="K119" s="1138"/>
      <c r="L119" s="1138"/>
      <c r="M119" s="1138"/>
      <c r="N119" s="1138"/>
      <c r="O119" s="62"/>
      <c r="P119" s="62"/>
      <c r="Q119" s="2038"/>
      <c r="R119" s="2039"/>
    </row>
    <row r="120" spans="1:18" ht="26.25" customHeight="1" x14ac:dyDescent="0.2">
      <c r="A120" s="2034" t="s">
        <v>24</v>
      </c>
      <c r="B120" s="2036" t="s">
        <v>24</v>
      </c>
      <c r="C120" s="999" t="s">
        <v>20</v>
      </c>
      <c r="D120" s="2072" t="s">
        <v>272</v>
      </c>
      <c r="E120" s="2323" t="s">
        <v>130</v>
      </c>
      <c r="F120" s="2017">
        <v>2</v>
      </c>
      <c r="G120" s="112" t="s">
        <v>22</v>
      </c>
      <c r="H120" s="985">
        <v>0</v>
      </c>
      <c r="I120" s="309">
        <f>J120+L120</f>
        <v>0</v>
      </c>
      <c r="J120" s="49">
        <f>100-100</f>
        <v>0</v>
      </c>
      <c r="K120" s="49"/>
      <c r="L120" s="50"/>
      <c r="M120" s="42">
        <f>100</f>
        <v>100</v>
      </c>
      <c r="N120" s="42">
        <f>100</f>
        <v>100</v>
      </c>
      <c r="O120" s="2155" t="s">
        <v>87</v>
      </c>
      <c r="P120" s="727"/>
      <c r="Q120" s="727">
        <v>320</v>
      </c>
      <c r="R120" s="734">
        <v>320</v>
      </c>
    </row>
    <row r="121" spans="1:18" ht="13.5" thickBot="1" x14ac:dyDescent="0.25">
      <c r="A121" s="2035"/>
      <c r="B121" s="2037"/>
      <c r="C121" s="1000"/>
      <c r="D121" s="1958"/>
      <c r="E121" s="2325"/>
      <c r="F121" s="2018"/>
      <c r="G121" s="313" t="s">
        <v>23</v>
      </c>
      <c r="H121" s="989">
        <f>H120</f>
        <v>0</v>
      </c>
      <c r="I121" s="300">
        <f>J121+L121</f>
        <v>0</v>
      </c>
      <c r="J121" s="293">
        <f>SUM(J120)</f>
        <v>0</v>
      </c>
      <c r="K121" s="293"/>
      <c r="L121" s="296"/>
      <c r="M121" s="301">
        <f>SUM(M120)</f>
        <v>100</v>
      </c>
      <c r="N121" s="302">
        <f>SUM(N120)</f>
        <v>100</v>
      </c>
      <c r="O121" s="2156"/>
      <c r="P121" s="129"/>
      <c r="Q121" s="129"/>
      <c r="R121" s="203"/>
    </row>
    <row r="122" spans="1:18" x14ac:dyDescent="0.2">
      <c r="A122" s="1002" t="s">
        <v>24</v>
      </c>
      <c r="B122" s="1010" t="s">
        <v>24</v>
      </c>
      <c r="C122" s="999" t="s">
        <v>24</v>
      </c>
      <c r="D122" s="2344" t="s">
        <v>264</v>
      </c>
      <c r="E122" s="2347"/>
      <c r="F122" s="2350">
        <v>2</v>
      </c>
      <c r="G122" s="929" t="s">
        <v>22</v>
      </c>
      <c r="H122" s="990">
        <f>1060/3.4528*1000</f>
        <v>306997</v>
      </c>
      <c r="I122" s="323">
        <f>J122+L122</f>
        <v>1060</v>
      </c>
      <c r="J122" s="695">
        <v>1060</v>
      </c>
      <c r="K122" s="731"/>
      <c r="L122" s="813"/>
      <c r="M122" s="486">
        <f>900</f>
        <v>900</v>
      </c>
      <c r="N122" s="487">
        <f>900</f>
        <v>900</v>
      </c>
      <c r="O122" s="814" t="s">
        <v>265</v>
      </c>
      <c r="P122" s="815">
        <v>315</v>
      </c>
      <c r="Q122" s="815">
        <v>250</v>
      </c>
      <c r="R122" s="816">
        <v>250</v>
      </c>
    </row>
    <row r="123" spans="1:18" ht="25.5" x14ac:dyDescent="0.2">
      <c r="A123" s="1004"/>
      <c r="B123" s="997"/>
      <c r="C123" s="1005"/>
      <c r="D123" s="2345"/>
      <c r="E123" s="2348"/>
      <c r="F123" s="2351"/>
      <c r="G123" s="988"/>
      <c r="H123" s="984"/>
      <c r="I123" s="326"/>
      <c r="J123" s="696"/>
      <c r="K123" s="755"/>
      <c r="L123" s="240"/>
      <c r="M123" s="797"/>
      <c r="N123" s="240"/>
      <c r="O123" s="1076" t="s">
        <v>266</v>
      </c>
      <c r="P123" s="817">
        <v>15</v>
      </c>
      <c r="Q123" s="817">
        <v>3</v>
      </c>
      <c r="R123" s="818">
        <v>3</v>
      </c>
    </row>
    <row r="124" spans="1:18" ht="13.5" thickBot="1" x14ac:dyDescent="0.25">
      <c r="A124" s="1003"/>
      <c r="B124" s="819"/>
      <c r="C124" s="1000"/>
      <c r="D124" s="2346"/>
      <c r="E124" s="2349"/>
      <c r="F124" s="2352"/>
      <c r="G124" s="930" t="s">
        <v>23</v>
      </c>
      <c r="H124" s="991">
        <f>SUM(H122:H123)</f>
        <v>306997</v>
      </c>
      <c r="I124" s="322">
        <f>SUM(I122:I122)</f>
        <v>1060</v>
      </c>
      <c r="J124" s="321">
        <f>SUM(J122:J122)</f>
        <v>1060</v>
      </c>
      <c r="K124" s="355"/>
      <c r="L124" s="317"/>
      <c r="M124" s="316">
        <f>SUM(M122:M122)</f>
        <v>900</v>
      </c>
      <c r="N124" s="317">
        <f>SUM(N122:N122)</f>
        <v>900</v>
      </c>
      <c r="O124" s="820" t="s">
        <v>128</v>
      </c>
      <c r="P124" s="821">
        <v>285</v>
      </c>
      <c r="Q124" s="821">
        <v>60</v>
      </c>
      <c r="R124" s="822">
        <v>60</v>
      </c>
    </row>
    <row r="125" spans="1:18" ht="13.5" thickBot="1" x14ac:dyDescent="0.25">
      <c r="A125" s="15" t="s">
        <v>24</v>
      </c>
      <c r="B125" s="14" t="s">
        <v>24</v>
      </c>
      <c r="C125" s="2074" t="s">
        <v>27</v>
      </c>
      <c r="D125" s="2029"/>
      <c r="E125" s="2029"/>
      <c r="F125" s="2029"/>
      <c r="G125" s="2029"/>
      <c r="H125" s="992">
        <f>H124+H121</f>
        <v>306997</v>
      </c>
      <c r="I125" s="1">
        <f t="shared" ref="I125:N125" si="12">I124+I121</f>
        <v>1060</v>
      </c>
      <c r="J125" s="1090">
        <f>J124+J121</f>
        <v>1060</v>
      </c>
      <c r="K125" s="243">
        <f t="shared" si="12"/>
        <v>0</v>
      </c>
      <c r="L125" s="242">
        <f t="shared" si="12"/>
        <v>0</v>
      </c>
      <c r="M125" s="1">
        <f t="shared" si="12"/>
        <v>1000</v>
      </c>
      <c r="N125" s="1">
        <f t="shared" si="12"/>
        <v>1000</v>
      </c>
      <c r="O125" s="2288"/>
      <c r="P125" s="2289"/>
      <c r="Q125" s="2289"/>
      <c r="R125" s="2290"/>
    </row>
    <row r="126" spans="1:18" ht="13.5" thickBot="1" x14ac:dyDescent="0.25">
      <c r="A126" s="1002" t="s">
        <v>24</v>
      </c>
      <c r="B126" s="134" t="s">
        <v>26</v>
      </c>
      <c r="C126" s="2353" t="s">
        <v>48</v>
      </c>
      <c r="D126" s="2008"/>
      <c r="E126" s="2008"/>
      <c r="F126" s="2008"/>
      <c r="G126" s="2008"/>
      <c r="H126" s="2008"/>
      <c r="I126" s="2008"/>
      <c r="J126" s="2008"/>
      <c r="K126" s="2008"/>
      <c r="L126" s="2008"/>
      <c r="M126" s="2008"/>
      <c r="N126" s="2008"/>
      <c r="O126" s="2008"/>
      <c r="P126" s="2008"/>
      <c r="Q126" s="2008"/>
      <c r="R126" s="2009"/>
    </row>
    <row r="127" spans="1:18" ht="25.5" x14ac:dyDescent="0.2">
      <c r="A127" s="1008" t="s">
        <v>24</v>
      </c>
      <c r="B127" s="1010" t="s">
        <v>26</v>
      </c>
      <c r="C127" s="999" t="s">
        <v>20</v>
      </c>
      <c r="D127" s="823" t="s">
        <v>50</v>
      </c>
      <c r="E127" s="1073"/>
      <c r="F127" s="824">
        <v>6</v>
      </c>
      <c r="G127" s="1052" t="s">
        <v>22</v>
      </c>
      <c r="H127" s="966">
        <f>4348/3.4528*1000</f>
        <v>1259268</v>
      </c>
      <c r="I127" s="323">
        <f>J127+L127</f>
        <v>4348.2</v>
      </c>
      <c r="J127" s="825">
        <v>4268.2</v>
      </c>
      <c r="K127" s="826"/>
      <c r="L127" s="804">
        <v>80</v>
      </c>
      <c r="M127" s="64">
        <f>4896</f>
        <v>4896</v>
      </c>
      <c r="N127" s="63">
        <f>4863</f>
        <v>4863</v>
      </c>
      <c r="O127" s="827"/>
      <c r="P127" s="828"/>
      <c r="Q127" s="829"/>
      <c r="R127" s="675"/>
    </row>
    <row r="128" spans="1:18" ht="25.5" x14ac:dyDescent="0.2">
      <c r="A128" s="1023"/>
      <c r="B128" s="997"/>
      <c r="C128" s="1005"/>
      <c r="D128" s="830" t="s">
        <v>89</v>
      </c>
      <c r="E128" s="1063"/>
      <c r="F128" s="1075"/>
      <c r="G128" s="831"/>
      <c r="H128" s="967"/>
      <c r="I128" s="1096"/>
      <c r="J128" s="237"/>
      <c r="K128" s="832"/>
      <c r="L128" s="472"/>
      <c r="M128" s="796"/>
      <c r="N128" s="796"/>
      <c r="O128" s="1020" t="s">
        <v>289</v>
      </c>
      <c r="P128" s="833">
        <v>13</v>
      </c>
      <c r="Q128" s="833">
        <v>14</v>
      </c>
      <c r="R128" s="834">
        <v>14</v>
      </c>
    </row>
    <row r="129" spans="1:21" ht="25.5" x14ac:dyDescent="0.2">
      <c r="A129" s="1023"/>
      <c r="B129" s="997"/>
      <c r="C129" s="147"/>
      <c r="D129" s="830" t="s">
        <v>61</v>
      </c>
      <c r="E129" s="998"/>
      <c r="F129" s="1075"/>
      <c r="G129" s="835"/>
      <c r="H129" s="968"/>
      <c r="I129" s="1096"/>
      <c r="J129" s="836"/>
      <c r="K129" s="792"/>
      <c r="L129" s="802"/>
      <c r="M129" s="796"/>
      <c r="N129" s="796"/>
      <c r="O129" s="1020" t="s">
        <v>290</v>
      </c>
      <c r="P129" s="837">
        <v>95</v>
      </c>
      <c r="Q129" s="837">
        <v>95</v>
      </c>
      <c r="R129" s="838">
        <v>95</v>
      </c>
    </row>
    <row r="130" spans="1:21" s="4" customFormat="1" ht="25.5" x14ac:dyDescent="0.2">
      <c r="A130" s="1023"/>
      <c r="B130" s="997"/>
      <c r="C130" s="1005"/>
      <c r="D130" s="839" t="s">
        <v>63</v>
      </c>
      <c r="E130" s="998"/>
      <c r="F130" s="1013"/>
      <c r="G130" s="1065"/>
      <c r="H130" s="969"/>
      <c r="I130" s="649"/>
      <c r="J130" s="840"/>
      <c r="K130" s="800"/>
      <c r="L130" s="841"/>
      <c r="M130" s="795"/>
      <c r="N130" s="795"/>
      <c r="O130" s="1019" t="s">
        <v>297</v>
      </c>
      <c r="P130" s="842">
        <v>30</v>
      </c>
      <c r="Q130" s="842">
        <v>30</v>
      </c>
      <c r="R130" s="843">
        <v>30</v>
      </c>
    </row>
    <row r="131" spans="1:21" ht="25.5" x14ac:dyDescent="0.2">
      <c r="A131" s="1023"/>
      <c r="B131" s="997"/>
      <c r="C131" s="147"/>
      <c r="D131" s="830" t="s">
        <v>70</v>
      </c>
      <c r="E131" s="998"/>
      <c r="F131" s="1075"/>
      <c r="G131" s="831"/>
      <c r="H131" s="967"/>
      <c r="I131" s="1096"/>
      <c r="J131" s="836"/>
      <c r="K131" s="832"/>
      <c r="L131" s="472"/>
      <c r="M131" s="796"/>
      <c r="N131" s="796"/>
      <c r="O131" s="1020" t="s">
        <v>291</v>
      </c>
      <c r="P131" s="837">
        <v>6</v>
      </c>
      <c r="Q131" s="837">
        <v>5</v>
      </c>
      <c r="R131" s="838">
        <v>5</v>
      </c>
    </row>
    <row r="132" spans="1:21" s="4" customFormat="1" x14ac:dyDescent="0.2">
      <c r="A132" s="1023"/>
      <c r="B132" s="997"/>
      <c r="C132" s="147"/>
      <c r="D132" s="830" t="s">
        <v>62</v>
      </c>
      <c r="E132" s="1074"/>
      <c r="F132" s="1075"/>
      <c r="G132" s="831"/>
      <c r="H132" s="967"/>
      <c r="I132" s="1096"/>
      <c r="J132" s="836"/>
      <c r="K132" s="832"/>
      <c r="L132" s="472"/>
      <c r="M132" s="796"/>
      <c r="N132" s="796"/>
      <c r="O132" s="1020" t="s">
        <v>79</v>
      </c>
      <c r="P132" s="237">
        <v>40.1</v>
      </c>
      <c r="Q132" s="237">
        <v>40.1</v>
      </c>
      <c r="R132" s="694">
        <v>40.1</v>
      </c>
    </row>
    <row r="133" spans="1:21" x14ac:dyDescent="0.2">
      <c r="A133" s="1023"/>
      <c r="B133" s="997"/>
      <c r="C133" s="1005"/>
      <c r="D133" s="839" t="s">
        <v>64</v>
      </c>
      <c r="E133" s="1074"/>
      <c r="F133" s="1075"/>
      <c r="G133" s="835"/>
      <c r="H133" s="968"/>
      <c r="I133" s="374"/>
      <c r="J133" s="696"/>
      <c r="K133" s="844"/>
      <c r="L133" s="845"/>
      <c r="M133" s="795"/>
      <c r="N133" s="795"/>
      <c r="O133" s="1066" t="s">
        <v>292</v>
      </c>
      <c r="P133" s="1067">
        <v>100</v>
      </c>
      <c r="Q133" s="1067">
        <v>100</v>
      </c>
      <c r="R133" s="1068">
        <v>100</v>
      </c>
    </row>
    <row r="134" spans="1:21" s="700" customFormat="1" ht="25.5" x14ac:dyDescent="0.2">
      <c r="A134" s="1023"/>
      <c r="B134" s="997"/>
      <c r="C134" s="1005"/>
      <c r="D134" s="869" t="s">
        <v>136</v>
      </c>
      <c r="E134" s="847"/>
      <c r="F134" s="1081"/>
      <c r="G134" s="846"/>
      <c r="H134" s="970"/>
      <c r="I134" s="1096"/>
      <c r="J134" s="237"/>
      <c r="K134" s="237"/>
      <c r="L134" s="782"/>
      <c r="M134" s="795"/>
      <c r="N134" s="795"/>
      <c r="O134" s="866" t="s">
        <v>293</v>
      </c>
      <c r="P134" s="849">
        <v>11</v>
      </c>
      <c r="Q134" s="849">
        <v>13</v>
      </c>
      <c r="R134" s="850">
        <v>16</v>
      </c>
      <c r="S134" s="699"/>
      <c r="U134" s="701"/>
    </row>
    <row r="135" spans="1:21" s="700" customFormat="1" ht="30" customHeight="1" x14ac:dyDescent="0.2">
      <c r="A135" s="1023"/>
      <c r="B135" s="997"/>
      <c r="C135" s="1005"/>
      <c r="D135" s="2334" t="s">
        <v>307</v>
      </c>
      <c r="E135" s="2336"/>
      <c r="F135" s="2338"/>
      <c r="G135" s="848"/>
      <c r="H135" s="971"/>
      <c r="I135" s="1096"/>
      <c r="J135" s="696"/>
      <c r="K135" s="237"/>
      <c r="L135" s="694"/>
      <c r="M135" s="795"/>
      <c r="N135" s="795"/>
      <c r="O135" s="1079" t="s">
        <v>294</v>
      </c>
      <c r="P135" s="849">
        <v>1</v>
      </c>
      <c r="Q135" s="849">
        <v>1</v>
      </c>
      <c r="R135" s="850">
        <v>1</v>
      </c>
      <c r="S135" s="699"/>
      <c r="U135" s="701"/>
    </row>
    <row r="136" spans="1:21" ht="13.5" thickBot="1" x14ac:dyDescent="0.25">
      <c r="A136" s="1023"/>
      <c r="B136" s="997"/>
      <c r="C136" s="1005"/>
      <c r="D136" s="2335"/>
      <c r="E136" s="2337"/>
      <c r="F136" s="2339"/>
      <c r="G136" s="369" t="s">
        <v>23</v>
      </c>
      <c r="H136" s="965">
        <f>SUM(H127:H135)</f>
        <v>1259268</v>
      </c>
      <c r="I136" s="322">
        <f>SUM(I127:I135)</f>
        <v>4348.2</v>
      </c>
      <c r="J136" s="322">
        <f t="shared" ref="J136:N136" si="13">SUM(J127:J135)</f>
        <v>4268.2</v>
      </c>
      <c r="K136" s="322">
        <f t="shared" si="13"/>
        <v>0</v>
      </c>
      <c r="L136" s="322">
        <f t="shared" si="13"/>
        <v>80</v>
      </c>
      <c r="M136" s="322">
        <f t="shared" si="13"/>
        <v>4896</v>
      </c>
      <c r="N136" s="322">
        <f t="shared" si="13"/>
        <v>4863</v>
      </c>
      <c r="O136" s="867"/>
      <c r="P136" s="79"/>
      <c r="Q136" s="1064"/>
      <c r="R136" s="646"/>
    </row>
    <row r="137" spans="1:21" ht="28.5" customHeight="1" x14ac:dyDescent="0.2">
      <c r="A137" s="1008" t="s">
        <v>24</v>
      </c>
      <c r="B137" s="1010" t="s">
        <v>26</v>
      </c>
      <c r="C137" s="999" t="s">
        <v>24</v>
      </c>
      <c r="D137" s="2340" t="s">
        <v>253</v>
      </c>
      <c r="E137" s="2332" t="s">
        <v>134</v>
      </c>
      <c r="F137" s="2342">
        <v>6</v>
      </c>
      <c r="G137" s="851" t="s">
        <v>22</v>
      </c>
      <c r="H137" s="966">
        <f>73/3.4528*1000</f>
        <v>21142</v>
      </c>
      <c r="I137" s="323">
        <f>J137+L137</f>
        <v>73</v>
      </c>
      <c r="J137" s="825"/>
      <c r="K137" s="783"/>
      <c r="L137" s="804">
        <v>73</v>
      </c>
      <c r="M137" s="64">
        <f>210</f>
        <v>210</v>
      </c>
      <c r="N137" s="63">
        <f>320</f>
        <v>320</v>
      </c>
      <c r="O137" s="2329" t="s">
        <v>135</v>
      </c>
      <c r="P137" s="776">
        <v>1</v>
      </c>
      <c r="Q137" s="777">
        <v>4</v>
      </c>
      <c r="R137" s="675">
        <v>6</v>
      </c>
    </row>
    <row r="138" spans="1:21" ht="13.5" thickBot="1" x14ac:dyDescent="0.25">
      <c r="A138" s="1009"/>
      <c r="B138" s="1011"/>
      <c r="C138" s="1000"/>
      <c r="D138" s="2341"/>
      <c r="E138" s="2333"/>
      <c r="F138" s="2343"/>
      <c r="G138" s="369" t="s">
        <v>23</v>
      </c>
      <c r="H138" s="965">
        <f>SUM(H137)</f>
        <v>21142</v>
      </c>
      <c r="I138" s="322">
        <f>J138+L138</f>
        <v>73</v>
      </c>
      <c r="J138" s="321"/>
      <c r="K138" s="321"/>
      <c r="L138" s="319">
        <f>L137</f>
        <v>73</v>
      </c>
      <c r="M138" s="316">
        <f>SUM(M137)</f>
        <v>210</v>
      </c>
      <c r="N138" s="317">
        <f>SUM(N137)</f>
        <v>320</v>
      </c>
      <c r="O138" s="2330"/>
      <c r="P138" s="79"/>
      <c r="Q138" s="1064"/>
      <c r="R138" s="646"/>
    </row>
    <row r="139" spans="1:21" x14ac:dyDescent="0.2">
      <c r="A139" s="1984" t="s">
        <v>24</v>
      </c>
      <c r="B139" s="1959" t="s">
        <v>26</v>
      </c>
      <c r="C139" s="133" t="s">
        <v>26</v>
      </c>
      <c r="D139" s="2331" t="s">
        <v>59</v>
      </c>
      <c r="E139" s="2332"/>
      <c r="F139" s="2326">
        <v>2</v>
      </c>
      <c r="G139" s="852" t="s">
        <v>22</v>
      </c>
      <c r="H139" s="972">
        <f>108/3.4528*1000</f>
        <v>31279</v>
      </c>
      <c r="I139" s="1139">
        <f>J139+L139</f>
        <v>108</v>
      </c>
      <c r="J139" s="853">
        <v>108</v>
      </c>
      <c r="K139" s="43"/>
      <c r="L139" s="44"/>
      <c r="M139" s="64">
        <f>100</f>
        <v>100</v>
      </c>
      <c r="N139" s="64">
        <f>100</f>
        <v>100</v>
      </c>
      <c r="O139" s="2263" t="s">
        <v>295</v>
      </c>
      <c r="P139" s="854">
        <v>320</v>
      </c>
      <c r="Q139" s="855">
        <v>300</v>
      </c>
      <c r="R139" s="675">
        <v>300</v>
      </c>
    </row>
    <row r="140" spans="1:21" ht="26.25" customHeight="1" thickBot="1" x14ac:dyDescent="0.25">
      <c r="A140" s="1985"/>
      <c r="B140" s="1961"/>
      <c r="C140" s="131"/>
      <c r="D140" s="2320"/>
      <c r="E140" s="2333"/>
      <c r="F140" s="2328"/>
      <c r="G140" s="369" t="s">
        <v>23</v>
      </c>
      <c r="H140" s="973">
        <f>H139</f>
        <v>31279</v>
      </c>
      <c r="I140" s="316">
        <f>J140+L140</f>
        <v>108</v>
      </c>
      <c r="J140" s="349">
        <f>SUM(J139)</f>
        <v>108</v>
      </c>
      <c r="K140" s="345"/>
      <c r="L140" s="347"/>
      <c r="M140" s="316">
        <f>SUM(M139)</f>
        <v>100</v>
      </c>
      <c r="N140" s="350">
        <f>SUM(N139)</f>
        <v>100</v>
      </c>
      <c r="O140" s="2264"/>
      <c r="P140" s="79"/>
      <c r="Q140" s="1064"/>
      <c r="R140" s="646"/>
    </row>
    <row r="141" spans="1:21" x14ac:dyDescent="0.2">
      <c r="A141" s="1008" t="s">
        <v>24</v>
      </c>
      <c r="B141" s="1010" t="s">
        <v>26</v>
      </c>
      <c r="C141" s="133" t="s">
        <v>28</v>
      </c>
      <c r="D141" s="1069" t="s">
        <v>257</v>
      </c>
      <c r="E141" s="1083"/>
      <c r="F141" s="1070">
        <v>2</v>
      </c>
      <c r="G141" s="859" t="s">
        <v>22</v>
      </c>
      <c r="H141" s="963"/>
      <c r="I141" s="371"/>
      <c r="J141" s="695"/>
      <c r="K141" s="695"/>
      <c r="L141" s="813"/>
      <c r="M141" s="64">
        <f>250</f>
        <v>250</v>
      </c>
      <c r="N141" s="63"/>
      <c r="O141" s="879" t="s">
        <v>296</v>
      </c>
      <c r="P141" s="880"/>
      <c r="Q141" s="856">
        <v>10</v>
      </c>
      <c r="R141" s="675"/>
    </row>
    <row r="142" spans="1:21" x14ac:dyDescent="0.2">
      <c r="A142" s="1023"/>
      <c r="B142" s="997"/>
      <c r="C142" s="132"/>
      <c r="D142" s="2319" t="s">
        <v>308</v>
      </c>
      <c r="E142" s="1080"/>
      <c r="F142" s="1071"/>
      <c r="G142" s="859"/>
      <c r="H142" s="964"/>
      <c r="I142" s="649"/>
      <c r="J142" s="239"/>
      <c r="K142" s="239"/>
      <c r="L142" s="698"/>
      <c r="M142" s="650"/>
      <c r="N142" s="41"/>
      <c r="O142" s="879"/>
      <c r="P142" s="880"/>
      <c r="Q142" s="856"/>
      <c r="R142" s="622"/>
    </row>
    <row r="143" spans="1:21" ht="13.5" thickBot="1" x14ac:dyDescent="0.25">
      <c r="A143" s="1009"/>
      <c r="B143" s="1011"/>
      <c r="C143" s="131"/>
      <c r="D143" s="2320"/>
      <c r="E143" s="1082"/>
      <c r="F143" s="1072"/>
      <c r="G143" s="369" t="s">
        <v>23</v>
      </c>
      <c r="H143" s="965"/>
      <c r="I143" s="320">
        <f t="shared" ref="I143:L143" si="14">SUM(I142:I142)</f>
        <v>0</v>
      </c>
      <c r="J143" s="355">
        <f t="shared" si="14"/>
        <v>0</v>
      </c>
      <c r="K143" s="355">
        <f t="shared" si="14"/>
        <v>0</v>
      </c>
      <c r="L143" s="317">
        <f t="shared" si="14"/>
        <v>0</v>
      </c>
      <c r="M143" s="316">
        <f>SUM(M141:M142)</f>
        <v>250</v>
      </c>
      <c r="N143" s="317"/>
      <c r="O143" s="1040"/>
      <c r="P143" s="79"/>
      <c r="Q143" s="1064"/>
      <c r="R143" s="646"/>
    </row>
    <row r="144" spans="1:21" ht="45.75" customHeight="1" x14ac:dyDescent="0.2">
      <c r="A144" s="2034" t="s">
        <v>24</v>
      </c>
      <c r="B144" s="2036" t="s">
        <v>26</v>
      </c>
      <c r="C144" s="133" t="s">
        <v>29</v>
      </c>
      <c r="D144" s="2321" t="s">
        <v>279</v>
      </c>
      <c r="E144" s="2323" t="s">
        <v>130</v>
      </c>
      <c r="F144" s="2326">
        <v>2</v>
      </c>
      <c r="G144" s="543" t="s">
        <v>22</v>
      </c>
      <c r="H144" s="963">
        <f>64/3.4528*1000</f>
        <v>18536</v>
      </c>
      <c r="I144" s="371">
        <f>J144+L144</f>
        <v>64</v>
      </c>
      <c r="J144" s="695"/>
      <c r="K144" s="695"/>
      <c r="L144" s="813">
        <v>64</v>
      </c>
      <c r="M144" s="64">
        <f>74</f>
        <v>74</v>
      </c>
      <c r="N144" s="63">
        <f>67</f>
        <v>67</v>
      </c>
      <c r="O144" s="857" t="s">
        <v>86</v>
      </c>
      <c r="P144" s="858">
        <v>9</v>
      </c>
      <c r="Q144" s="855">
        <v>10</v>
      </c>
      <c r="R144" s="675">
        <v>10</v>
      </c>
    </row>
    <row r="145" spans="1:21" ht="45.75" customHeight="1" x14ac:dyDescent="0.2">
      <c r="A145" s="2133"/>
      <c r="B145" s="1960"/>
      <c r="C145" s="132"/>
      <c r="D145" s="2322"/>
      <c r="E145" s="2324"/>
      <c r="F145" s="2327"/>
      <c r="G145" s="859"/>
      <c r="H145" s="964"/>
      <c r="I145" s="649"/>
      <c r="J145" s="239"/>
      <c r="K145" s="239"/>
      <c r="L145" s="698"/>
      <c r="M145" s="110"/>
      <c r="N145" s="111"/>
      <c r="O145" s="860"/>
      <c r="P145" s="476"/>
      <c r="Q145" s="856"/>
      <c r="R145" s="622"/>
    </row>
    <row r="146" spans="1:21" ht="13.5" thickBot="1" x14ac:dyDescent="0.25">
      <c r="A146" s="2035"/>
      <c r="B146" s="2037"/>
      <c r="C146" s="131"/>
      <c r="D146" s="2320"/>
      <c r="E146" s="2325"/>
      <c r="F146" s="2328"/>
      <c r="G146" s="369" t="s">
        <v>23</v>
      </c>
      <c r="H146" s="965">
        <f>SUM(H144:H145)</f>
        <v>18536</v>
      </c>
      <c r="I146" s="320">
        <f>J146+L146</f>
        <v>64</v>
      </c>
      <c r="J146" s="321"/>
      <c r="K146" s="321"/>
      <c r="L146" s="319">
        <f>SUM(L144)</f>
        <v>64</v>
      </c>
      <c r="M146" s="316">
        <f>SUM(M144)</f>
        <v>74</v>
      </c>
      <c r="N146" s="317">
        <f>SUM(N144)</f>
        <v>67</v>
      </c>
      <c r="O146" s="861"/>
      <c r="P146" s="79"/>
      <c r="Q146" s="1064"/>
      <c r="R146" s="646"/>
    </row>
    <row r="147" spans="1:21" ht="13.5" thickBot="1" x14ac:dyDescent="0.25">
      <c r="A147" s="31" t="s">
        <v>24</v>
      </c>
      <c r="B147" s="33" t="s">
        <v>26</v>
      </c>
      <c r="C147" s="2074" t="s">
        <v>27</v>
      </c>
      <c r="D147" s="2029"/>
      <c r="E147" s="2029"/>
      <c r="F147" s="2029"/>
      <c r="G147" s="2318"/>
      <c r="H147" s="976">
        <f>H146+H143+H140+H138+H136</f>
        <v>1330225</v>
      </c>
      <c r="I147" s="1089">
        <f t="shared" ref="I147:N147" si="15">I146+I140+I138+I136+I143</f>
        <v>4593.2</v>
      </c>
      <c r="J147" s="243">
        <f t="shared" si="15"/>
        <v>4376.2</v>
      </c>
      <c r="K147" s="1090">
        <f t="shared" si="15"/>
        <v>0</v>
      </c>
      <c r="L147" s="241">
        <f t="shared" si="15"/>
        <v>217</v>
      </c>
      <c r="M147" s="1">
        <f t="shared" si="15"/>
        <v>5530</v>
      </c>
      <c r="N147" s="1">
        <f t="shared" si="15"/>
        <v>5350</v>
      </c>
      <c r="O147" s="2288"/>
      <c r="P147" s="2289"/>
      <c r="Q147" s="2289"/>
      <c r="R147" s="2290"/>
    </row>
    <row r="148" spans="1:21" ht="13.5" thickBot="1" x14ac:dyDescent="0.25">
      <c r="A148" s="31" t="s">
        <v>24</v>
      </c>
      <c r="B148" s="2131" t="s">
        <v>10</v>
      </c>
      <c r="C148" s="2131"/>
      <c r="D148" s="2131"/>
      <c r="E148" s="2131"/>
      <c r="F148" s="2131"/>
      <c r="G148" s="2131"/>
      <c r="H148" s="986">
        <f>H147+H125+H118</f>
        <v>3809083</v>
      </c>
      <c r="I148" s="252">
        <f>J148+L148</f>
        <v>13152.3</v>
      </c>
      <c r="J148" s="253">
        <f>J147+J125+J118</f>
        <v>5518.6</v>
      </c>
      <c r="K148" s="253">
        <f>K147+K125+K118</f>
        <v>13.3</v>
      </c>
      <c r="L148" s="254">
        <f>L147+L125+L118</f>
        <v>7633.7</v>
      </c>
      <c r="M148" s="255">
        <f>M147+M125+M118</f>
        <v>10874.8</v>
      </c>
      <c r="N148" s="1091">
        <f>N147+N125+N118</f>
        <v>17266.3</v>
      </c>
      <c r="O148" s="1967"/>
      <c r="P148" s="1968"/>
      <c r="Q148" s="1968"/>
      <c r="R148" s="1969"/>
    </row>
    <row r="149" spans="1:21" ht="13.5" thickBot="1" x14ac:dyDescent="0.25">
      <c r="A149" s="34" t="s">
        <v>9</v>
      </c>
      <c r="B149" s="2132" t="s">
        <v>11</v>
      </c>
      <c r="C149" s="2132"/>
      <c r="D149" s="2132"/>
      <c r="E149" s="2132"/>
      <c r="F149" s="2132"/>
      <c r="G149" s="2132"/>
      <c r="H149" s="987">
        <f>H148+H68</f>
        <v>59435126</v>
      </c>
      <c r="I149" s="256">
        <f>J149+L149</f>
        <v>205245.1</v>
      </c>
      <c r="J149" s="257">
        <f>J148+J68</f>
        <v>197311.2</v>
      </c>
      <c r="K149" s="257">
        <f>K148+K68</f>
        <v>128507.1</v>
      </c>
      <c r="L149" s="258">
        <f>L148+L68</f>
        <v>7933.9</v>
      </c>
      <c r="M149" s="259">
        <f>M148+M68</f>
        <v>202848.5</v>
      </c>
      <c r="N149" s="1092">
        <f>N148+N68</f>
        <v>208842</v>
      </c>
      <c r="O149" s="2142"/>
      <c r="P149" s="2143"/>
      <c r="Q149" s="2143"/>
      <c r="R149" s="2144"/>
    </row>
    <row r="150" spans="1:21" s="210" customFormat="1" x14ac:dyDescent="0.2">
      <c r="A150" s="1404"/>
      <c r="B150" s="1088"/>
      <c r="C150" s="1088"/>
      <c r="D150" s="1088"/>
      <c r="E150" s="1405"/>
      <c r="F150" s="1405"/>
      <c r="G150" s="1405"/>
      <c r="H150" s="1406"/>
      <c r="I150" s="1086"/>
      <c r="J150" s="1086"/>
      <c r="K150" s="1086"/>
      <c r="L150" s="1086"/>
      <c r="M150" s="1086"/>
      <c r="N150" s="1086"/>
      <c r="O150" s="1086"/>
      <c r="P150" s="1086"/>
      <c r="Q150" s="1086"/>
      <c r="R150" s="1086"/>
    </row>
    <row r="151" spans="1:21" s="5" customFormat="1" ht="13.5" thickBot="1" x14ac:dyDescent="0.25">
      <c r="A151" s="2145" t="s">
        <v>2</v>
      </c>
      <c r="B151" s="2145"/>
      <c r="C151" s="2145"/>
      <c r="D151" s="2145"/>
      <c r="E151" s="2145"/>
      <c r="F151" s="2145"/>
      <c r="G151" s="2145"/>
      <c r="H151" s="2145"/>
      <c r="I151" s="2145"/>
      <c r="J151" s="2145"/>
      <c r="K151" s="2145"/>
      <c r="L151" s="2145"/>
      <c r="M151" s="2145"/>
      <c r="N151" s="2145"/>
      <c r="O151" s="260"/>
      <c r="P151" s="260"/>
      <c r="Q151" s="260"/>
      <c r="R151" s="96"/>
    </row>
    <row r="152" spans="1:21" s="6" customFormat="1" ht="39" thickBot="1" x14ac:dyDescent="0.25">
      <c r="A152" s="2128" t="s">
        <v>3</v>
      </c>
      <c r="B152" s="2129"/>
      <c r="C152" s="2129"/>
      <c r="D152" s="2129"/>
      <c r="E152" s="2129"/>
      <c r="F152" s="2129"/>
      <c r="G152" s="2130"/>
      <c r="H152" s="1084" t="s">
        <v>277</v>
      </c>
      <c r="I152" s="2314" t="s">
        <v>277</v>
      </c>
      <c r="J152" s="2315"/>
      <c r="K152" s="2315"/>
      <c r="L152" s="2316"/>
      <c r="M152" s="1140" t="s">
        <v>278</v>
      </c>
      <c r="N152" s="1140" t="s">
        <v>278</v>
      </c>
      <c r="O152" s="72"/>
      <c r="P152" s="2141"/>
      <c r="Q152" s="2141"/>
      <c r="R152" s="61"/>
      <c r="T152" s="2"/>
      <c r="U152" s="2"/>
    </row>
    <row r="153" spans="1:21" s="6" customFormat="1" x14ac:dyDescent="0.2">
      <c r="A153" s="2111" t="s">
        <v>33</v>
      </c>
      <c r="B153" s="2112"/>
      <c r="C153" s="2112"/>
      <c r="D153" s="2112"/>
      <c r="E153" s="2112"/>
      <c r="F153" s="2112"/>
      <c r="G153" s="2113"/>
      <c r="H153" s="978">
        <f>SUM(H154:H157)</f>
        <v>58097661</v>
      </c>
      <c r="I153" s="2109">
        <f>SUM(I154:L157)</f>
        <v>200627.20000000001</v>
      </c>
      <c r="J153" s="2110"/>
      <c r="K153" s="2110"/>
      <c r="L153" s="2317"/>
      <c r="M153" s="75">
        <f>SUM(M154:M157)</f>
        <v>199459.6</v>
      </c>
      <c r="N153" s="75">
        <f>SUM(N154:N157)</f>
        <v>198075.7</v>
      </c>
      <c r="O153" s="73"/>
      <c r="P153" s="2115"/>
      <c r="Q153" s="2115"/>
      <c r="R153" s="61"/>
    </row>
    <row r="154" spans="1:21" s="6" customFormat="1" x14ac:dyDescent="0.2">
      <c r="A154" s="2100" t="s">
        <v>36</v>
      </c>
      <c r="B154" s="2101"/>
      <c r="C154" s="2101"/>
      <c r="D154" s="2101"/>
      <c r="E154" s="2101"/>
      <c r="F154" s="2101"/>
      <c r="G154" s="2102"/>
      <c r="H154" s="979">
        <f>SUMIF(G12:G144,"sb",H12:H144)</f>
        <v>22897678</v>
      </c>
      <c r="I154" s="2107">
        <f>SUMIF(G12:G145,"sb",I12:I145)</f>
        <v>79090</v>
      </c>
      <c r="J154" s="2108"/>
      <c r="K154" s="2108"/>
      <c r="L154" s="2308"/>
      <c r="M154" s="57">
        <f>SUMIF(G12:G146,"sb",M12:M146)</f>
        <v>77751.7</v>
      </c>
      <c r="N154" s="57">
        <f>SUMIF(G12:G146,"sb",N12:N146)</f>
        <v>76620.3</v>
      </c>
      <c r="O154" s="71"/>
      <c r="P154" s="2114"/>
      <c r="Q154" s="2114"/>
      <c r="R154" s="61"/>
    </row>
    <row r="155" spans="1:21" s="6" customFormat="1" x14ac:dyDescent="0.2">
      <c r="A155" s="2100" t="s">
        <v>44</v>
      </c>
      <c r="B155" s="2101"/>
      <c r="C155" s="2101"/>
      <c r="D155" s="2101"/>
      <c r="E155" s="2101"/>
      <c r="F155" s="2101"/>
      <c r="G155" s="2102"/>
      <c r="H155" s="979">
        <f>SUMIF(G12:G144,"sb(sp)",H12:H144)</f>
        <v>5008399</v>
      </c>
      <c r="I155" s="2311">
        <f>SUMIF(G12:G146,"sb(sp)",I12:I146)</f>
        <v>17292.599999999999</v>
      </c>
      <c r="J155" s="2312"/>
      <c r="K155" s="2312"/>
      <c r="L155" s="2313"/>
      <c r="M155" s="57">
        <f>SUMIF(G12:G146,"sb(sp)",M12:M146)</f>
        <v>17293</v>
      </c>
      <c r="N155" s="57">
        <f>SUMIF(G12:G146,"sb(sp)",N12:N146)</f>
        <v>17293</v>
      </c>
      <c r="O155" s="71"/>
      <c r="P155" s="2114"/>
      <c r="Q155" s="2114"/>
      <c r="R155" s="61"/>
    </row>
    <row r="156" spans="1:21" s="6" customFormat="1" x14ac:dyDescent="0.2">
      <c r="A156" s="2100" t="s">
        <v>37</v>
      </c>
      <c r="B156" s="2101"/>
      <c r="C156" s="2101"/>
      <c r="D156" s="2101"/>
      <c r="E156" s="2101"/>
      <c r="F156" s="2101"/>
      <c r="G156" s="2102"/>
      <c r="H156" s="979">
        <f>SUMIF(G12:G144,"sb(vb)",H12:H144)</f>
        <v>30191584</v>
      </c>
      <c r="I156" s="2107">
        <f>SUMIF(G12:G146,"sb(vb)",I12:I146)</f>
        <v>104244.6</v>
      </c>
      <c r="J156" s="2108"/>
      <c r="K156" s="2108"/>
      <c r="L156" s="2308"/>
      <c r="M156" s="58">
        <f>SUMIF(G12:G144,G13,M12:M144)</f>
        <v>104264.9</v>
      </c>
      <c r="N156" s="58">
        <f>SUMIF(G12:G144,G13,N12:N144)</f>
        <v>104162.4</v>
      </c>
      <c r="O156" s="71"/>
      <c r="P156" s="2114"/>
      <c r="Q156" s="2114"/>
      <c r="R156" s="61"/>
    </row>
    <row r="157" spans="1:21" s="6" customFormat="1" ht="13.5" thickBot="1" x14ac:dyDescent="0.25">
      <c r="A157" s="2100" t="s">
        <v>54</v>
      </c>
      <c r="B157" s="2101"/>
      <c r="C157" s="2101"/>
      <c r="D157" s="2101"/>
      <c r="E157" s="2101"/>
      <c r="F157" s="2101"/>
      <c r="G157" s="2102"/>
      <c r="H157" s="979">
        <f>SUMIF(G12:G144,"sb(p)",H12:H144)</f>
        <v>0</v>
      </c>
      <c r="I157" s="2139">
        <f>SUMIF(G15:G146,"sb(p)",I15:I146)</f>
        <v>0</v>
      </c>
      <c r="J157" s="2140"/>
      <c r="K157" s="2140"/>
      <c r="L157" s="2310"/>
      <c r="M157" s="40">
        <f>SUMIF(G15:G146,"sb(p)",M15:M146)</f>
        <v>150</v>
      </c>
      <c r="N157" s="40">
        <f>SUMIF(G15:G146,#REF!,N15:N146)</f>
        <v>0</v>
      </c>
      <c r="O157" s="71"/>
      <c r="P157" s="2114"/>
      <c r="Q157" s="2114"/>
      <c r="R157" s="61"/>
    </row>
    <row r="158" spans="1:21" s="6" customFormat="1" ht="13.5" thickBot="1" x14ac:dyDescent="0.25">
      <c r="A158" s="2088" t="s">
        <v>34</v>
      </c>
      <c r="B158" s="2089"/>
      <c r="C158" s="2089"/>
      <c r="D158" s="2089"/>
      <c r="E158" s="2089"/>
      <c r="F158" s="2089"/>
      <c r="G158" s="2090"/>
      <c r="H158" s="980">
        <f>SUM(H159:H160)</f>
        <v>1337465</v>
      </c>
      <c r="I158" s="2146">
        <f>SUM(I159:L160)</f>
        <v>4617.8999999999996</v>
      </c>
      <c r="J158" s="2147"/>
      <c r="K158" s="2147"/>
      <c r="L158" s="2309"/>
      <c r="M158" s="35">
        <f>SUM(M159:M160)</f>
        <v>3388.9</v>
      </c>
      <c r="N158" s="35">
        <f>SUM(N159:N159)</f>
        <v>10766.3</v>
      </c>
      <c r="O158" s="55"/>
      <c r="P158" s="2151"/>
      <c r="Q158" s="2151"/>
      <c r="R158" s="61"/>
      <c r="S158" s="1415"/>
      <c r="T158" s="1415"/>
    </row>
    <row r="159" spans="1:21" s="6" customFormat="1" x14ac:dyDescent="0.2">
      <c r="A159" s="2091" t="s">
        <v>38</v>
      </c>
      <c r="B159" s="2092"/>
      <c r="C159" s="2092"/>
      <c r="D159" s="2092"/>
      <c r="E159" s="2092"/>
      <c r="F159" s="2092"/>
      <c r="G159" s="2093"/>
      <c r="H159" s="981">
        <f>SUMIF(G12:G144,"es",H12:H144)</f>
        <v>319451</v>
      </c>
      <c r="I159" s="2139">
        <f>SUMIF(G15:G146,"es",I15:I146)</f>
        <v>1102.9000000000001</v>
      </c>
      <c r="J159" s="2140"/>
      <c r="K159" s="2140"/>
      <c r="L159" s="2140"/>
      <c r="M159" s="9">
        <f>SUMIF(G15:G144,"es",M15:M144)</f>
        <v>388.9</v>
      </c>
      <c r="N159" s="9">
        <f>SUMIF(G15:G146,"es",N15:N146)</f>
        <v>10766.3</v>
      </c>
      <c r="O159" s="45"/>
      <c r="P159" s="2148"/>
      <c r="Q159" s="2148"/>
      <c r="R159" s="61"/>
    </row>
    <row r="160" spans="1:21" s="6" customFormat="1" ht="13.5" thickBot="1" x14ac:dyDescent="0.25">
      <c r="A160" s="2305" t="s">
        <v>271</v>
      </c>
      <c r="B160" s="2306"/>
      <c r="C160" s="2306"/>
      <c r="D160" s="2306"/>
      <c r="E160" s="2306"/>
      <c r="F160" s="2306"/>
      <c r="G160" s="2307"/>
      <c r="H160" s="982">
        <f>SUMIF(G12:G144,"KVJUD ",H12:H144)</f>
        <v>1018014</v>
      </c>
      <c r="I160" s="2107">
        <f>SUMIF(G12:G144,G113,I12:I144)</f>
        <v>3515</v>
      </c>
      <c r="J160" s="2108"/>
      <c r="K160" s="2108"/>
      <c r="L160" s="2308"/>
      <c r="M160" s="59">
        <f>SUMIF(G12:G144,"KVJUD ",M12:M144)</f>
        <v>3000</v>
      </c>
      <c r="N160" s="59"/>
      <c r="O160" s="45"/>
      <c r="P160" s="1024"/>
      <c r="Q160" s="1024"/>
      <c r="R160" s="61"/>
    </row>
    <row r="161" spans="1:18" ht="13.5" thickBot="1" x14ac:dyDescent="0.25">
      <c r="A161" s="2085" t="s">
        <v>35</v>
      </c>
      <c r="B161" s="2086"/>
      <c r="C161" s="2086"/>
      <c r="D161" s="2086"/>
      <c r="E161" s="2086"/>
      <c r="F161" s="2086"/>
      <c r="G161" s="2087"/>
      <c r="H161" s="983">
        <f>H158+H153</f>
        <v>59435126</v>
      </c>
      <c r="I161" s="2137">
        <f>I158+I153</f>
        <v>205245.1</v>
      </c>
      <c r="J161" s="2138"/>
      <c r="K161" s="2138"/>
      <c r="L161" s="2138"/>
      <c r="M161" s="375">
        <f>M153+M158</f>
        <v>202848.5</v>
      </c>
      <c r="N161" s="375">
        <f>N158+N153</f>
        <v>208842</v>
      </c>
      <c r="O161" s="73"/>
      <c r="P161" s="2115"/>
      <c r="Q161" s="2115"/>
    </row>
    <row r="163" spans="1:18" x14ac:dyDescent="0.2">
      <c r="D163" s="2"/>
      <c r="E163" s="215"/>
      <c r="F163" s="1046"/>
      <c r="G163" s="114"/>
      <c r="H163" s="975"/>
      <c r="I163" s="798"/>
      <c r="J163" s="799"/>
      <c r="K163" s="1141"/>
      <c r="L163" s="157"/>
      <c r="M163" s="157"/>
      <c r="N163" s="157"/>
    </row>
    <row r="164" spans="1:18" x14ac:dyDescent="0.2">
      <c r="D164" s="2"/>
      <c r="E164" s="215"/>
      <c r="F164" s="1046"/>
      <c r="G164" s="114"/>
      <c r="H164" s="975"/>
      <c r="I164" s="157"/>
      <c r="J164" s="1141"/>
      <c r="K164" s="1141"/>
      <c r="L164" s="157"/>
      <c r="M164" s="157"/>
      <c r="N164" s="157"/>
      <c r="P164" s="709"/>
    </row>
    <row r="165" spans="1:18" x14ac:dyDescent="0.2">
      <c r="D165" s="2"/>
      <c r="E165" s="215"/>
      <c r="F165" s="1046"/>
      <c r="G165" s="114"/>
      <c r="H165" s="975"/>
      <c r="I165" s="157"/>
      <c r="J165" s="710"/>
      <c r="K165" s="1141"/>
      <c r="L165" s="157"/>
      <c r="M165" s="157"/>
      <c r="N165" s="157"/>
    </row>
    <row r="166" spans="1:18" x14ac:dyDescent="0.2">
      <c r="D166" s="2"/>
      <c r="E166" s="215"/>
      <c r="F166" s="1046"/>
      <c r="G166" s="114"/>
      <c r="H166" s="975"/>
      <c r="I166" s="157"/>
      <c r="J166" s="157"/>
      <c r="K166" s="157"/>
      <c r="L166" s="157"/>
      <c r="M166" s="157"/>
      <c r="N166" s="157"/>
    </row>
    <row r="167" spans="1:18" x14ac:dyDescent="0.2">
      <c r="D167" s="2"/>
      <c r="E167" s="215"/>
      <c r="F167" s="1046"/>
      <c r="G167" s="114"/>
      <c r="H167" s="975"/>
      <c r="I167" s="157"/>
      <c r="J167" s="157"/>
      <c r="K167" s="157"/>
      <c r="L167" s="157"/>
      <c r="M167" s="157"/>
      <c r="N167" s="157"/>
    </row>
    <row r="168" spans="1:18" x14ac:dyDescent="0.2">
      <c r="D168" s="2"/>
      <c r="E168" s="215"/>
      <c r="F168" s="1046"/>
      <c r="G168" s="114"/>
      <c r="H168" s="975"/>
      <c r="I168" s="157"/>
      <c r="J168" s="157"/>
      <c r="K168" s="157"/>
      <c r="L168" s="157"/>
      <c r="M168" s="157"/>
      <c r="N168" s="157"/>
    </row>
    <row r="169" spans="1:18" x14ac:dyDescent="0.2">
      <c r="D169" s="2"/>
      <c r="E169" s="215"/>
      <c r="F169" s="1046"/>
      <c r="G169" s="114"/>
      <c r="H169" s="975"/>
      <c r="I169" s="157"/>
      <c r="J169" s="157"/>
      <c r="K169" s="157"/>
      <c r="L169" s="157"/>
      <c r="M169" s="157"/>
      <c r="N169" s="157"/>
    </row>
    <row r="170" spans="1:18" x14ac:dyDescent="0.2">
      <c r="D170" s="2"/>
      <c r="E170" s="215"/>
      <c r="F170" s="1046"/>
      <c r="G170" s="114"/>
      <c r="H170" s="975"/>
      <c r="I170" s="157"/>
      <c r="J170" s="157"/>
      <c r="K170" s="157"/>
      <c r="L170" s="157"/>
      <c r="M170" s="157"/>
      <c r="N170" s="157"/>
    </row>
    <row r="171" spans="1:18" x14ac:dyDescent="0.2">
      <c r="D171" s="2"/>
      <c r="E171" s="215"/>
      <c r="F171" s="1046"/>
      <c r="G171" s="114"/>
      <c r="H171" s="975"/>
      <c r="I171" s="157"/>
      <c r="J171" s="157"/>
      <c r="K171" s="157"/>
      <c r="L171" s="157"/>
      <c r="M171" s="157"/>
      <c r="N171" s="157"/>
    </row>
    <row r="172" spans="1:18" x14ac:dyDescent="0.2">
      <c r="D172" s="2"/>
      <c r="E172" s="215"/>
      <c r="F172" s="1046"/>
      <c r="G172" s="114"/>
      <c r="H172" s="975"/>
      <c r="I172" s="157"/>
      <c r="J172" s="157"/>
      <c r="K172" s="157"/>
      <c r="L172" s="157"/>
      <c r="M172" s="157"/>
      <c r="N172" s="157"/>
    </row>
    <row r="173" spans="1:18" x14ac:dyDescent="0.2">
      <c r="D173" s="2"/>
      <c r="E173" s="215"/>
      <c r="F173" s="1046"/>
      <c r="G173" s="114"/>
      <c r="H173" s="975"/>
      <c r="I173" s="157"/>
      <c r="J173" s="157"/>
      <c r="K173" s="157"/>
      <c r="L173" s="157"/>
      <c r="M173" s="157"/>
      <c r="N173" s="157"/>
    </row>
    <row r="174" spans="1:18" x14ac:dyDescent="0.2">
      <c r="A174" s="2"/>
      <c r="B174" s="2"/>
      <c r="C174" s="2"/>
      <c r="D174" s="2"/>
      <c r="E174" s="215"/>
      <c r="F174" s="1046"/>
      <c r="G174" s="114"/>
      <c r="H174" s="975"/>
      <c r="I174" s="157"/>
      <c r="J174" s="157"/>
      <c r="K174" s="157"/>
      <c r="L174" s="157"/>
      <c r="M174" s="157"/>
      <c r="N174" s="157"/>
      <c r="O174" s="2"/>
      <c r="P174" s="2"/>
      <c r="Q174" s="2"/>
      <c r="R174" s="2"/>
    </row>
    <row r="175" spans="1:18" x14ac:dyDescent="0.2">
      <c r="A175" s="2"/>
      <c r="B175" s="2"/>
      <c r="C175" s="2"/>
      <c r="D175" s="2"/>
      <c r="E175" s="215"/>
      <c r="F175" s="1046"/>
      <c r="G175" s="114"/>
      <c r="H175" s="975"/>
      <c r="I175" s="157"/>
      <c r="J175" s="157"/>
      <c r="K175" s="157"/>
      <c r="L175" s="157"/>
      <c r="M175" s="157"/>
      <c r="N175" s="157"/>
      <c r="O175" s="2"/>
      <c r="P175" s="2"/>
      <c r="Q175" s="2"/>
      <c r="R175" s="2"/>
    </row>
    <row r="176" spans="1:18" x14ac:dyDescent="0.2">
      <c r="A176" s="2"/>
      <c r="B176" s="2"/>
      <c r="C176" s="2"/>
      <c r="D176" s="2"/>
      <c r="E176" s="215"/>
      <c r="F176" s="1046"/>
      <c r="G176" s="114"/>
      <c r="H176" s="975"/>
      <c r="I176" s="157"/>
      <c r="J176" s="157"/>
      <c r="K176" s="157"/>
      <c r="L176" s="157"/>
      <c r="M176" s="157"/>
      <c r="N176" s="157"/>
      <c r="O176" s="2"/>
      <c r="P176" s="2"/>
      <c r="Q176" s="2"/>
      <c r="R176" s="2"/>
    </row>
    <row r="177" spans="1:18" x14ac:dyDescent="0.2">
      <c r="A177" s="2"/>
      <c r="B177" s="2"/>
      <c r="C177" s="2"/>
      <c r="D177" s="2"/>
      <c r="E177" s="215"/>
      <c r="F177" s="1046"/>
      <c r="G177" s="114"/>
      <c r="H177" s="975"/>
      <c r="I177" s="157"/>
      <c r="J177" s="157"/>
      <c r="K177" s="157"/>
      <c r="L177" s="157"/>
      <c r="M177" s="157"/>
      <c r="N177" s="157"/>
      <c r="O177" s="2"/>
      <c r="P177" s="2"/>
      <c r="Q177" s="2"/>
      <c r="R177" s="2"/>
    </row>
    <row r="178" spans="1:18" x14ac:dyDescent="0.2">
      <c r="A178" s="2"/>
      <c r="B178" s="2"/>
      <c r="C178" s="2"/>
      <c r="D178" s="2"/>
      <c r="E178" s="215"/>
      <c r="F178" s="1046"/>
      <c r="G178" s="114"/>
      <c r="H178" s="975"/>
      <c r="I178" s="157"/>
      <c r="J178" s="157"/>
      <c r="K178" s="157"/>
      <c r="L178" s="157"/>
      <c r="M178" s="157"/>
      <c r="N178" s="157"/>
      <c r="O178" s="2"/>
      <c r="P178" s="2"/>
      <c r="Q178" s="2"/>
      <c r="R178" s="2"/>
    </row>
    <row r="179" spans="1:18" x14ac:dyDescent="0.2">
      <c r="A179" s="2"/>
      <c r="B179" s="2"/>
      <c r="C179" s="2"/>
      <c r="D179" s="2"/>
      <c r="E179" s="215"/>
      <c r="F179" s="1046"/>
      <c r="G179" s="114"/>
      <c r="H179" s="975"/>
      <c r="I179" s="157"/>
      <c r="J179" s="157"/>
      <c r="K179" s="157"/>
      <c r="L179" s="157"/>
      <c r="M179" s="157"/>
      <c r="N179" s="157"/>
      <c r="O179" s="2"/>
      <c r="P179" s="2"/>
      <c r="Q179" s="2"/>
      <c r="R179" s="2"/>
    </row>
    <row r="180" spans="1:18" x14ac:dyDescent="0.2">
      <c r="A180" s="2"/>
      <c r="B180" s="2"/>
      <c r="C180" s="2"/>
      <c r="D180" s="2"/>
      <c r="E180" s="215"/>
      <c r="F180" s="1046"/>
      <c r="G180" s="114"/>
      <c r="H180" s="975"/>
      <c r="I180" s="157"/>
      <c r="J180" s="157"/>
      <c r="K180" s="157"/>
      <c r="L180" s="157"/>
      <c r="M180" s="157"/>
      <c r="N180" s="157"/>
      <c r="O180" s="2"/>
      <c r="P180" s="2"/>
      <c r="Q180" s="2"/>
      <c r="R180" s="2"/>
    </row>
    <row r="181" spans="1:18" x14ac:dyDescent="0.2">
      <c r="A181" s="2"/>
      <c r="B181" s="2"/>
      <c r="C181" s="2"/>
      <c r="D181" s="2"/>
      <c r="E181" s="215"/>
      <c r="F181" s="1046"/>
      <c r="G181" s="114"/>
      <c r="H181" s="975"/>
      <c r="I181" s="157"/>
      <c r="J181" s="157"/>
      <c r="K181" s="157"/>
      <c r="L181" s="157"/>
      <c r="M181" s="157"/>
      <c r="N181" s="157"/>
      <c r="O181" s="2"/>
      <c r="P181" s="2"/>
      <c r="Q181" s="2"/>
      <c r="R181" s="2"/>
    </row>
    <row r="182" spans="1:18" x14ac:dyDescent="0.2">
      <c r="A182" s="2"/>
      <c r="B182" s="2"/>
      <c r="C182" s="2"/>
      <c r="D182" s="2"/>
      <c r="E182" s="215"/>
      <c r="F182" s="1046"/>
      <c r="G182" s="114"/>
      <c r="H182" s="975"/>
      <c r="I182" s="157"/>
      <c r="J182" s="157"/>
      <c r="K182" s="157"/>
      <c r="L182" s="157"/>
      <c r="M182" s="157"/>
      <c r="N182" s="157"/>
      <c r="O182" s="2"/>
      <c r="P182" s="2"/>
      <c r="Q182" s="2"/>
      <c r="R182" s="2"/>
    </row>
    <row r="183" spans="1:18" x14ac:dyDescent="0.2">
      <c r="A183" s="2"/>
      <c r="B183" s="2"/>
      <c r="C183" s="2"/>
      <c r="D183" s="2"/>
      <c r="E183" s="215"/>
      <c r="F183" s="1046"/>
      <c r="G183" s="114"/>
      <c r="H183" s="975"/>
      <c r="I183" s="157"/>
      <c r="J183" s="157"/>
      <c r="K183" s="157"/>
      <c r="L183" s="157"/>
      <c r="M183" s="157"/>
      <c r="N183" s="157"/>
      <c r="O183" s="2"/>
      <c r="P183" s="2"/>
      <c r="Q183" s="2"/>
      <c r="R183" s="2"/>
    </row>
    <row r="184" spans="1:18" x14ac:dyDescent="0.2">
      <c r="A184" s="2"/>
      <c r="B184" s="2"/>
      <c r="C184" s="2"/>
      <c r="D184" s="2"/>
      <c r="E184" s="215"/>
      <c r="F184" s="1046"/>
      <c r="G184" s="114"/>
      <c r="H184" s="975"/>
      <c r="I184" s="157"/>
      <c r="J184" s="157"/>
      <c r="K184" s="157"/>
      <c r="L184" s="157"/>
      <c r="M184" s="157"/>
      <c r="N184" s="157"/>
      <c r="O184" s="2"/>
      <c r="P184" s="2"/>
      <c r="Q184" s="2"/>
      <c r="R184" s="2"/>
    </row>
    <row r="185" spans="1:18" x14ac:dyDescent="0.2">
      <c r="A185" s="2"/>
      <c r="B185" s="2"/>
      <c r="C185" s="2"/>
      <c r="D185" s="2"/>
      <c r="E185" s="215"/>
      <c r="F185" s="1046"/>
      <c r="G185" s="114"/>
      <c r="H185" s="975"/>
      <c r="I185" s="157"/>
      <c r="J185" s="157"/>
      <c r="K185" s="157"/>
      <c r="L185" s="157"/>
      <c r="M185" s="157"/>
      <c r="N185" s="157"/>
      <c r="O185" s="2"/>
      <c r="P185" s="2"/>
      <c r="Q185" s="2"/>
      <c r="R185" s="2"/>
    </row>
    <row r="186" spans="1:18" x14ac:dyDescent="0.2">
      <c r="A186" s="2"/>
      <c r="B186" s="2"/>
      <c r="C186" s="2"/>
      <c r="D186" s="2"/>
      <c r="E186" s="215"/>
      <c r="F186" s="1046"/>
      <c r="G186" s="114"/>
      <c r="H186" s="975"/>
      <c r="I186" s="157"/>
      <c r="J186" s="157"/>
      <c r="K186" s="157"/>
      <c r="L186" s="157"/>
      <c r="M186" s="157"/>
      <c r="N186" s="157"/>
      <c r="O186" s="2"/>
      <c r="P186" s="2"/>
      <c r="Q186" s="2"/>
      <c r="R186" s="2"/>
    </row>
  </sheetData>
  <mergeCells count="251">
    <mergeCell ref="A1:R1"/>
    <mergeCell ref="A2:R2"/>
    <mergeCell ref="A3:R3"/>
    <mergeCell ref="C4:R4"/>
    <mergeCell ref="A5:A7"/>
    <mergeCell ref="B5:B7"/>
    <mergeCell ref="C5:C7"/>
    <mergeCell ref="D5:D7"/>
    <mergeCell ref="E5:E7"/>
    <mergeCell ref="F5:F7"/>
    <mergeCell ref="A8:R8"/>
    <mergeCell ref="A9:R9"/>
    <mergeCell ref="B10:R10"/>
    <mergeCell ref="C11:R11"/>
    <mergeCell ref="C12:C13"/>
    <mergeCell ref="D12:D13"/>
    <mergeCell ref="E12:E13"/>
    <mergeCell ref="G5:G7"/>
    <mergeCell ref="H5:H7"/>
    <mergeCell ref="I5:L7"/>
    <mergeCell ref="M5:M7"/>
    <mergeCell ref="N5:N7"/>
    <mergeCell ref="O5:R5"/>
    <mergeCell ref="O6:O7"/>
    <mergeCell ref="P6:R6"/>
    <mergeCell ref="P20:P21"/>
    <mergeCell ref="Q20:Q21"/>
    <mergeCell ref="R20:R21"/>
    <mergeCell ref="A24:A26"/>
    <mergeCell ref="C24:C26"/>
    <mergeCell ref="D24:D26"/>
    <mergeCell ref="E24:E26"/>
    <mergeCell ref="F24:F26"/>
    <mergeCell ref="D15:D16"/>
    <mergeCell ref="O17:O18"/>
    <mergeCell ref="A20:A22"/>
    <mergeCell ref="C20:C22"/>
    <mergeCell ref="D20:D22"/>
    <mergeCell ref="E20:E22"/>
    <mergeCell ref="F20:F22"/>
    <mergeCell ref="O20:O21"/>
    <mergeCell ref="A29:A31"/>
    <mergeCell ref="B29:B31"/>
    <mergeCell ref="C29:C31"/>
    <mergeCell ref="D29:D31"/>
    <mergeCell ref="E29:E31"/>
    <mergeCell ref="F29:F31"/>
    <mergeCell ref="A27:A28"/>
    <mergeCell ref="B27:B28"/>
    <mergeCell ref="C27:C28"/>
    <mergeCell ref="D27:D28"/>
    <mergeCell ref="E27:E28"/>
    <mergeCell ref="F27:F28"/>
    <mergeCell ref="O34:O35"/>
    <mergeCell ref="D36:D37"/>
    <mergeCell ref="O29:O31"/>
    <mergeCell ref="P29:P31"/>
    <mergeCell ref="Q29:Q31"/>
    <mergeCell ref="R29:R31"/>
    <mergeCell ref="D32:D33"/>
    <mergeCell ref="E32:E33"/>
    <mergeCell ref="F32:F33"/>
    <mergeCell ref="D38:D39"/>
    <mergeCell ref="E38:E39"/>
    <mergeCell ref="F38:F39"/>
    <mergeCell ref="D40:D41"/>
    <mergeCell ref="E40:E41"/>
    <mergeCell ref="F40:F41"/>
    <mergeCell ref="D34:D35"/>
    <mergeCell ref="E34:E35"/>
    <mergeCell ref="F34:F35"/>
    <mergeCell ref="R42:R43"/>
    <mergeCell ref="D44:D45"/>
    <mergeCell ref="E44:E45"/>
    <mergeCell ref="F44:F45"/>
    <mergeCell ref="O44:O45"/>
    <mergeCell ref="D46:D47"/>
    <mergeCell ref="E46:E47"/>
    <mergeCell ref="F46:F47"/>
    <mergeCell ref="O40:O41"/>
    <mergeCell ref="P40:P41"/>
    <mergeCell ref="Q40:Q41"/>
    <mergeCell ref="R40:R41"/>
    <mergeCell ref="D42:D43"/>
    <mergeCell ref="E42:E43"/>
    <mergeCell ref="F42:F43"/>
    <mergeCell ref="O42:O43"/>
    <mergeCell ref="P42:P43"/>
    <mergeCell ref="Q42:Q43"/>
    <mergeCell ref="R48:R49"/>
    <mergeCell ref="C50:G50"/>
    <mergeCell ref="O50:R50"/>
    <mergeCell ref="C51:R51"/>
    <mergeCell ref="B52:B53"/>
    <mergeCell ref="C52:C53"/>
    <mergeCell ref="D52:D53"/>
    <mergeCell ref="E52:E53"/>
    <mergeCell ref="F52:F53"/>
    <mergeCell ref="D48:D49"/>
    <mergeCell ref="E48:E49"/>
    <mergeCell ref="F48:F49"/>
    <mergeCell ref="O48:O49"/>
    <mergeCell ref="P48:P49"/>
    <mergeCell ref="Q48:Q49"/>
    <mergeCell ref="O54:O55"/>
    <mergeCell ref="A56:A57"/>
    <mergeCell ref="C56:C57"/>
    <mergeCell ref="D56:D57"/>
    <mergeCell ref="E56:E57"/>
    <mergeCell ref="F56:F57"/>
    <mergeCell ref="A54:A55"/>
    <mergeCell ref="B54:B55"/>
    <mergeCell ref="C54:C55"/>
    <mergeCell ref="D54:D55"/>
    <mergeCell ref="E54:E55"/>
    <mergeCell ref="F54:F55"/>
    <mergeCell ref="A61:A62"/>
    <mergeCell ref="B61:B62"/>
    <mergeCell ref="C61:C62"/>
    <mergeCell ref="D61:D62"/>
    <mergeCell ref="E61:E62"/>
    <mergeCell ref="F61:F62"/>
    <mergeCell ref="A58:A60"/>
    <mergeCell ref="B58:B60"/>
    <mergeCell ref="C58:C60"/>
    <mergeCell ref="D58:D60"/>
    <mergeCell ref="E58:E60"/>
    <mergeCell ref="F58:F60"/>
    <mergeCell ref="O65:O66"/>
    <mergeCell ref="C67:G67"/>
    <mergeCell ref="P67:R67"/>
    <mergeCell ref="B68:G68"/>
    <mergeCell ref="O68:R68"/>
    <mergeCell ref="B69:R69"/>
    <mergeCell ref="A63:A64"/>
    <mergeCell ref="C63:C64"/>
    <mergeCell ref="D63:D64"/>
    <mergeCell ref="E63:E64"/>
    <mergeCell ref="F63:F64"/>
    <mergeCell ref="A65:A66"/>
    <mergeCell ref="C65:C66"/>
    <mergeCell ref="D65:D66"/>
    <mergeCell ref="E65:E66"/>
    <mergeCell ref="F65:F66"/>
    <mergeCell ref="D86:D88"/>
    <mergeCell ref="E87:E88"/>
    <mergeCell ref="D89:D91"/>
    <mergeCell ref="E90:E91"/>
    <mergeCell ref="C92:C94"/>
    <mergeCell ref="D92:D94"/>
    <mergeCell ref="C70:R70"/>
    <mergeCell ref="D72:D75"/>
    <mergeCell ref="O72:O74"/>
    <mergeCell ref="D77:D79"/>
    <mergeCell ref="D80:D82"/>
    <mergeCell ref="D83:D85"/>
    <mergeCell ref="Q103:Q105"/>
    <mergeCell ref="R103:R105"/>
    <mergeCell ref="E105:G105"/>
    <mergeCell ref="D106:D108"/>
    <mergeCell ref="E106:E107"/>
    <mergeCell ref="F106:F108"/>
    <mergeCell ref="O106:O108"/>
    <mergeCell ref="F92:F94"/>
    <mergeCell ref="D96:D99"/>
    <mergeCell ref="O96:O100"/>
    <mergeCell ref="D101:D102"/>
    <mergeCell ref="D103:D105"/>
    <mergeCell ref="O103:O105"/>
    <mergeCell ref="D109:D111"/>
    <mergeCell ref="E109:E111"/>
    <mergeCell ref="F109:F111"/>
    <mergeCell ref="O109:O111"/>
    <mergeCell ref="D113:D115"/>
    <mergeCell ref="E113:E115"/>
    <mergeCell ref="F113:F114"/>
    <mergeCell ref="O114:O115"/>
    <mergeCell ref="P103:P105"/>
    <mergeCell ref="O125:R125"/>
    <mergeCell ref="C126:R126"/>
    <mergeCell ref="A120:A121"/>
    <mergeCell ref="B120:B121"/>
    <mergeCell ref="D120:D121"/>
    <mergeCell ref="E120:E121"/>
    <mergeCell ref="F120:F121"/>
    <mergeCell ref="O120:O121"/>
    <mergeCell ref="D116:D117"/>
    <mergeCell ref="E116:E117"/>
    <mergeCell ref="C118:G118"/>
    <mergeCell ref="O118:R118"/>
    <mergeCell ref="C119:E119"/>
    <mergeCell ref="Q119:R119"/>
    <mergeCell ref="D135:D136"/>
    <mergeCell ref="E135:E136"/>
    <mergeCell ref="F135:F136"/>
    <mergeCell ref="D137:D138"/>
    <mergeCell ref="E137:E138"/>
    <mergeCell ref="F137:F138"/>
    <mergeCell ref="D122:D124"/>
    <mergeCell ref="E122:E124"/>
    <mergeCell ref="F122:F124"/>
    <mergeCell ref="C125:G125"/>
    <mergeCell ref="D142:D143"/>
    <mergeCell ref="A144:A146"/>
    <mergeCell ref="B144:B146"/>
    <mergeCell ref="D144:D146"/>
    <mergeCell ref="E144:E146"/>
    <mergeCell ref="F144:F146"/>
    <mergeCell ref="O137:O138"/>
    <mergeCell ref="A139:A140"/>
    <mergeCell ref="B139:B140"/>
    <mergeCell ref="D139:D140"/>
    <mergeCell ref="E139:E140"/>
    <mergeCell ref="F139:F140"/>
    <mergeCell ref="O139:O140"/>
    <mergeCell ref="A151:N151"/>
    <mergeCell ref="A152:G152"/>
    <mergeCell ref="I152:L152"/>
    <mergeCell ref="P152:Q152"/>
    <mergeCell ref="A153:G153"/>
    <mergeCell ref="I153:L153"/>
    <mergeCell ref="P153:Q153"/>
    <mergeCell ref="C147:G147"/>
    <mergeCell ref="O147:R147"/>
    <mergeCell ref="B148:G148"/>
    <mergeCell ref="O148:R148"/>
    <mergeCell ref="B149:G149"/>
    <mergeCell ref="O149:R149"/>
    <mergeCell ref="A156:G156"/>
    <mergeCell ref="I156:L156"/>
    <mergeCell ref="P156:Q156"/>
    <mergeCell ref="A157:G157"/>
    <mergeCell ref="I157:L157"/>
    <mergeCell ref="P157:Q157"/>
    <mergeCell ref="A154:G154"/>
    <mergeCell ref="I154:L154"/>
    <mergeCell ref="P154:Q154"/>
    <mergeCell ref="A155:G155"/>
    <mergeCell ref="I155:L155"/>
    <mergeCell ref="P155:Q155"/>
    <mergeCell ref="A160:G160"/>
    <mergeCell ref="I160:L160"/>
    <mergeCell ref="A161:G161"/>
    <mergeCell ref="I161:L161"/>
    <mergeCell ref="P161:Q161"/>
    <mergeCell ref="A158:G158"/>
    <mergeCell ref="I158:L158"/>
    <mergeCell ref="P158:Q158"/>
    <mergeCell ref="A159:G159"/>
    <mergeCell ref="I159:L159"/>
    <mergeCell ref="P159:Q159"/>
  </mergeCells>
  <printOptions horizontalCentered="1"/>
  <pageMargins left="0.78740157480314965" right="0.19685039370078741" top="0.39370078740157483" bottom="0.39370078740157483" header="0.31496062992125984" footer="0"/>
  <pageSetup paperSize="9" scale="73" orientation="portrait" r:id="rId1"/>
  <rowBreaks count="2" manualBreakCount="2">
    <brk id="68" max="17" man="1"/>
    <brk id="115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4"/>
  <sheetViews>
    <sheetView tabSelected="1" zoomScaleNormal="100" zoomScaleSheetLayoutView="100" workbookViewId="0">
      <selection activeCell="Y26" sqref="Y26"/>
    </sheetView>
  </sheetViews>
  <sheetFormatPr defaultRowHeight="12.75" x14ac:dyDescent="0.2"/>
  <cols>
    <col min="1" max="3" width="2.42578125" style="6" customWidth="1"/>
    <col min="4" max="4" width="34.7109375" style="6" customWidth="1"/>
    <col min="5" max="5" width="3.5703125" style="214" customWidth="1"/>
    <col min="6" max="6" width="3" style="61" customWidth="1"/>
    <col min="7" max="7" width="9.5703125" style="1893" customWidth="1"/>
    <col min="8" max="8" width="10.28515625" style="1774" customWidth="1"/>
    <col min="9" max="10" width="10" style="1403" customWidth="1"/>
    <col min="11" max="11" width="25.140625" style="6" customWidth="1"/>
    <col min="12" max="12" width="5.7109375" style="18" customWidth="1"/>
    <col min="13" max="13" width="6.42578125" style="61" customWidth="1"/>
    <col min="14" max="14" width="5.85546875" style="1908" customWidth="1"/>
    <col min="15" max="15" width="9.140625" style="2" customWidth="1"/>
    <col min="16" max="16384" width="9.140625" style="2"/>
  </cols>
  <sheetData>
    <row r="1" spans="1:18" x14ac:dyDescent="0.2">
      <c r="A1" s="2178" t="s">
        <v>314</v>
      </c>
      <c r="B1" s="2178"/>
      <c r="C1" s="2178"/>
      <c r="D1" s="2178"/>
      <c r="E1" s="2178"/>
      <c r="F1" s="2178"/>
      <c r="G1" s="2178"/>
      <c r="H1" s="2178"/>
      <c r="I1" s="2178"/>
      <c r="J1" s="2178"/>
      <c r="K1" s="2178"/>
      <c r="L1" s="2178"/>
      <c r="M1" s="2178"/>
      <c r="N1" s="2178"/>
    </row>
    <row r="2" spans="1:18" x14ac:dyDescent="0.2">
      <c r="A2" s="2185" t="s">
        <v>39</v>
      </c>
      <c r="B2" s="2185"/>
      <c r="C2" s="2185"/>
      <c r="D2" s="2185"/>
      <c r="E2" s="2185"/>
      <c r="F2" s="2185"/>
      <c r="G2" s="2185"/>
      <c r="H2" s="2185"/>
      <c r="I2" s="2185"/>
      <c r="J2" s="2185"/>
      <c r="K2" s="2185"/>
      <c r="L2" s="2185"/>
      <c r="M2" s="2185"/>
      <c r="N2" s="2185"/>
    </row>
    <row r="3" spans="1:18" x14ac:dyDescent="0.2">
      <c r="A3" s="2186" t="s">
        <v>215</v>
      </c>
      <c r="B3" s="2186"/>
      <c r="C3" s="2186"/>
      <c r="D3" s="2186"/>
      <c r="E3" s="2186"/>
      <c r="F3" s="2186"/>
      <c r="G3" s="2186"/>
      <c r="H3" s="2186"/>
      <c r="I3" s="2186"/>
      <c r="J3" s="2186"/>
      <c r="K3" s="2186"/>
      <c r="L3" s="2186"/>
      <c r="M3" s="2186"/>
      <c r="N3" s="2186"/>
    </row>
    <row r="4" spans="1:18" ht="13.5" thickBot="1" x14ac:dyDescent="0.25">
      <c r="A4" s="1894"/>
      <c r="B4" s="1894"/>
      <c r="C4" s="2199" t="s">
        <v>280</v>
      </c>
      <c r="D4" s="2199"/>
      <c r="E4" s="2199"/>
      <c r="F4" s="2199"/>
      <c r="G4" s="2199"/>
      <c r="H4" s="2199"/>
      <c r="I4" s="2199"/>
      <c r="J4" s="2199"/>
      <c r="K4" s="2199"/>
      <c r="L4" s="2199"/>
      <c r="M4" s="2199"/>
      <c r="N4" s="2199"/>
    </row>
    <row r="5" spans="1:18" ht="12.75" customHeight="1" x14ac:dyDescent="0.2">
      <c r="A5" s="2200" t="s">
        <v>12</v>
      </c>
      <c r="B5" s="2216" t="s">
        <v>13</v>
      </c>
      <c r="C5" s="2216" t="s">
        <v>14</v>
      </c>
      <c r="D5" s="2203" t="s">
        <v>31</v>
      </c>
      <c r="E5" s="2179" t="s">
        <v>15</v>
      </c>
      <c r="F5" s="2187" t="s">
        <v>16</v>
      </c>
      <c r="G5" s="2206" t="s">
        <v>17</v>
      </c>
      <c r="H5" s="2467" t="s">
        <v>276</v>
      </c>
      <c r="I5" s="2467" t="s">
        <v>311</v>
      </c>
      <c r="J5" s="2467" t="s">
        <v>312</v>
      </c>
      <c r="K5" s="2190" t="s">
        <v>71</v>
      </c>
      <c r="L5" s="2191"/>
      <c r="M5" s="2191"/>
      <c r="N5" s="2192"/>
    </row>
    <row r="6" spans="1:18" ht="12.75" customHeight="1" x14ac:dyDescent="0.2">
      <c r="A6" s="2201"/>
      <c r="B6" s="2217"/>
      <c r="C6" s="2217"/>
      <c r="D6" s="2204"/>
      <c r="E6" s="2180"/>
      <c r="F6" s="2188"/>
      <c r="G6" s="2207"/>
      <c r="H6" s="2468"/>
      <c r="I6" s="2468"/>
      <c r="J6" s="2468"/>
      <c r="K6" s="2209" t="s">
        <v>31</v>
      </c>
      <c r="L6" s="2193" t="s">
        <v>281</v>
      </c>
      <c r="M6" s="2194"/>
      <c r="N6" s="2195"/>
    </row>
    <row r="7" spans="1:18" ht="102.75" customHeight="1" thickBot="1" x14ac:dyDescent="0.25">
      <c r="A7" s="2202"/>
      <c r="B7" s="2218"/>
      <c r="C7" s="2218"/>
      <c r="D7" s="2205"/>
      <c r="E7" s="2181"/>
      <c r="F7" s="2189"/>
      <c r="G7" s="2208"/>
      <c r="H7" s="2469"/>
      <c r="I7" s="2469"/>
      <c r="J7" s="2469"/>
      <c r="K7" s="2210"/>
      <c r="L7" s="246" t="s">
        <v>74</v>
      </c>
      <c r="M7" s="246" t="s">
        <v>105</v>
      </c>
      <c r="N7" s="247" t="s">
        <v>222</v>
      </c>
    </row>
    <row r="8" spans="1:18" ht="13.5" thickBot="1" x14ac:dyDescent="0.25">
      <c r="A8" s="2231" t="s">
        <v>41</v>
      </c>
      <c r="B8" s="2232"/>
      <c r="C8" s="2232"/>
      <c r="D8" s="2232"/>
      <c r="E8" s="2232"/>
      <c r="F8" s="2232"/>
      <c r="G8" s="2232"/>
      <c r="H8" s="2232"/>
      <c r="I8" s="2232"/>
      <c r="J8" s="2232"/>
      <c r="K8" s="2232"/>
      <c r="L8" s="2232"/>
      <c r="M8" s="2232"/>
      <c r="N8" s="2233"/>
    </row>
    <row r="9" spans="1:18" ht="13.5" thickBot="1" x14ac:dyDescent="0.25">
      <c r="A9" s="2234" t="s">
        <v>40</v>
      </c>
      <c r="B9" s="2235"/>
      <c r="C9" s="2235"/>
      <c r="D9" s="2235"/>
      <c r="E9" s="2235"/>
      <c r="F9" s="2235"/>
      <c r="G9" s="2235"/>
      <c r="H9" s="2235"/>
      <c r="I9" s="2235"/>
      <c r="J9" s="2235"/>
      <c r="K9" s="2235"/>
      <c r="L9" s="2235"/>
      <c r="M9" s="2235"/>
      <c r="N9" s="2236"/>
    </row>
    <row r="10" spans="1:18" ht="13.5" thickBot="1" x14ac:dyDescent="0.25">
      <c r="A10" s="123" t="s">
        <v>20</v>
      </c>
      <c r="B10" s="2242" t="s">
        <v>51</v>
      </c>
      <c r="C10" s="2243"/>
      <c r="D10" s="2243"/>
      <c r="E10" s="2243"/>
      <c r="F10" s="2243"/>
      <c r="G10" s="2243"/>
      <c r="H10" s="2243"/>
      <c r="I10" s="2243"/>
      <c r="J10" s="2243"/>
      <c r="K10" s="2243"/>
      <c r="L10" s="2243"/>
      <c r="M10" s="2243"/>
      <c r="N10" s="2244"/>
    </row>
    <row r="11" spans="1:18" ht="13.5" thickBot="1" x14ac:dyDescent="0.25">
      <c r="A11" s="219" t="s">
        <v>20</v>
      </c>
      <c r="B11" s="98" t="s">
        <v>20</v>
      </c>
      <c r="C11" s="2384" t="s">
        <v>182</v>
      </c>
      <c r="D11" s="2247"/>
      <c r="E11" s="2247"/>
      <c r="F11" s="2247"/>
      <c r="G11" s="2247"/>
      <c r="H11" s="2247"/>
      <c r="I11" s="2247"/>
      <c r="J11" s="2247"/>
      <c r="K11" s="2247"/>
      <c r="L11" s="2247"/>
      <c r="M11" s="2247"/>
      <c r="N11" s="2248"/>
    </row>
    <row r="12" spans="1:18" x14ac:dyDescent="0.2">
      <c r="A12" s="25" t="s">
        <v>20</v>
      </c>
      <c r="B12" s="16" t="s">
        <v>20</v>
      </c>
      <c r="C12" s="2222" t="s">
        <v>20</v>
      </c>
      <c r="D12" s="2466" t="s">
        <v>102</v>
      </c>
      <c r="E12" s="2275"/>
      <c r="F12" s="886" t="s">
        <v>43</v>
      </c>
      <c r="G12" s="116" t="s">
        <v>22</v>
      </c>
      <c r="H12" s="1771">
        <f>(32692.6+5135.9+15891.2+15303.6+749.4+1166.9+406.7)/3.4528*1000+63631+2720+7150+28974+19342+15227+6550</f>
        <v>20806911</v>
      </c>
      <c r="I12" s="1344">
        <f t="shared" ref="I12:J12" si="0">(32692.6+5135.9+15891.2+15303.6+749.4+1166.9+406.7)/3.4528*1000</f>
        <v>20663317</v>
      </c>
      <c r="J12" s="1624">
        <f t="shared" si="0"/>
        <v>20663317</v>
      </c>
      <c r="K12" s="1414"/>
      <c r="L12" s="377"/>
      <c r="M12" s="1908"/>
      <c r="N12" s="622"/>
      <c r="O12" s="1400"/>
    </row>
    <row r="13" spans="1:18" x14ac:dyDescent="0.2">
      <c r="A13" s="26"/>
      <c r="B13" s="27"/>
      <c r="C13" s="2222"/>
      <c r="D13" s="2439"/>
      <c r="E13" s="2241"/>
      <c r="F13" s="886"/>
      <c r="G13" s="117" t="s">
        <v>25</v>
      </c>
      <c r="H13" s="1942">
        <v>31558537</v>
      </c>
      <c r="I13" s="1625">
        <v>30708025</v>
      </c>
      <c r="J13" s="1626">
        <v>30708025</v>
      </c>
      <c r="K13" s="1910"/>
      <c r="L13" s="377"/>
      <c r="M13" s="1908"/>
      <c r="N13" s="622"/>
      <c r="O13" s="1400"/>
    </row>
    <row r="14" spans="1:18" x14ac:dyDescent="0.2">
      <c r="A14" s="26"/>
      <c r="B14" s="27"/>
      <c r="C14" s="1896"/>
      <c r="D14" s="1938"/>
      <c r="E14" s="1929"/>
      <c r="F14" s="886"/>
      <c r="G14" s="379" t="s">
        <v>91</v>
      </c>
      <c r="H14" s="1735">
        <f>5008279+445640</f>
        <v>5453919</v>
      </c>
      <c r="I14" s="1150">
        <v>5008279</v>
      </c>
      <c r="J14" s="1627">
        <v>5008279</v>
      </c>
      <c r="K14" s="860"/>
      <c r="L14" s="377"/>
      <c r="M14" s="1908"/>
      <c r="N14" s="622"/>
    </row>
    <row r="15" spans="1:18" x14ac:dyDescent="0.2">
      <c r="A15" s="26"/>
      <c r="B15" s="27"/>
      <c r="C15" s="1896"/>
      <c r="D15" s="1938"/>
      <c r="E15" s="1929"/>
      <c r="F15" s="886"/>
      <c r="G15" s="248" t="s">
        <v>323</v>
      </c>
      <c r="H15" s="1735">
        <v>8431</v>
      </c>
      <c r="I15" s="1150"/>
      <c r="J15" s="1263"/>
      <c r="K15" s="860"/>
      <c r="L15" s="377"/>
      <c r="M15" s="1908"/>
      <c r="N15" s="622"/>
    </row>
    <row r="16" spans="1:18" ht="25.5" customHeight="1" x14ac:dyDescent="0.2">
      <c r="A16" s="26"/>
      <c r="B16" s="1895"/>
      <c r="C16" s="155"/>
      <c r="D16" s="2432" t="s">
        <v>191</v>
      </c>
      <c r="E16" s="864"/>
      <c r="F16" s="886"/>
      <c r="G16" s="1649" t="s">
        <v>329</v>
      </c>
      <c r="H16" s="1684">
        <v>681245</v>
      </c>
      <c r="I16" s="1650"/>
      <c r="J16" s="1651"/>
      <c r="K16" s="1935" t="s">
        <v>282</v>
      </c>
      <c r="L16" s="714" t="s">
        <v>227</v>
      </c>
      <c r="M16" s="714" t="s">
        <v>228</v>
      </c>
      <c r="N16" s="715" t="s">
        <v>229</v>
      </c>
      <c r="P16" s="157"/>
      <c r="Q16" s="157"/>
      <c r="R16" s="157"/>
    </row>
    <row r="17" spans="1:19" x14ac:dyDescent="0.2">
      <c r="A17" s="26"/>
      <c r="B17" s="27"/>
      <c r="C17" s="155"/>
      <c r="D17" s="2122"/>
      <c r="E17" s="864"/>
      <c r="F17" s="886"/>
      <c r="G17" s="652"/>
      <c r="H17" s="1736"/>
      <c r="I17" s="1153"/>
      <c r="J17" s="1157"/>
      <c r="K17" s="231" t="s">
        <v>236</v>
      </c>
      <c r="L17" s="873" t="s">
        <v>230</v>
      </c>
      <c r="M17" s="874" t="s">
        <v>231</v>
      </c>
      <c r="N17" s="875" t="s">
        <v>232</v>
      </c>
    </row>
    <row r="18" spans="1:19" x14ac:dyDescent="0.2">
      <c r="A18" s="26"/>
      <c r="B18" s="27"/>
      <c r="C18" s="155"/>
      <c r="D18" s="2122"/>
      <c r="E18" s="864"/>
      <c r="F18" s="886"/>
      <c r="G18" s="652"/>
      <c r="H18" s="1736"/>
      <c r="I18" s="1158"/>
      <c r="J18" s="1184"/>
      <c r="K18" s="2433" t="s">
        <v>283</v>
      </c>
      <c r="L18" s="714" t="s">
        <v>233</v>
      </c>
      <c r="M18" s="714" t="s">
        <v>234</v>
      </c>
      <c r="N18" s="715" t="s">
        <v>235</v>
      </c>
      <c r="P18" s="157"/>
      <c r="Q18" s="157"/>
      <c r="R18" s="157"/>
      <c r="S18" s="157"/>
    </row>
    <row r="19" spans="1:19" x14ac:dyDescent="0.2">
      <c r="A19" s="26"/>
      <c r="B19" s="27"/>
      <c r="C19" s="155"/>
      <c r="D19" s="2122"/>
      <c r="E19" s="864"/>
      <c r="F19" s="886"/>
      <c r="G19" s="376"/>
      <c r="H19" s="1736"/>
      <c r="I19" s="1160"/>
      <c r="J19" s="1178"/>
      <c r="K19" s="2434"/>
      <c r="L19" s="877"/>
      <c r="M19" s="877"/>
      <c r="N19" s="878"/>
      <c r="P19" s="157"/>
      <c r="Q19" s="157"/>
      <c r="R19" s="157"/>
      <c r="S19" s="157"/>
    </row>
    <row r="20" spans="1:19" x14ac:dyDescent="0.2">
      <c r="A20" s="26"/>
      <c r="B20" s="27"/>
      <c r="C20" s="1898"/>
      <c r="D20" s="872"/>
      <c r="E20" s="1929"/>
      <c r="F20" s="886"/>
      <c r="G20" s="901"/>
      <c r="H20" s="1569"/>
      <c r="I20" s="1165"/>
      <c r="J20" s="1164"/>
      <c r="K20" s="892" t="s">
        <v>237</v>
      </c>
      <c r="L20" s="1909">
        <v>244</v>
      </c>
      <c r="M20" s="1933">
        <v>300</v>
      </c>
      <c r="N20" s="1934">
        <v>340</v>
      </c>
      <c r="Q20" s="889"/>
      <c r="R20" s="889"/>
    </row>
    <row r="21" spans="1:19" x14ac:dyDescent="0.2">
      <c r="A21" s="2153"/>
      <c r="B21" s="27"/>
      <c r="C21" s="2226"/>
      <c r="D21" s="2237" t="s">
        <v>267</v>
      </c>
      <c r="E21" s="2275"/>
      <c r="F21" s="2465"/>
      <c r="G21" s="652"/>
      <c r="H21" s="1736"/>
      <c r="I21" s="1153"/>
      <c r="J21" s="1157"/>
      <c r="K21" s="2436" t="s">
        <v>284</v>
      </c>
      <c r="L21" s="2428">
        <v>8</v>
      </c>
      <c r="M21" s="2428">
        <v>7</v>
      </c>
      <c r="N21" s="2430">
        <v>6</v>
      </c>
    </row>
    <row r="22" spans="1:19" x14ac:dyDescent="0.2">
      <c r="A22" s="2153"/>
      <c r="B22" s="27"/>
      <c r="C22" s="2226"/>
      <c r="D22" s="2237"/>
      <c r="E22" s="2229"/>
      <c r="F22" s="2435"/>
      <c r="G22" s="891"/>
      <c r="H22" s="1736"/>
      <c r="I22" s="1173"/>
      <c r="J22" s="1174"/>
      <c r="K22" s="2437"/>
      <c r="L22" s="2429"/>
      <c r="M22" s="2429"/>
      <c r="N22" s="2431"/>
    </row>
    <row r="23" spans="1:19" x14ac:dyDescent="0.2">
      <c r="A23" s="2153"/>
      <c r="B23" s="27"/>
      <c r="C23" s="2222"/>
      <c r="D23" s="2432"/>
      <c r="E23" s="2241"/>
      <c r="F23" s="2251"/>
      <c r="G23" s="376"/>
      <c r="H23" s="1736"/>
      <c r="I23" s="1153"/>
      <c r="J23" s="1157"/>
      <c r="K23" s="1936" t="s">
        <v>285</v>
      </c>
      <c r="L23" s="718">
        <v>2119</v>
      </c>
      <c r="M23" s="718">
        <v>2200</v>
      </c>
      <c r="N23" s="719">
        <v>2200</v>
      </c>
    </row>
    <row r="24" spans="1:19" x14ac:dyDescent="0.2">
      <c r="A24" s="1887"/>
      <c r="B24" s="27"/>
      <c r="C24" s="1891"/>
      <c r="D24" s="1884"/>
      <c r="E24" s="1929"/>
      <c r="F24" s="886"/>
      <c r="G24" s="901"/>
      <c r="H24" s="1569"/>
      <c r="I24" s="1165"/>
      <c r="J24" s="1164"/>
      <c r="K24" s="893" t="s">
        <v>238</v>
      </c>
      <c r="L24" s="894">
        <v>1060</v>
      </c>
      <c r="M24" s="895">
        <v>1040</v>
      </c>
      <c r="N24" s="896">
        <v>1020</v>
      </c>
    </row>
    <row r="25" spans="1:19" x14ac:dyDescent="0.2">
      <c r="A25" s="2154"/>
      <c r="B25" s="1895"/>
      <c r="C25" s="2164"/>
      <c r="D25" s="2237" t="s">
        <v>268</v>
      </c>
      <c r="E25" s="2275"/>
      <c r="F25" s="2424"/>
      <c r="G25" s="652"/>
      <c r="H25" s="1736"/>
      <c r="I25" s="1160"/>
      <c r="J25" s="1178"/>
      <c r="K25" s="756" t="s">
        <v>239</v>
      </c>
      <c r="L25" s="757">
        <v>36</v>
      </c>
      <c r="M25" s="757">
        <v>35</v>
      </c>
      <c r="N25" s="758">
        <v>35</v>
      </c>
    </row>
    <row r="26" spans="1:19" x14ac:dyDescent="0.2">
      <c r="A26" s="2154"/>
      <c r="B26" s="1895"/>
      <c r="C26" s="2164"/>
      <c r="D26" s="2237"/>
      <c r="E26" s="2229"/>
      <c r="F26" s="2423"/>
      <c r="G26" s="652"/>
      <c r="H26" s="1736"/>
      <c r="I26" s="1179"/>
      <c r="J26" s="1180"/>
      <c r="K26" s="723" t="s">
        <v>240</v>
      </c>
      <c r="L26" s="1502">
        <v>16960</v>
      </c>
      <c r="M26" s="1502">
        <v>17000</v>
      </c>
      <c r="N26" s="1618">
        <v>17000</v>
      </c>
    </row>
    <row r="27" spans="1:19" x14ac:dyDescent="0.2">
      <c r="A27" s="2154"/>
      <c r="B27" s="1895"/>
      <c r="C27" s="2164"/>
      <c r="D27" s="2237"/>
      <c r="E27" s="2241"/>
      <c r="F27" s="2471"/>
      <c r="G27" s="652"/>
      <c r="H27" s="1736"/>
      <c r="I27" s="1160"/>
      <c r="J27" s="1178"/>
      <c r="K27" s="720"/>
      <c r="L27" s="721"/>
      <c r="M27" s="721"/>
      <c r="N27" s="722"/>
    </row>
    <row r="28" spans="1:19" x14ac:dyDescent="0.2">
      <c r="A28" s="2219"/>
      <c r="B28" s="2220"/>
      <c r="C28" s="2222"/>
      <c r="D28" s="2237" t="s">
        <v>241</v>
      </c>
      <c r="E28" s="2284"/>
      <c r="F28" s="2427"/>
      <c r="G28" s="652"/>
      <c r="H28" s="1736"/>
      <c r="I28" s="1153"/>
      <c r="J28" s="1157"/>
      <c r="K28" s="723" t="s">
        <v>65</v>
      </c>
      <c r="L28" s="1502">
        <v>6</v>
      </c>
      <c r="M28" s="1502">
        <v>6</v>
      </c>
      <c r="N28" s="1618">
        <v>6</v>
      </c>
    </row>
    <row r="29" spans="1:19" x14ac:dyDescent="0.2">
      <c r="A29" s="2154"/>
      <c r="B29" s="2221"/>
      <c r="C29" s="2222"/>
      <c r="D29" s="2254"/>
      <c r="E29" s="2470"/>
      <c r="F29" s="2047"/>
      <c r="G29" s="376"/>
      <c r="H29" s="1736"/>
      <c r="I29" s="1158"/>
      <c r="J29" s="1184"/>
      <c r="K29" s="1858" t="s">
        <v>242</v>
      </c>
      <c r="L29" s="1502">
        <v>5049</v>
      </c>
      <c r="M29" s="1502">
        <v>5050</v>
      </c>
      <c r="N29" s="1618">
        <v>5100</v>
      </c>
      <c r="O29" s="109"/>
    </row>
    <row r="30" spans="1:19" x14ac:dyDescent="0.2">
      <c r="A30" s="2154"/>
      <c r="B30" s="2221"/>
      <c r="C30" s="2222"/>
      <c r="D30" s="2223" t="s">
        <v>141</v>
      </c>
      <c r="E30" s="2473"/>
      <c r="F30" s="2427"/>
      <c r="G30" s="652"/>
      <c r="H30" s="1736"/>
      <c r="I30" s="1160"/>
      <c r="J30" s="1178"/>
      <c r="K30" s="2271" t="s">
        <v>80</v>
      </c>
      <c r="L30" s="2269">
        <v>4</v>
      </c>
      <c r="M30" s="2269">
        <v>4.5</v>
      </c>
      <c r="N30" s="2256">
        <v>5</v>
      </c>
    </row>
    <row r="31" spans="1:19" x14ac:dyDescent="0.2">
      <c r="A31" s="2154"/>
      <c r="B31" s="2221"/>
      <c r="C31" s="2222"/>
      <c r="D31" s="2223"/>
      <c r="E31" s="2012"/>
      <c r="F31" s="1994"/>
      <c r="G31" s="376"/>
      <c r="H31" s="1736"/>
      <c r="I31" s="1160"/>
      <c r="J31" s="1178"/>
      <c r="K31" s="2083"/>
      <c r="L31" s="2270"/>
      <c r="M31" s="2270"/>
      <c r="N31" s="2257"/>
    </row>
    <row r="32" spans="1:19" x14ac:dyDescent="0.2">
      <c r="A32" s="185"/>
      <c r="B32" s="27"/>
      <c r="C32" s="186"/>
      <c r="D32" s="2223" t="s">
        <v>142</v>
      </c>
      <c r="E32" s="2277"/>
      <c r="F32" s="2424"/>
      <c r="G32" s="652"/>
      <c r="H32" s="1736"/>
      <c r="I32" s="1179"/>
      <c r="J32" s="1180"/>
      <c r="K32" s="187" t="s">
        <v>114</v>
      </c>
      <c r="L32" s="1502">
        <v>92</v>
      </c>
      <c r="M32" s="1502">
        <v>130</v>
      </c>
      <c r="N32" s="1618">
        <v>145</v>
      </c>
    </row>
    <row r="33" spans="1:16" x14ac:dyDescent="0.2">
      <c r="A33" s="185"/>
      <c r="B33" s="27"/>
      <c r="C33" s="186"/>
      <c r="D33" s="2280"/>
      <c r="E33" s="2362"/>
      <c r="F33" s="2472"/>
      <c r="G33" s="891"/>
      <c r="H33" s="1736"/>
      <c r="I33" s="1179"/>
      <c r="J33" s="1180"/>
      <c r="K33" s="897"/>
      <c r="L33" s="898"/>
      <c r="M33" s="899"/>
      <c r="N33" s="900"/>
    </row>
    <row r="34" spans="1:16" ht="16.5" customHeight="1" x14ac:dyDescent="0.2">
      <c r="A34" s="185"/>
      <c r="B34" s="27"/>
      <c r="C34" s="155"/>
      <c r="D34" s="2239" t="s">
        <v>183</v>
      </c>
      <c r="E34" s="1869"/>
      <c r="F34" s="1876"/>
      <c r="G34" s="652"/>
      <c r="H34" s="1736"/>
      <c r="I34" s="1160"/>
      <c r="J34" s="1178"/>
      <c r="K34" s="1932" t="s">
        <v>115</v>
      </c>
      <c r="L34" s="728">
        <v>250</v>
      </c>
      <c r="M34" s="728">
        <v>255</v>
      </c>
      <c r="N34" s="716">
        <v>260</v>
      </c>
      <c r="P34" s="157"/>
    </row>
    <row r="35" spans="1:16" ht="13.5" thickBot="1" x14ac:dyDescent="0.25">
      <c r="A35" s="536"/>
      <c r="B35" s="28"/>
      <c r="C35" s="784"/>
      <c r="D35" s="2262"/>
      <c r="E35" s="1931"/>
      <c r="F35" s="1922"/>
      <c r="G35" s="299" t="s">
        <v>23</v>
      </c>
      <c r="H35" s="1228">
        <f>SUM(H12:H34)</f>
        <v>58509043</v>
      </c>
      <c r="I35" s="1201">
        <f>SUM(I12:I34)</f>
        <v>56379621</v>
      </c>
      <c r="J35" s="1230">
        <f>SUM(J12:J34)</f>
        <v>56379621</v>
      </c>
      <c r="K35" s="881"/>
      <c r="L35" s="619"/>
      <c r="M35" s="619"/>
      <c r="N35" s="189"/>
      <c r="P35" s="211"/>
    </row>
    <row r="36" spans="1:16" ht="32.25" customHeight="1" x14ac:dyDescent="0.2">
      <c r="A36" s="1880" t="s">
        <v>20</v>
      </c>
      <c r="B36" s="220" t="s">
        <v>20</v>
      </c>
      <c r="C36" s="1890" t="s">
        <v>24</v>
      </c>
      <c r="D36" s="2276" t="s">
        <v>197</v>
      </c>
      <c r="E36" s="2415" t="s">
        <v>127</v>
      </c>
      <c r="F36" s="1993">
        <v>2</v>
      </c>
      <c r="G36" s="117" t="s">
        <v>25</v>
      </c>
      <c r="H36" s="1687">
        <v>8963</v>
      </c>
      <c r="I36" s="1196">
        <f>50.9/3.4528*1000</f>
        <v>14742</v>
      </c>
      <c r="J36" s="1197">
        <f>50.9/3.4528*1000</f>
        <v>14742</v>
      </c>
      <c r="K36" s="2407" t="s">
        <v>245</v>
      </c>
      <c r="L36" s="2294">
        <v>1</v>
      </c>
      <c r="M36" s="2294">
        <v>1</v>
      </c>
      <c r="N36" s="2291">
        <v>1</v>
      </c>
      <c r="O36" s="1400"/>
      <c r="P36" s="210"/>
    </row>
    <row r="37" spans="1:16" ht="13.5" thickBot="1" x14ac:dyDescent="0.25">
      <c r="A37" s="1897"/>
      <c r="B37" s="28"/>
      <c r="C37" s="1913"/>
      <c r="D37" s="2167"/>
      <c r="E37" s="2416"/>
      <c r="F37" s="2402"/>
      <c r="G37" s="299" t="s">
        <v>23</v>
      </c>
      <c r="H37" s="1191">
        <f>SUM(H36:H36)</f>
        <v>8963</v>
      </c>
      <c r="I37" s="1201">
        <f>SUM(I36:I36)</f>
        <v>14742</v>
      </c>
      <c r="J37" s="1200">
        <f>SUM(J36:J36)</f>
        <v>14742</v>
      </c>
      <c r="K37" s="2408"/>
      <c r="L37" s="2409"/>
      <c r="M37" s="2409"/>
      <c r="N37" s="2410"/>
    </row>
    <row r="38" spans="1:16" ht="31.5" customHeight="1" x14ac:dyDescent="0.2">
      <c r="A38" s="1864" t="s">
        <v>20</v>
      </c>
      <c r="B38" s="1872" t="s">
        <v>20</v>
      </c>
      <c r="C38" s="1861" t="s">
        <v>26</v>
      </c>
      <c r="D38" s="2276" t="s">
        <v>149</v>
      </c>
      <c r="E38" s="1995"/>
      <c r="F38" s="1993">
        <v>2</v>
      </c>
      <c r="G38" s="116" t="s">
        <v>25</v>
      </c>
      <c r="H38" s="1687">
        <v>45982</v>
      </c>
      <c r="I38" s="1628">
        <v>41190</v>
      </c>
      <c r="J38" s="1629">
        <v>41190</v>
      </c>
      <c r="K38" s="2263" t="s">
        <v>286</v>
      </c>
      <c r="L38" s="2258">
        <v>5</v>
      </c>
      <c r="M38" s="2258">
        <v>5</v>
      </c>
      <c r="N38" s="2267">
        <v>5</v>
      </c>
    </row>
    <row r="39" spans="1:16" ht="13.5" thickBot="1" x14ac:dyDescent="0.25">
      <c r="A39" s="1865"/>
      <c r="B39" s="28"/>
      <c r="C39" s="1862"/>
      <c r="D39" s="2167"/>
      <c r="E39" s="1997"/>
      <c r="F39" s="2402"/>
      <c r="G39" s="299" t="s">
        <v>23</v>
      </c>
      <c r="H39" s="1191">
        <f>H38</f>
        <v>45982</v>
      </c>
      <c r="I39" s="1205">
        <f>SUM(I38:I38)</f>
        <v>41190</v>
      </c>
      <c r="J39" s="1206">
        <f>SUM(J38:J38)</f>
        <v>41190</v>
      </c>
      <c r="K39" s="2264"/>
      <c r="L39" s="2259"/>
      <c r="M39" s="2259"/>
      <c r="N39" s="2268"/>
    </row>
    <row r="40" spans="1:16" ht="18" customHeight="1" x14ac:dyDescent="0.2">
      <c r="A40" s="1870" t="s">
        <v>20</v>
      </c>
      <c r="B40" s="1872" t="s">
        <v>20</v>
      </c>
      <c r="C40" s="753" t="s">
        <v>28</v>
      </c>
      <c r="D40" s="2165" t="s">
        <v>351</v>
      </c>
      <c r="E40" s="1995"/>
      <c r="F40" s="1993">
        <v>2</v>
      </c>
      <c r="G40" s="116" t="s">
        <v>25</v>
      </c>
      <c r="H40" s="1687">
        <f>84185+172383</f>
        <v>256568</v>
      </c>
      <c r="I40" s="1210">
        <f>300/3.4528*1000</f>
        <v>86886</v>
      </c>
      <c r="J40" s="1211">
        <f>300/3.4528*1000</f>
        <v>86886</v>
      </c>
      <c r="K40" s="2405" t="s">
        <v>255</v>
      </c>
      <c r="L40" s="1902">
        <f>25+67</f>
        <v>92</v>
      </c>
      <c r="M40" s="1902">
        <v>30</v>
      </c>
      <c r="N40" s="1905">
        <v>30</v>
      </c>
    </row>
    <row r="41" spans="1:16" ht="13.5" thickBot="1" x14ac:dyDescent="0.25">
      <c r="A41" s="1865"/>
      <c r="B41" s="28"/>
      <c r="C41" s="1862"/>
      <c r="D41" s="2167"/>
      <c r="E41" s="1997"/>
      <c r="F41" s="2402"/>
      <c r="G41" s="299" t="s">
        <v>23</v>
      </c>
      <c r="H41" s="1191">
        <f>H40</f>
        <v>256568</v>
      </c>
      <c r="I41" s="1201">
        <f>SUM(I40:I40)</f>
        <v>86886</v>
      </c>
      <c r="J41" s="1200">
        <f>SUM(J40:J40)</f>
        <v>86886</v>
      </c>
      <c r="K41" s="2406"/>
      <c r="L41" s="752"/>
      <c r="M41" s="129"/>
      <c r="N41" s="203"/>
    </row>
    <row r="42" spans="1:16" ht="12.75" customHeight="1" x14ac:dyDescent="0.2">
      <c r="A42" s="1864" t="s">
        <v>20</v>
      </c>
      <c r="B42" s="1872" t="s">
        <v>20</v>
      </c>
      <c r="C42" s="1861" t="s">
        <v>29</v>
      </c>
      <c r="D42" s="2400" t="s">
        <v>246</v>
      </c>
      <c r="E42" s="1995"/>
      <c r="F42" s="1993">
        <v>2</v>
      </c>
      <c r="G42" s="116" t="s">
        <v>22</v>
      </c>
      <c r="H42" s="1690">
        <f>10/3.4528*1000</f>
        <v>2896</v>
      </c>
      <c r="I42" s="1210">
        <f>10/3.4528*1000</f>
        <v>2896</v>
      </c>
      <c r="J42" s="1211">
        <f>10/3.4528*1000</f>
        <v>2896</v>
      </c>
      <c r="K42" s="1888" t="s">
        <v>247</v>
      </c>
      <c r="L42" s="726">
        <v>30</v>
      </c>
      <c r="M42" s="726">
        <v>35</v>
      </c>
      <c r="N42" s="737">
        <v>35</v>
      </c>
    </row>
    <row r="43" spans="1:16" ht="13.5" thickBot="1" x14ac:dyDescent="0.25">
      <c r="A43" s="1865"/>
      <c r="B43" s="28"/>
      <c r="C43" s="1862"/>
      <c r="D43" s="2401"/>
      <c r="E43" s="1997"/>
      <c r="F43" s="2402"/>
      <c r="G43" s="299" t="s">
        <v>23</v>
      </c>
      <c r="H43" s="1191">
        <f>H42</f>
        <v>2896</v>
      </c>
      <c r="I43" s="1201">
        <f>SUM(I42:I42)</f>
        <v>2896</v>
      </c>
      <c r="J43" s="1200">
        <f>SUM(J42:J42)</f>
        <v>2896</v>
      </c>
      <c r="K43" s="1889"/>
      <c r="L43" s="735"/>
      <c r="M43" s="735"/>
      <c r="N43" s="736"/>
    </row>
    <row r="44" spans="1:16" ht="12.75" customHeight="1" x14ac:dyDescent="0.2">
      <c r="A44" s="1864" t="s">
        <v>20</v>
      </c>
      <c r="B44" s="1872" t="s">
        <v>20</v>
      </c>
      <c r="C44" s="1861" t="s">
        <v>30</v>
      </c>
      <c r="D44" s="2400" t="s">
        <v>248</v>
      </c>
      <c r="E44" s="1995"/>
      <c r="F44" s="1993">
        <v>2</v>
      </c>
      <c r="G44" s="116" t="s">
        <v>22</v>
      </c>
      <c r="H44" s="1690">
        <f>50/3.4528*1000</f>
        <v>14481</v>
      </c>
      <c r="I44" s="1210">
        <f>50/3.4528*1000</f>
        <v>14481</v>
      </c>
      <c r="J44" s="1211">
        <f>50/3.4528*1000</f>
        <v>14481</v>
      </c>
      <c r="K44" s="2155" t="s">
        <v>249</v>
      </c>
      <c r="L44" s="2403">
        <v>1.5</v>
      </c>
      <c r="M44" s="2403">
        <v>1.5</v>
      </c>
      <c r="N44" s="2396">
        <v>1.5</v>
      </c>
    </row>
    <row r="45" spans="1:16" ht="13.5" thickBot="1" x14ac:dyDescent="0.25">
      <c r="A45" s="1865"/>
      <c r="B45" s="28"/>
      <c r="C45" s="1862"/>
      <c r="D45" s="2401"/>
      <c r="E45" s="1997"/>
      <c r="F45" s="2402"/>
      <c r="G45" s="299" t="s">
        <v>23</v>
      </c>
      <c r="H45" s="1191">
        <f>H44</f>
        <v>14481</v>
      </c>
      <c r="I45" s="1201">
        <f>SUM(I44:I44)</f>
        <v>14481</v>
      </c>
      <c r="J45" s="1200">
        <f>SUM(J44:J44)</f>
        <v>14481</v>
      </c>
      <c r="K45" s="2156"/>
      <c r="L45" s="2404"/>
      <c r="M45" s="2404"/>
      <c r="N45" s="2397"/>
    </row>
    <row r="46" spans="1:16" ht="13.5" thickBot="1" x14ac:dyDescent="0.25">
      <c r="A46" s="1865" t="s">
        <v>20</v>
      </c>
      <c r="B46" s="1873" t="s">
        <v>20</v>
      </c>
      <c r="C46" s="2157" t="s">
        <v>27</v>
      </c>
      <c r="D46" s="2157"/>
      <c r="E46" s="2157"/>
      <c r="F46" s="2157"/>
      <c r="G46" s="2074"/>
      <c r="H46" s="1212">
        <f>H45+H43+H41+H39+H37+H35</f>
        <v>58837933</v>
      </c>
      <c r="I46" s="1213">
        <f>I41+I39+I37+I35+I43+I45</f>
        <v>56539816</v>
      </c>
      <c r="J46" s="1213">
        <f>J41+J39+J37+J35+J43+J45</f>
        <v>56539816</v>
      </c>
      <c r="K46" s="2014"/>
      <c r="L46" s="2015"/>
      <c r="M46" s="2015"/>
      <c r="N46" s="2016"/>
    </row>
    <row r="47" spans="1:16" ht="13.5" thickBot="1" x14ac:dyDescent="0.25">
      <c r="A47" s="15" t="s">
        <v>20</v>
      </c>
      <c r="B47" s="17" t="s">
        <v>24</v>
      </c>
      <c r="C47" s="2007" t="s">
        <v>113</v>
      </c>
      <c r="D47" s="2008"/>
      <c r="E47" s="2008"/>
      <c r="F47" s="2008"/>
      <c r="G47" s="2008"/>
      <c r="H47" s="2008"/>
      <c r="I47" s="2008"/>
      <c r="J47" s="2008"/>
      <c r="K47" s="2008"/>
      <c r="L47" s="2008"/>
      <c r="M47" s="2008"/>
      <c r="N47" s="2009"/>
    </row>
    <row r="48" spans="1:16" ht="27" customHeight="1" x14ac:dyDescent="0.2">
      <c r="A48" s="219" t="s">
        <v>20</v>
      </c>
      <c r="B48" s="1959" t="s">
        <v>24</v>
      </c>
      <c r="C48" s="2163" t="s">
        <v>20</v>
      </c>
      <c r="D48" s="1991" t="s">
        <v>116</v>
      </c>
      <c r="E48" s="2011"/>
      <c r="F48" s="2001">
        <v>2</v>
      </c>
      <c r="G48" s="1619" t="s">
        <v>22</v>
      </c>
      <c r="H48" s="1699">
        <f>65.4/3.4528*1000</f>
        <v>18941</v>
      </c>
      <c r="I48" s="1218">
        <f>65.4/3.4528*1000</f>
        <v>18941</v>
      </c>
      <c r="J48" s="1218">
        <f>65.4/3.4528*1000</f>
        <v>18941</v>
      </c>
      <c r="K48" s="191" t="s">
        <v>250</v>
      </c>
      <c r="L48" s="192">
        <v>20</v>
      </c>
      <c r="M48" s="192">
        <v>20</v>
      </c>
      <c r="N48" s="193">
        <v>20</v>
      </c>
    </row>
    <row r="49" spans="1:14" ht="15.75" customHeight="1" thickBot="1" x14ac:dyDescent="0.25">
      <c r="A49" s="1897"/>
      <c r="B49" s="1961"/>
      <c r="C49" s="2299"/>
      <c r="D49" s="2377"/>
      <c r="E49" s="2398"/>
      <c r="F49" s="2399"/>
      <c r="G49" s="807" t="s">
        <v>23</v>
      </c>
      <c r="H49" s="1219">
        <f>H48</f>
        <v>18941</v>
      </c>
      <c r="I49" s="1224">
        <f>SUM(I48)</f>
        <v>18941</v>
      </c>
      <c r="J49" s="1224">
        <f>SUM(J48)</f>
        <v>18941</v>
      </c>
      <c r="K49" s="194" t="s">
        <v>117</v>
      </c>
      <c r="L49" s="195">
        <v>36</v>
      </c>
      <c r="M49" s="195">
        <v>36</v>
      </c>
      <c r="N49" s="196">
        <v>36</v>
      </c>
    </row>
    <row r="50" spans="1:14" ht="17.25" customHeight="1" x14ac:dyDescent="0.2">
      <c r="A50" s="1988" t="s">
        <v>20</v>
      </c>
      <c r="B50" s="1959" t="s">
        <v>24</v>
      </c>
      <c r="C50" s="1986" t="s">
        <v>24</v>
      </c>
      <c r="D50" s="2168" t="s">
        <v>252</v>
      </c>
      <c r="E50" s="2011"/>
      <c r="F50" s="1993">
        <v>2</v>
      </c>
      <c r="G50" s="652" t="s">
        <v>25</v>
      </c>
      <c r="H50" s="1737">
        <v>0</v>
      </c>
      <c r="I50" s="1628">
        <v>30523</v>
      </c>
      <c r="J50" s="1629">
        <v>30523</v>
      </c>
      <c r="K50" s="2155" t="s">
        <v>287</v>
      </c>
      <c r="L50" s="139">
        <v>17</v>
      </c>
      <c r="M50" s="139">
        <v>17</v>
      </c>
      <c r="N50" s="138">
        <v>17</v>
      </c>
    </row>
    <row r="51" spans="1:14" ht="12.75" customHeight="1" thickBot="1" x14ac:dyDescent="0.25">
      <c r="A51" s="1989"/>
      <c r="B51" s="2010"/>
      <c r="C51" s="1987"/>
      <c r="D51" s="2169"/>
      <c r="E51" s="2012"/>
      <c r="F51" s="1994"/>
      <c r="G51" s="299" t="s">
        <v>23</v>
      </c>
      <c r="H51" s="1228">
        <f>H50</f>
        <v>0</v>
      </c>
      <c r="I51" s="1201">
        <f>SUM(I50)</f>
        <v>30523</v>
      </c>
      <c r="J51" s="1230">
        <f>SUM(J50)</f>
        <v>30523</v>
      </c>
      <c r="K51" s="2156"/>
      <c r="L51" s="764"/>
      <c r="M51" s="764"/>
      <c r="N51" s="765"/>
    </row>
    <row r="52" spans="1:14" ht="30" customHeight="1" x14ac:dyDescent="0.2">
      <c r="A52" s="1984" t="s">
        <v>20</v>
      </c>
      <c r="B52" s="1872" t="s">
        <v>24</v>
      </c>
      <c r="C52" s="1978" t="s">
        <v>26</v>
      </c>
      <c r="D52" s="1970" t="s">
        <v>45</v>
      </c>
      <c r="E52" s="1975"/>
      <c r="F52" s="1998">
        <v>2</v>
      </c>
      <c r="G52" s="750" t="s">
        <v>22</v>
      </c>
      <c r="H52" s="1692">
        <f>136.7/3.4528*1000</f>
        <v>39591</v>
      </c>
      <c r="I52" s="1218">
        <f>140/3.4528*1000</f>
        <v>40547</v>
      </c>
      <c r="J52" s="1226">
        <f>140/3.4528*1000</f>
        <v>40547</v>
      </c>
      <c r="K52" s="766" t="s">
        <v>288</v>
      </c>
      <c r="L52" s="761">
        <v>180</v>
      </c>
      <c r="M52" s="1883">
        <v>180</v>
      </c>
      <c r="N52" s="672">
        <v>180</v>
      </c>
    </row>
    <row r="53" spans="1:14" ht="13.5" thickBot="1" x14ac:dyDescent="0.25">
      <c r="A53" s="1985"/>
      <c r="B53" s="1873"/>
      <c r="C53" s="1979"/>
      <c r="D53" s="1971"/>
      <c r="E53" s="1977"/>
      <c r="F53" s="1999"/>
      <c r="G53" s="1863" t="s">
        <v>23</v>
      </c>
      <c r="H53" s="1228">
        <f>H52</f>
        <v>39591</v>
      </c>
      <c r="I53" s="1201">
        <f>SUM(I52)</f>
        <v>40547</v>
      </c>
      <c r="J53" s="1200">
        <f>SUM(J52)</f>
        <v>40547</v>
      </c>
      <c r="K53" s="767"/>
      <c r="L53" s="768"/>
      <c r="M53" s="748"/>
      <c r="N53" s="1906"/>
    </row>
    <row r="54" spans="1:14" ht="20.25" customHeight="1" x14ac:dyDescent="0.2">
      <c r="A54" s="1988" t="s">
        <v>20</v>
      </c>
      <c r="B54" s="1959" t="s">
        <v>24</v>
      </c>
      <c r="C54" s="1986" t="s">
        <v>28</v>
      </c>
      <c r="D54" s="1970" t="s">
        <v>298</v>
      </c>
      <c r="E54" s="2392" t="s">
        <v>121</v>
      </c>
      <c r="F54" s="2042">
        <v>2</v>
      </c>
      <c r="G54" s="647" t="s">
        <v>25</v>
      </c>
      <c r="H54" s="1690">
        <v>0</v>
      </c>
      <c r="I54" s="1242">
        <f>102.5/3.4528*1000</f>
        <v>29686</v>
      </c>
      <c r="J54" s="1241"/>
      <c r="K54" s="197" t="s">
        <v>65</v>
      </c>
      <c r="L54" s="139">
        <v>2</v>
      </c>
      <c r="M54" s="139">
        <v>1</v>
      </c>
      <c r="N54" s="747"/>
    </row>
    <row r="55" spans="1:14" ht="20.25" customHeight="1" x14ac:dyDescent="0.2">
      <c r="A55" s="1990"/>
      <c r="B55" s="1960"/>
      <c r="C55" s="2000"/>
      <c r="D55" s="1980"/>
      <c r="E55" s="2324"/>
      <c r="F55" s="2043"/>
      <c r="G55" s="117"/>
      <c r="H55" s="1694"/>
      <c r="I55" s="1245"/>
      <c r="J55" s="1246"/>
      <c r="K55" s="769"/>
      <c r="L55" s="176"/>
      <c r="M55" s="176"/>
      <c r="N55" s="672"/>
    </row>
    <row r="56" spans="1:14" ht="13.5" thickBot="1" x14ac:dyDescent="0.25">
      <c r="A56" s="1989"/>
      <c r="B56" s="2010"/>
      <c r="C56" s="1987"/>
      <c r="D56" s="2394"/>
      <c r="E56" s="2359"/>
      <c r="F56" s="2395"/>
      <c r="G56" s="299" t="s">
        <v>23</v>
      </c>
      <c r="H56" s="1191">
        <f>H54</f>
        <v>0</v>
      </c>
      <c r="I56" s="1205">
        <f t="shared" ref="I56:J56" si="1">I54</f>
        <v>29686</v>
      </c>
      <c r="J56" s="1238">
        <f t="shared" si="1"/>
        <v>0</v>
      </c>
      <c r="K56" s="1904"/>
      <c r="L56" s="764"/>
      <c r="M56" s="764"/>
      <c r="N56" s="765"/>
    </row>
    <row r="57" spans="1:14" ht="16.5" customHeight="1" x14ac:dyDescent="0.2">
      <c r="A57" s="1988" t="s">
        <v>20</v>
      </c>
      <c r="B57" s="1959" t="s">
        <v>24</v>
      </c>
      <c r="C57" s="1986" t="s">
        <v>29</v>
      </c>
      <c r="D57" s="1970" t="s">
        <v>122</v>
      </c>
      <c r="E57" s="2392"/>
      <c r="F57" s="2042">
        <v>2</v>
      </c>
      <c r="G57" s="652" t="s">
        <v>25</v>
      </c>
      <c r="H57" s="1737">
        <v>0</v>
      </c>
      <c r="I57" s="1628">
        <v>110846</v>
      </c>
      <c r="J57" s="1629">
        <v>110846</v>
      </c>
      <c r="K57" s="745" t="s">
        <v>65</v>
      </c>
      <c r="L57" s="746">
        <v>34</v>
      </c>
      <c r="M57" s="746">
        <v>34</v>
      </c>
      <c r="N57" s="747">
        <v>34</v>
      </c>
    </row>
    <row r="58" spans="1:14" ht="35.25" customHeight="1" thickBot="1" x14ac:dyDescent="0.25">
      <c r="A58" s="1989"/>
      <c r="B58" s="2010"/>
      <c r="C58" s="1987"/>
      <c r="D58" s="2394"/>
      <c r="E58" s="2359"/>
      <c r="F58" s="2395"/>
      <c r="G58" s="299" t="s">
        <v>23</v>
      </c>
      <c r="H58" s="1228">
        <f>H57</f>
        <v>0</v>
      </c>
      <c r="I58" s="1201">
        <f>SUM(I57)</f>
        <v>110846</v>
      </c>
      <c r="J58" s="1230">
        <f>SUM(J57)</f>
        <v>110846</v>
      </c>
      <c r="K58" s="1904"/>
      <c r="L58" s="764"/>
      <c r="M58" s="764"/>
      <c r="N58" s="765"/>
    </row>
    <row r="59" spans="1:14" ht="16.5" customHeight="1" x14ac:dyDescent="0.2">
      <c r="A59" s="1984" t="s">
        <v>20</v>
      </c>
      <c r="B59" s="1872" t="s">
        <v>24</v>
      </c>
      <c r="C59" s="1978" t="s">
        <v>30</v>
      </c>
      <c r="D59" s="1970" t="s">
        <v>251</v>
      </c>
      <c r="E59" s="2392"/>
      <c r="F59" s="1998">
        <v>2</v>
      </c>
      <c r="G59" s="750" t="s">
        <v>22</v>
      </c>
      <c r="H59" s="1692">
        <f>30/3.4528*1000</f>
        <v>8689</v>
      </c>
      <c r="I59" s="1218">
        <f>30/3.4528*1000</f>
        <v>8689</v>
      </c>
      <c r="J59" s="1226">
        <f>30/3.4528*1000</f>
        <v>8689</v>
      </c>
      <c r="K59" s="766" t="s">
        <v>138</v>
      </c>
      <c r="L59" s="678">
        <v>5000</v>
      </c>
      <c r="M59" s="770">
        <v>5000</v>
      </c>
      <c r="N59" s="806">
        <v>5000</v>
      </c>
    </row>
    <row r="60" spans="1:14" ht="13.5" thickBot="1" x14ac:dyDescent="0.25">
      <c r="A60" s="1985"/>
      <c r="B60" s="1873"/>
      <c r="C60" s="1979"/>
      <c r="D60" s="1971"/>
      <c r="E60" s="2393"/>
      <c r="F60" s="1999"/>
      <c r="G60" s="1863" t="s">
        <v>23</v>
      </c>
      <c r="H60" s="1228">
        <f>H59</f>
        <v>8689</v>
      </c>
      <c r="I60" s="1201">
        <f>SUM(I59)</f>
        <v>8689</v>
      </c>
      <c r="J60" s="1200">
        <f>SUM(J59)</f>
        <v>8689</v>
      </c>
      <c r="K60" s="767"/>
      <c r="L60" s="768"/>
      <c r="M60" s="748"/>
      <c r="N60" s="1906"/>
    </row>
    <row r="61" spans="1:14" ht="41.25" customHeight="1" x14ac:dyDescent="0.2">
      <c r="A61" s="1984" t="s">
        <v>20</v>
      </c>
      <c r="B61" s="1872" t="s">
        <v>24</v>
      </c>
      <c r="C61" s="1978" t="s">
        <v>55</v>
      </c>
      <c r="D61" s="2474" t="s">
        <v>260</v>
      </c>
      <c r="E61" s="2392" t="s">
        <v>131</v>
      </c>
      <c r="F61" s="1998">
        <v>2</v>
      </c>
      <c r="G61" s="750" t="s">
        <v>22</v>
      </c>
      <c r="H61" s="1692">
        <f>438.6/3.4528*1000-30283</f>
        <v>96744</v>
      </c>
      <c r="I61" s="1218">
        <f>295.5/3.4528*1000+30283</f>
        <v>115866</v>
      </c>
      <c r="J61" s="1226"/>
      <c r="K61" s="2265" t="s">
        <v>206</v>
      </c>
      <c r="L61" s="761">
        <f>24+29</f>
        <v>53</v>
      </c>
      <c r="M61" s="1883">
        <v>25</v>
      </c>
      <c r="N61" s="672"/>
    </row>
    <row r="62" spans="1:14" ht="17.25" customHeight="1" thickBot="1" x14ac:dyDescent="0.25">
      <c r="A62" s="1985"/>
      <c r="B62" s="1873"/>
      <c r="C62" s="1979"/>
      <c r="D62" s="2475"/>
      <c r="E62" s="2393"/>
      <c r="F62" s="1999"/>
      <c r="G62" s="1863" t="s">
        <v>23</v>
      </c>
      <c r="H62" s="1228">
        <f>H61</f>
        <v>96744</v>
      </c>
      <c r="I62" s="1201">
        <f>SUM(I61)</f>
        <v>115866</v>
      </c>
      <c r="J62" s="1200"/>
      <c r="K62" s="2266"/>
      <c r="L62" s="768"/>
      <c r="M62" s="748"/>
      <c r="N62" s="1906"/>
    </row>
    <row r="63" spans="1:14" ht="13.5" thickBot="1" x14ac:dyDescent="0.25">
      <c r="A63" s="15" t="s">
        <v>20</v>
      </c>
      <c r="B63" s="14" t="s">
        <v>24</v>
      </c>
      <c r="C63" s="2029" t="s">
        <v>27</v>
      </c>
      <c r="D63" s="2029"/>
      <c r="E63" s="2029"/>
      <c r="F63" s="2029"/>
      <c r="G63" s="2029"/>
      <c r="H63" s="1212">
        <f>H62+H60+H58+H56+H53+H51+H49</f>
        <v>163965</v>
      </c>
      <c r="I63" s="1251">
        <f>I53+I58+I56+I51+I49+I60+I62</f>
        <v>355098</v>
      </c>
      <c r="J63" s="1252">
        <f t="shared" ref="J63" si="2">J53+J58+J56+J51+J49+J60+J62</f>
        <v>209546</v>
      </c>
      <c r="K63" s="1868"/>
      <c r="L63" s="2386"/>
      <c r="M63" s="2386"/>
      <c r="N63" s="2387"/>
    </row>
    <row r="64" spans="1:14" ht="13.5" thickBot="1" x14ac:dyDescent="0.25">
      <c r="A64" s="15" t="s">
        <v>20</v>
      </c>
      <c r="B64" s="2388" t="s">
        <v>10</v>
      </c>
      <c r="C64" s="2131"/>
      <c r="D64" s="2131"/>
      <c r="E64" s="2131"/>
      <c r="F64" s="2131"/>
      <c r="G64" s="2131"/>
      <c r="H64" s="1253">
        <f>H63+H46</f>
        <v>59001898</v>
      </c>
      <c r="I64" s="1255">
        <f>I63+I46</f>
        <v>56894914</v>
      </c>
      <c r="J64" s="1256">
        <f t="shared" ref="J64" si="3">J63+J46</f>
        <v>56749362</v>
      </c>
      <c r="K64" s="2389"/>
      <c r="L64" s="2390"/>
      <c r="M64" s="2390"/>
      <c r="N64" s="2391"/>
    </row>
    <row r="65" spans="1:16" ht="13.5" thickBot="1" x14ac:dyDescent="0.25">
      <c r="A65" s="1864" t="s">
        <v>24</v>
      </c>
      <c r="B65" s="1964" t="s">
        <v>56</v>
      </c>
      <c r="C65" s="1965"/>
      <c r="D65" s="1965"/>
      <c r="E65" s="1965"/>
      <c r="F65" s="1965"/>
      <c r="G65" s="1965"/>
      <c r="H65" s="1965"/>
      <c r="I65" s="1965"/>
      <c r="J65" s="1965"/>
      <c r="K65" s="1965"/>
      <c r="L65" s="1965"/>
      <c r="M65" s="1965"/>
      <c r="N65" s="1966"/>
    </row>
    <row r="66" spans="1:16" ht="13.5" thickBot="1" x14ac:dyDescent="0.25">
      <c r="A66" s="23" t="s">
        <v>24</v>
      </c>
      <c r="B66" s="17" t="s">
        <v>20</v>
      </c>
      <c r="C66" s="2384" t="s">
        <v>47</v>
      </c>
      <c r="D66" s="2247"/>
      <c r="E66" s="2247"/>
      <c r="F66" s="2247"/>
      <c r="G66" s="2247"/>
      <c r="H66" s="2247"/>
      <c r="I66" s="2247"/>
      <c r="J66" s="2247"/>
      <c r="K66" s="2247"/>
      <c r="L66" s="2247"/>
      <c r="M66" s="2247"/>
      <c r="N66" s="2248"/>
    </row>
    <row r="67" spans="1:16" ht="25.5" x14ac:dyDescent="0.2">
      <c r="A67" s="1870" t="s">
        <v>24</v>
      </c>
      <c r="B67" s="1872" t="s">
        <v>20</v>
      </c>
      <c r="C67" s="1901" t="s">
        <v>20</v>
      </c>
      <c r="D67" s="127" t="s">
        <v>57</v>
      </c>
      <c r="E67" s="249"/>
      <c r="F67" s="125"/>
      <c r="G67" s="29"/>
      <c r="H67" s="1738"/>
      <c r="I67" s="1218"/>
      <c r="J67" s="1257"/>
      <c r="K67" s="67"/>
      <c r="L67" s="674"/>
      <c r="M67" s="87"/>
      <c r="N67" s="675"/>
    </row>
    <row r="68" spans="1:16" s="4" customFormat="1" ht="14.25" customHeight="1" x14ac:dyDescent="0.2">
      <c r="A68" s="1885"/>
      <c r="B68" s="1859"/>
      <c r="C68" s="1867"/>
      <c r="D68" s="1957" t="s">
        <v>354</v>
      </c>
      <c r="E68" s="1900" t="s">
        <v>4</v>
      </c>
      <c r="F68" s="222">
        <v>5</v>
      </c>
      <c r="G68" s="1729" t="s">
        <v>22</v>
      </c>
      <c r="H68" s="1739">
        <v>266856</v>
      </c>
      <c r="I68" s="1262"/>
      <c r="J68" s="1263"/>
      <c r="K68" s="1951" t="s">
        <v>101</v>
      </c>
      <c r="L68" s="149"/>
      <c r="M68" s="88"/>
      <c r="N68" s="1622"/>
      <c r="O68" s="1634"/>
      <c r="P68" s="1634"/>
    </row>
    <row r="69" spans="1:16" s="4" customFormat="1" ht="14.25" customHeight="1" x14ac:dyDescent="0.2">
      <c r="A69" s="1885"/>
      <c r="B69" s="1859"/>
      <c r="C69" s="1867"/>
      <c r="D69" s="1955"/>
      <c r="E69" s="1929"/>
      <c r="F69" s="223"/>
      <c r="G69" s="1730" t="s">
        <v>53</v>
      </c>
      <c r="H69" s="1739">
        <v>158937</v>
      </c>
      <c r="I69" s="1262"/>
      <c r="J69" s="1263"/>
      <c r="K69" s="2064"/>
      <c r="L69" s="676"/>
      <c r="M69" s="89"/>
      <c r="N69" s="1623"/>
    </row>
    <row r="70" spans="1:16" s="4" customFormat="1" ht="14.25" customHeight="1" x14ac:dyDescent="0.2">
      <c r="A70" s="1885"/>
      <c r="B70" s="1859"/>
      <c r="C70" s="1867"/>
      <c r="D70" s="1955"/>
      <c r="E70" s="1929"/>
      <c r="F70" s="223"/>
      <c r="G70" s="1730" t="s">
        <v>6</v>
      </c>
      <c r="H70" s="1740">
        <f>1102.9/3.4528*1000</f>
        <v>319422</v>
      </c>
      <c r="I70" s="1728"/>
      <c r="J70" s="1277"/>
      <c r="K70" s="2064"/>
      <c r="L70" s="772">
        <v>100</v>
      </c>
      <c r="M70" s="773"/>
      <c r="N70" s="1623"/>
    </row>
    <row r="71" spans="1:16" s="4" customFormat="1" x14ac:dyDescent="0.2">
      <c r="A71" s="1885"/>
      <c r="B71" s="1859"/>
      <c r="C71" s="1867"/>
      <c r="D71" s="1955"/>
      <c r="E71" s="1907"/>
      <c r="F71" s="156"/>
      <c r="G71" s="1731" t="s">
        <v>23</v>
      </c>
      <c r="H71" s="1274">
        <f>SUM(H68:H70)</f>
        <v>745215</v>
      </c>
      <c r="I71" s="1274"/>
      <c r="J71" s="1273"/>
      <c r="K71" s="68"/>
      <c r="L71" s="90"/>
      <c r="M71" s="91"/>
      <c r="N71" s="103"/>
    </row>
    <row r="72" spans="1:16" s="4" customFormat="1" ht="14.25" customHeight="1" x14ac:dyDescent="0.2">
      <c r="A72" s="1885"/>
      <c r="B72" s="1859"/>
      <c r="C72" s="1867"/>
      <c r="D72" s="1957" t="s">
        <v>198</v>
      </c>
      <c r="E72" s="1900" t="s">
        <v>4</v>
      </c>
      <c r="F72" s="222">
        <v>5</v>
      </c>
      <c r="G72" s="1730" t="s">
        <v>53</v>
      </c>
      <c r="H72" s="1740">
        <v>7183</v>
      </c>
      <c r="I72" s="1262"/>
      <c r="J72" s="1263"/>
      <c r="K72" s="2455" t="s">
        <v>326</v>
      </c>
      <c r="L72" s="1607">
        <v>100</v>
      </c>
      <c r="M72" s="88"/>
      <c r="N72" s="1622"/>
      <c r="O72" s="1634"/>
    </row>
    <row r="73" spans="1:16" s="4" customFormat="1" ht="14.25" customHeight="1" x14ac:dyDescent="0.2">
      <c r="A73" s="1885"/>
      <c r="B73" s="1859"/>
      <c r="C73" s="1867"/>
      <c r="D73" s="1955"/>
      <c r="E73" s="1900" t="s">
        <v>58</v>
      </c>
      <c r="F73" s="223"/>
      <c r="G73" s="1729" t="s">
        <v>22</v>
      </c>
      <c r="H73" s="1739">
        <v>2259</v>
      </c>
      <c r="I73" s="1728"/>
      <c r="J73" s="1277"/>
      <c r="K73" s="2456"/>
      <c r="L73" s="529"/>
      <c r="M73" s="89"/>
      <c r="N73" s="1623"/>
    </row>
    <row r="74" spans="1:16" s="4" customFormat="1" x14ac:dyDescent="0.2">
      <c r="A74" s="1885"/>
      <c r="B74" s="1859"/>
      <c r="C74" s="1867"/>
      <c r="D74" s="1955"/>
      <c r="E74" s="1907"/>
      <c r="F74" s="156"/>
      <c r="G74" s="1731" t="s">
        <v>23</v>
      </c>
      <c r="H74" s="1274">
        <f>SUM(H72:H73)</f>
        <v>9442</v>
      </c>
      <c r="I74" s="1274"/>
      <c r="J74" s="1273"/>
      <c r="K74" s="68"/>
      <c r="L74" s="1605"/>
      <c r="M74" s="591"/>
      <c r="N74" s="1623"/>
    </row>
    <row r="75" spans="1:16" s="4" customFormat="1" ht="14.25" customHeight="1" x14ac:dyDescent="0.2">
      <c r="A75" s="1885"/>
      <c r="B75" s="1859"/>
      <c r="C75" s="1867"/>
      <c r="D75" s="1957" t="s">
        <v>335</v>
      </c>
      <c r="E75" s="1900" t="s">
        <v>4</v>
      </c>
      <c r="F75" s="222">
        <v>5</v>
      </c>
      <c r="G75" s="1729" t="s">
        <v>22</v>
      </c>
      <c r="H75" s="1739">
        <v>3633</v>
      </c>
      <c r="I75" s="1262"/>
      <c r="J75" s="1263"/>
      <c r="K75" s="2455" t="s">
        <v>326</v>
      </c>
      <c r="L75" s="1607">
        <v>100</v>
      </c>
      <c r="M75" s="88"/>
      <c r="N75" s="1622"/>
      <c r="O75" s="1634"/>
    </row>
    <row r="76" spans="1:16" s="4" customFormat="1" x14ac:dyDescent="0.2">
      <c r="A76" s="1885"/>
      <c r="B76" s="1859"/>
      <c r="C76" s="1867"/>
      <c r="D76" s="1955"/>
      <c r="E76" s="1899" t="s">
        <v>58</v>
      </c>
      <c r="F76" s="156"/>
      <c r="G76" s="1731" t="s">
        <v>23</v>
      </c>
      <c r="H76" s="1274">
        <f>SUM(H75:H75)</f>
        <v>3633</v>
      </c>
      <c r="I76" s="1274"/>
      <c r="J76" s="1273"/>
      <c r="K76" s="2456"/>
      <c r="L76" s="1605"/>
      <c r="M76" s="591"/>
      <c r="N76" s="1623"/>
    </row>
    <row r="77" spans="1:16" s="4" customFormat="1" ht="14.25" customHeight="1" x14ac:dyDescent="0.2">
      <c r="A77" s="1885"/>
      <c r="B77" s="1859"/>
      <c r="C77" s="1867"/>
      <c r="D77" s="1957" t="s">
        <v>341</v>
      </c>
      <c r="E77" s="1900" t="s">
        <v>4</v>
      </c>
      <c r="F77" s="222">
        <v>5</v>
      </c>
      <c r="G77" s="1729" t="s">
        <v>22</v>
      </c>
      <c r="H77" s="1739">
        <v>8592</v>
      </c>
      <c r="I77" s="1262"/>
      <c r="J77" s="1263"/>
      <c r="K77" s="2455"/>
      <c r="L77" s="1607"/>
      <c r="M77" s="88"/>
      <c r="N77" s="1622"/>
      <c r="O77" s="1634"/>
    </row>
    <row r="78" spans="1:16" s="4" customFormat="1" x14ac:dyDescent="0.2">
      <c r="A78" s="1885"/>
      <c r="B78" s="1859"/>
      <c r="C78" s="1867"/>
      <c r="D78" s="1955"/>
      <c r="E78" s="1899" t="s">
        <v>58</v>
      </c>
      <c r="F78" s="156"/>
      <c r="G78" s="1731" t="s">
        <v>23</v>
      </c>
      <c r="H78" s="1274">
        <f>SUM(H77:H77)</f>
        <v>8592</v>
      </c>
      <c r="I78" s="1274"/>
      <c r="J78" s="1273"/>
      <c r="K78" s="2456"/>
      <c r="L78" s="1605"/>
      <c r="M78" s="591"/>
      <c r="N78" s="1623"/>
    </row>
    <row r="79" spans="1:16" ht="13.5" customHeight="1" thickBot="1" x14ac:dyDescent="0.25">
      <c r="A79" s="1866"/>
      <c r="B79" s="1859"/>
      <c r="C79" s="1867"/>
      <c r="D79" s="1698"/>
      <c r="E79" s="2463" t="s">
        <v>210</v>
      </c>
      <c r="F79" s="2464"/>
      <c r="G79" s="2464"/>
      <c r="H79" s="1201">
        <f>H74+H71+H76+H78</f>
        <v>766882</v>
      </c>
      <c r="I79" s="1201">
        <f>I71+I74+I76</f>
        <v>0</v>
      </c>
      <c r="J79" s="1201">
        <f>J71+J68</f>
        <v>0</v>
      </c>
      <c r="K79" s="1561"/>
      <c r="L79" s="619"/>
      <c r="M79" s="81"/>
      <c r="N79" s="646"/>
    </row>
    <row r="80" spans="1:16" ht="26.25" customHeight="1" x14ac:dyDescent="0.2">
      <c r="A80" s="1870" t="s">
        <v>24</v>
      </c>
      <c r="B80" s="1872" t="s">
        <v>20</v>
      </c>
      <c r="C80" s="1901" t="s">
        <v>24</v>
      </c>
      <c r="D80" s="870" t="s">
        <v>224</v>
      </c>
      <c r="E80" s="863" t="s">
        <v>58</v>
      </c>
      <c r="F80" s="125">
        <v>5</v>
      </c>
      <c r="G80" s="29"/>
      <c r="H80" s="1738"/>
      <c r="I80" s="1562"/>
      <c r="J80" s="1218"/>
      <c r="K80" s="1663" t="s">
        <v>315</v>
      </c>
      <c r="L80" s="162">
        <v>5</v>
      </c>
      <c r="M80" s="1664"/>
      <c r="N80" s="675"/>
    </row>
    <row r="81" spans="1:14" ht="29.25" customHeight="1" x14ac:dyDescent="0.2">
      <c r="A81" s="1885"/>
      <c r="B81" s="1859"/>
      <c r="C81" s="1891"/>
      <c r="D81" s="2030" t="s">
        <v>317</v>
      </c>
      <c r="E81" s="1929"/>
      <c r="F81" s="223"/>
      <c r="G81" s="118" t="s">
        <v>22</v>
      </c>
      <c r="H81" s="1741">
        <v>7190</v>
      </c>
      <c r="I81" s="1415">
        <v>212467</v>
      </c>
      <c r="J81" s="1249"/>
      <c r="K81" s="1879" t="s">
        <v>332</v>
      </c>
      <c r="L81" s="676"/>
      <c r="M81" s="89">
        <v>5</v>
      </c>
      <c r="N81" s="1617"/>
    </row>
    <row r="82" spans="1:14" ht="14.25" customHeight="1" x14ac:dyDescent="0.2">
      <c r="A82" s="1885"/>
      <c r="B82" s="1859"/>
      <c r="C82" s="1891"/>
      <c r="D82" s="2030"/>
      <c r="E82" s="1929"/>
      <c r="F82" s="223"/>
      <c r="G82" s="173" t="s">
        <v>6</v>
      </c>
      <c r="H82" s="1742"/>
      <c r="I82" s="1258"/>
      <c r="J82" s="1276">
        <v>3005503</v>
      </c>
      <c r="K82" s="1630" t="s">
        <v>331</v>
      </c>
      <c r="L82" s="1878"/>
      <c r="M82" s="1878">
        <v>5</v>
      </c>
      <c r="N82" s="1617"/>
    </row>
    <row r="83" spans="1:14" ht="14.25" customHeight="1" x14ac:dyDescent="0.2">
      <c r="A83" s="1866"/>
      <c r="B83" s="1859"/>
      <c r="C83" s="1891"/>
      <c r="D83" s="2385"/>
      <c r="E83" s="1929"/>
      <c r="F83" s="223"/>
      <c r="G83" s="704" t="s">
        <v>23</v>
      </c>
      <c r="H83" s="1602">
        <f>SUM(H81:H82)</f>
        <v>7190</v>
      </c>
      <c r="I83" s="1303">
        <f>SUM(I81:I82)</f>
        <v>212467</v>
      </c>
      <c r="J83" s="1602">
        <f>SUM(J81:J82)</f>
        <v>3005503</v>
      </c>
      <c r="K83" s="1630" t="s">
        <v>316</v>
      </c>
      <c r="L83" s="1878"/>
      <c r="M83" s="1878"/>
      <c r="N83" s="1617">
        <v>75</v>
      </c>
    </row>
    <row r="84" spans="1:14" ht="27" customHeight="1" x14ac:dyDescent="0.2">
      <c r="A84" s="1866"/>
      <c r="B84" s="1859"/>
      <c r="C84" s="2164"/>
      <c r="D84" s="2358" t="s">
        <v>156</v>
      </c>
      <c r="E84" s="703"/>
      <c r="F84" s="2476"/>
      <c r="G84" s="908" t="s">
        <v>22</v>
      </c>
      <c r="H84" s="1743">
        <v>23474</v>
      </c>
      <c r="I84" s="1149">
        <f>62.3/3.4528*1000</f>
        <v>18043</v>
      </c>
      <c r="J84" s="1150"/>
      <c r="K84" s="1564" t="s">
        <v>158</v>
      </c>
      <c r="L84" s="1926">
        <v>1</v>
      </c>
      <c r="M84" s="1926"/>
      <c r="N84" s="99"/>
    </row>
    <row r="85" spans="1:14" x14ac:dyDescent="0.2">
      <c r="A85" s="1866"/>
      <c r="B85" s="1859"/>
      <c r="C85" s="2164"/>
      <c r="D85" s="2030"/>
      <c r="E85" s="865"/>
      <c r="F85" s="2327"/>
      <c r="G85" s="173" t="s">
        <v>5</v>
      </c>
      <c r="H85" s="1742"/>
      <c r="I85" s="1258">
        <f>388.9/3.4528*1000</f>
        <v>112633</v>
      </c>
      <c r="J85" s="1276">
        <f>388.9/3.4528*1000</f>
        <v>112633</v>
      </c>
      <c r="K85" s="1565" t="s">
        <v>273</v>
      </c>
      <c r="L85" s="676">
        <v>50</v>
      </c>
      <c r="M85" s="89">
        <v>50</v>
      </c>
      <c r="N85" s="622"/>
    </row>
    <row r="86" spans="1:14" ht="13.5" customHeight="1" x14ac:dyDescent="0.2">
      <c r="A86" s="1866"/>
      <c r="B86" s="1859"/>
      <c r="C86" s="2164"/>
      <c r="D86" s="2030"/>
      <c r="E86" s="913"/>
      <c r="F86" s="2327"/>
      <c r="G86" s="686" t="s">
        <v>23</v>
      </c>
      <c r="H86" s="1513">
        <f>SUM(H84:H85)</f>
        <v>23474</v>
      </c>
      <c r="I86" s="1563">
        <f>SUM(I84:I85)</f>
        <v>130676</v>
      </c>
      <c r="J86" s="1301">
        <f>SUM(J84:J85)</f>
        <v>112633</v>
      </c>
      <c r="K86" s="1566"/>
      <c r="L86" s="676"/>
      <c r="M86" s="89"/>
      <c r="N86" s="622"/>
    </row>
    <row r="87" spans="1:14" ht="13.5" customHeight="1" thickBot="1" x14ac:dyDescent="0.25">
      <c r="A87" s="1865"/>
      <c r="B87" s="1873"/>
      <c r="C87" s="2299"/>
      <c r="D87" s="2020"/>
      <c r="E87" s="2463" t="s">
        <v>210</v>
      </c>
      <c r="F87" s="2464"/>
      <c r="G87" s="2464"/>
      <c r="H87" s="1201">
        <f>H86+H83</f>
        <v>30664</v>
      </c>
      <c r="I87" s="1201">
        <f>I86+I83</f>
        <v>343143</v>
      </c>
      <c r="J87" s="1201">
        <f>J86+J83</f>
        <v>3118136</v>
      </c>
      <c r="K87" s="1561"/>
      <c r="L87" s="619"/>
      <c r="M87" s="81"/>
      <c r="N87" s="646"/>
    </row>
    <row r="88" spans="1:14" ht="25.5" x14ac:dyDescent="0.2">
      <c r="A88" s="1885" t="s">
        <v>24</v>
      </c>
      <c r="B88" s="1859" t="s">
        <v>20</v>
      </c>
      <c r="C88" s="1891" t="s">
        <v>26</v>
      </c>
      <c r="D88" s="128" t="s">
        <v>46</v>
      </c>
      <c r="E88" s="251"/>
      <c r="F88" s="152"/>
      <c r="G88" s="1615"/>
      <c r="H88" s="1700"/>
      <c r="I88" s="1249"/>
      <c r="J88" s="1568"/>
      <c r="K88" s="774"/>
      <c r="L88" s="674"/>
      <c r="M88" s="775"/>
      <c r="N88" s="675"/>
    </row>
    <row r="89" spans="1:14" ht="12.75" customHeight="1" x14ac:dyDescent="0.2">
      <c r="A89" s="1885"/>
      <c r="B89" s="1859"/>
      <c r="C89" s="1891"/>
      <c r="D89" s="1955" t="s">
        <v>69</v>
      </c>
      <c r="E89" s="251" t="s">
        <v>4</v>
      </c>
      <c r="F89" s="152">
        <v>5</v>
      </c>
      <c r="G89" s="12" t="s">
        <v>22</v>
      </c>
      <c r="H89" s="1701">
        <v>164651</v>
      </c>
      <c r="I89" s="1276"/>
      <c r="J89" s="1670"/>
      <c r="K89" s="2374" t="s">
        <v>152</v>
      </c>
      <c r="L89" s="1911"/>
      <c r="M89" s="115"/>
      <c r="N89" s="99"/>
    </row>
    <row r="90" spans="1:14" s="4" customFormat="1" x14ac:dyDescent="0.2">
      <c r="A90" s="1885"/>
      <c r="B90" s="1859"/>
      <c r="C90" s="1867"/>
      <c r="D90" s="1955"/>
      <c r="E90" s="1929"/>
      <c r="F90" s="223"/>
      <c r="G90" s="171" t="s">
        <v>53</v>
      </c>
      <c r="H90" s="1701">
        <v>1680</v>
      </c>
      <c r="I90" s="1262"/>
      <c r="J90" s="1302"/>
      <c r="K90" s="2375"/>
      <c r="L90" s="1912"/>
      <c r="M90" s="82"/>
      <c r="N90" s="622"/>
    </row>
    <row r="91" spans="1:14" s="4" customFormat="1" x14ac:dyDescent="0.2">
      <c r="A91" s="1885"/>
      <c r="B91" s="1859"/>
      <c r="C91" s="1867"/>
      <c r="D91" s="1955"/>
      <c r="E91" s="1929"/>
      <c r="F91" s="223"/>
      <c r="G91" s="1621" t="s">
        <v>5</v>
      </c>
      <c r="H91" s="1703"/>
      <c r="I91" s="1150"/>
      <c r="J91" s="1302"/>
      <c r="K91" s="2375"/>
      <c r="L91" s="1912"/>
      <c r="M91" s="82"/>
      <c r="N91" s="622"/>
    </row>
    <row r="92" spans="1:14" s="4" customFormat="1" x14ac:dyDescent="0.2">
      <c r="A92" s="1885"/>
      <c r="B92" s="1859"/>
      <c r="C92" s="1867"/>
      <c r="D92" s="1955"/>
      <c r="E92" s="1929"/>
      <c r="F92" s="223"/>
      <c r="G92" s="1621" t="s">
        <v>6</v>
      </c>
      <c r="H92" s="1703">
        <v>7443</v>
      </c>
      <c r="I92" s="1276"/>
      <c r="J92" s="1670"/>
      <c r="K92" s="2375"/>
      <c r="L92" s="1912"/>
      <c r="M92" s="82"/>
      <c r="N92" s="622"/>
    </row>
    <row r="93" spans="1:14" s="4" customFormat="1" x14ac:dyDescent="0.2">
      <c r="A93" s="1885"/>
      <c r="B93" s="1859"/>
      <c r="C93" s="1867"/>
      <c r="D93" s="130"/>
      <c r="E93" s="1907"/>
      <c r="F93" s="156"/>
      <c r="G93" s="343" t="s">
        <v>23</v>
      </c>
      <c r="H93" s="1286">
        <f>SUM(H89:H92)</f>
        <v>173774</v>
      </c>
      <c r="I93" s="1301"/>
      <c r="J93" s="1288"/>
      <c r="K93" s="2375"/>
      <c r="L93" s="1912">
        <v>100</v>
      </c>
      <c r="M93" s="82"/>
      <c r="N93" s="622"/>
    </row>
    <row r="94" spans="1:14" ht="17.25" customHeight="1" x14ac:dyDescent="0.2">
      <c r="A94" s="1885"/>
      <c r="B94" s="1859"/>
      <c r="C94" s="1891"/>
      <c r="D94" s="1957" t="s">
        <v>304</v>
      </c>
      <c r="E94" s="467" t="s">
        <v>4</v>
      </c>
      <c r="F94" s="223">
        <v>5</v>
      </c>
      <c r="G94" s="1614" t="s">
        <v>22</v>
      </c>
      <c r="H94" s="1703">
        <v>323288</v>
      </c>
      <c r="I94" s="1262"/>
      <c r="J94" s="1302"/>
      <c r="K94" s="1937" t="s">
        <v>158</v>
      </c>
      <c r="L94" s="1926" t="s">
        <v>275</v>
      </c>
      <c r="M94" s="915"/>
      <c r="N94" s="916"/>
    </row>
    <row r="95" spans="1:14" ht="25.5" x14ac:dyDescent="0.2">
      <c r="A95" s="1885"/>
      <c r="B95" s="1859"/>
      <c r="C95" s="1891"/>
      <c r="D95" s="1955"/>
      <c r="E95" s="468"/>
      <c r="F95" s="223"/>
      <c r="G95" s="382" t="s">
        <v>23</v>
      </c>
      <c r="H95" s="1303">
        <f>H94</f>
        <v>323288</v>
      </c>
      <c r="I95" s="1274"/>
      <c r="J95" s="1271"/>
      <c r="K95" s="917" t="s">
        <v>225</v>
      </c>
      <c r="L95" s="918">
        <v>100</v>
      </c>
      <c r="M95" s="919"/>
      <c r="N95" s="920"/>
    </row>
    <row r="96" spans="1:14" ht="30.75" customHeight="1" x14ac:dyDescent="0.2">
      <c r="A96" s="1885"/>
      <c r="B96" s="1859"/>
      <c r="C96" s="1891"/>
      <c r="D96" s="2376" t="s">
        <v>305</v>
      </c>
      <c r="E96" s="467" t="s">
        <v>4</v>
      </c>
      <c r="F96" s="222">
        <v>5</v>
      </c>
      <c r="G96" s="1614" t="s">
        <v>22</v>
      </c>
      <c r="H96" s="1703"/>
      <c r="I96" s="1262">
        <f>60/3.4528*1000</f>
        <v>17377</v>
      </c>
      <c r="J96" s="1263">
        <f>150/3.4528*1000</f>
        <v>43443</v>
      </c>
      <c r="K96" s="1734" t="s">
        <v>333</v>
      </c>
      <c r="L96" s="1669"/>
      <c r="M96" s="1669"/>
      <c r="N96" s="1671">
        <v>1</v>
      </c>
    </row>
    <row r="97" spans="1:15" ht="17.25" customHeight="1" x14ac:dyDescent="0.2">
      <c r="A97" s="1866"/>
      <c r="B97" s="1859"/>
      <c r="C97" s="463"/>
      <c r="D97" s="1992"/>
      <c r="E97" s="468"/>
      <c r="F97" s="223"/>
      <c r="G97" s="343" t="s">
        <v>23</v>
      </c>
      <c r="H97" s="1286"/>
      <c r="I97" s="1306">
        <f>SUM(I96)</f>
        <v>17377</v>
      </c>
      <c r="J97" s="1665">
        <f>SUM(J96)</f>
        <v>43443</v>
      </c>
      <c r="K97" s="2478" t="s">
        <v>158</v>
      </c>
      <c r="L97" s="1666"/>
      <c r="M97" s="1666"/>
      <c r="N97" s="1567">
        <v>1</v>
      </c>
    </row>
    <row r="98" spans="1:15" ht="13.5" thickBot="1" x14ac:dyDescent="0.25">
      <c r="A98" s="1865"/>
      <c r="B98" s="1873"/>
      <c r="C98" s="1913"/>
      <c r="D98" s="2377"/>
      <c r="E98" s="1981" t="s">
        <v>210</v>
      </c>
      <c r="F98" s="1982"/>
      <c r="G98" s="1983"/>
      <c r="H98" s="1228">
        <f>H97+H95+H93</f>
        <v>497062</v>
      </c>
      <c r="I98" s="1205">
        <f>I97+I95+I93</f>
        <v>17377</v>
      </c>
      <c r="J98" s="1247">
        <f>J97+J95+J93</f>
        <v>43443</v>
      </c>
      <c r="K98" s="2479"/>
      <c r="L98" s="1667"/>
      <c r="M98" s="1667"/>
      <c r="N98" s="1668"/>
    </row>
    <row r="99" spans="1:15" ht="12.75" customHeight="1" x14ac:dyDescent="0.2">
      <c r="A99" s="1870" t="s">
        <v>24</v>
      </c>
      <c r="B99" s="1872" t="s">
        <v>20</v>
      </c>
      <c r="C99" s="888" t="s">
        <v>28</v>
      </c>
      <c r="D99" s="2019" t="s">
        <v>259</v>
      </c>
      <c r="E99" s="2369" t="s">
        <v>125</v>
      </c>
      <c r="F99" s="2354">
        <v>2</v>
      </c>
      <c r="G99" s="1619" t="s">
        <v>22</v>
      </c>
      <c r="H99" s="1699">
        <f>50/3.4528*1000</f>
        <v>14481</v>
      </c>
      <c r="I99" s="1314"/>
      <c r="J99" s="1314"/>
      <c r="K99" s="2356" t="s">
        <v>65</v>
      </c>
      <c r="L99" s="776">
        <v>3</v>
      </c>
      <c r="M99" s="777"/>
      <c r="N99" s="675"/>
    </row>
    <row r="100" spans="1:15" ht="23.25" customHeight="1" x14ac:dyDescent="0.2">
      <c r="A100" s="1885"/>
      <c r="B100" s="1859"/>
      <c r="C100" s="186"/>
      <c r="D100" s="2030"/>
      <c r="E100" s="2370"/>
      <c r="F100" s="2355"/>
      <c r="G100" s="1615"/>
      <c r="H100" s="1700"/>
      <c r="I100" s="1158"/>
      <c r="J100" s="1158"/>
      <c r="K100" s="2357"/>
      <c r="L100" s="1912"/>
      <c r="M100" s="82"/>
      <c r="N100" s="622"/>
    </row>
    <row r="101" spans="1:15" ht="13.5" thickBot="1" x14ac:dyDescent="0.25">
      <c r="A101" s="1885"/>
      <c r="B101" s="1859"/>
      <c r="C101" s="186"/>
      <c r="D101" s="2020"/>
      <c r="E101" s="781" t="s">
        <v>313</v>
      </c>
      <c r="F101" s="2371"/>
      <c r="G101" s="299" t="s">
        <v>23</v>
      </c>
      <c r="H101" s="1191">
        <f>H99</f>
        <v>14481</v>
      </c>
      <c r="I101" s="1205"/>
      <c r="J101" s="1205"/>
      <c r="K101" s="2372"/>
      <c r="L101" s="79"/>
      <c r="M101" s="1620"/>
      <c r="N101" s="646"/>
    </row>
    <row r="102" spans="1:15" ht="27" customHeight="1" x14ac:dyDescent="0.2">
      <c r="A102" s="1870" t="s">
        <v>24</v>
      </c>
      <c r="B102" s="1872" t="s">
        <v>20</v>
      </c>
      <c r="C102" s="888" t="s">
        <v>29</v>
      </c>
      <c r="D102" s="1746" t="s">
        <v>342</v>
      </c>
      <c r="E102" s="2025"/>
      <c r="F102" s="2354">
        <v>2</v>
      </c>
      <c r="G102" s="1619"/>
      <c r="H102" s="1699"/>
      <c r="I102" s="1319"/>
      <c r="J102" s="1314"/>
      <c r="K102" s="1748"/>
      <c r="L102" s="776"/>
      <c r="M102" s="777"/>
      <c r="N102" s="675"/>
    </row>
    <row r="103" spans="1:15" ht="42" customHeight="1" x14ac:dyDescent="0.2">
      <c r="A103" s="1885"/>
      <c r="B103" s="1859"/>
      <c r="C103" s="186"/>
      <c r="D103" s="1755" t="s">
        <v>337</v>
      </c>
      <c r="E103" s="2026"/>
      <c r="F103" s="2355"/>
      <c r="G103" s="12" t="s">
        <v>22</v>
      </c>
      <c r="H103" s="1701">
        <f>100/3.4528*1000</f>
        <v>28962</v>
      </c>
      <c r="I103" s="1752">
        <f>100/3.4528*1000</f>
        <v>28962</v>
      </c>
      <c r="J103" s="1753"/>
      <c r="K103" s="1749" t="s">
        <v>258</v>
      </c>
      <c r="L103" s="1750"/>
      <c r="M103" s="1754">
        <v>152</v>
      </c>
      <c r="N103" s="920"/>
    </row>
    <row r="104" spans="1:15" ht="39.75" customHeight="1" x14ac:dyDescent="0.2">
      <c r="A104" s="1885"/>
      <c r="B104" s="1859"/>
      <c r="C104" s="186"/>
      <c r="D104" s="1766" t="s">
        <v>339</v>
      </c>
      <c r="E104" s="2026"/>
      <c r="F104" s="2355"/>
      <c r="G104" s="12" t="s">
        <v>22</v>
      </c>
      <c r="H104" s="1708">
        <v>30000</v>
      </c>
      <c r="I104" s="1359"/>
      <c r="J104" s="1203"/>
      <c r="K104" s="1767" t="s">
        <v>336</v>
      </c>
      <c r="L104" s="1722">
        <v>100</v>
      </c>
      <c r="M104" s="1911"/>
      <c r="N104" s="99"/>
    </row>
    <row r="105" spans="1:15" ht="21.75" customHeight="1" x14ac:dyDescent="0.2">
      <c r="A105" s="1885"/>
      <c r="B105" s="1859"/>
      <c r="C105" s="186"/>
      <c r="D105" s="2358" t="s">
        <v>343</v>
      </c>
      <c r="E105" s="2026"/>
      <c r="F105" s="2355"/>
      <c r="G105" s="12" t="s">
        <v>22</v>
      </c>
      <c r="H105" s="1708">
        <v>6030</v>
      </c>
      <c r="I105" s="1359"/>
      <c r="J105" s="1203"/>
      <c r="K105" s="1767"/>
      <c r="L105" s="1911"/>
      <c r="M105" s="1911"/>
      <c r="N105" s="99"/>
    </row>
    <row r="106" spans="1:15" ht="20.25" customHeight="1" thickBot="1" x14ac:dyDescent="0.25">
      <c r="A106" s="1885"/>
      <c r="B106" s="1859"/>
      <c r="C106" s="186"/>
      <c r="D106" s="2020"/>
      <c r="E106" s="2026"/>
      <c r="F106" s="2355"/>
      <c r="G106" s="381" t="s">
        <v>23</v>
      </c>
      <c r="H106" s="1696">
        <f>SUM(H102:H105)</f>
        <v>64992</v>
      </c>
      <c r="I106" s="1751">
        <f>SUM(I102:I104)</f>
        <v>28962</v>
      </c>
      <c r="J106" s="1751"/>
      <c r="K106" s="1927"/>
      <c r="L106" s="779"/>
      <c r="M106" s="780"/>
      <c r="N106" s="622"/>
    </row>
    <row r="107" spans="1:15" ht="16.5" customHeight="1" x14ac:dyDescent="0.2">
      <c r="A107" s="1870" t="s">
        <v>24</v>
      </c>
      <c r="B107" s="1872" t="s">
        <v>20</v>
      </c>
      <c r="C107" s="1890" t="s">
        <v>30</v>
      </c>
      <c r="D107" s="2477" t="s">
        <v>340</v>
      </c>
      <c r="E107" s="922" t="s">
        <v>4</v>
      </c>
      <c r="F107" s="1768">
        <v>6</v>
      </c>
      <c r="G107" s="13" t="s">
        <v>7</v>
      </c>
      <c r="H107" s="1707">
        <f>257936-122094</f>
        <v>135842</v>
      </c>
      <c r="I107" s="1196">
        <v>122094</v>
      </c>
      <c r="J107" s="1196"/>
      <c r="K107" s="1638" t="s">
        <v>158</v>
      </c>
      <c r="L107" s="1640">
        <v>100</v>
      </c>
      <c r="M107" s="926"/>
      <c r="N107" s="927"/>
    </row>
    <row r="108" spans="1:15" ht="25.5" customHeight="1" x14ac:dyDescent="0.2">
      <c r="A108" s="1885"/>
      <c r="B108" s="1859"/>
      <c r="C108" s="1891"/>
      <c r="D108" s="2030"/>
      <c r="E108" s="2359" t="s">
        <v>126</v>
      </c>
      <c r="F108" s="1770">
        <v>5</v>
      </c>
      <c r="G108" s="1614" t="s">
        <v>270</v>
      </c>
      <c r="H108" s="1703">
        <v>223048</v>
      </c>
      <c r="I108" s="1325">
        <v>1358409</v>
      </c>
      <c r="J108" s="1325">
        <v>679205</v>
      </c>
      <c r="K108" s="2059" t="s">
        <v>165</v>
      </c>
      <c r="L108" s="1877">
        <v>10</v>
      </c>
      <c r="M108" s="1641">
        <v>70</v>
      </c>
      <c r="N108" s="1637">
        <v>100</v>
      </c>
    </row>
    <row r="109" spans="1:15" ht="13.5" thickBot="1" x14ac:dyDescent="0.25">
      <c r="A109" s="1865"/>
      <c r="B109" s="1873"/>
      <c r="C109" s="1913"/>
      <c r="D109" s="2020"/>
      <c r="E109" s="2325"/>
      <c r="F109" s="1769"/>
      <c r="G109" s="313" t="s">
        <v>23</v>
      </c>
      <c r="H109" s="1191">
        <f>SUM(H107:H108)</f>
        <v>358890</v>
      </c>
      <c r="I109" s="1201">
        <f>SUM(I107:I108)</f>
        <v>1480503</v>
      </c>
      <c r="J109" s="1201">
        <f>SUM(J107:J108)</f>
        <v>679205</v>
      </c>
      <c r="K109" s="2082"/>
      <c r="L109" s="619"/>
      <c r="M109" s="81"/>
      <c r="N109" s="1906"/>
    </row>
    <row r="110" spans="1:15" ht="16.5" customHeight="1" x14ac:dyDescent="0.2">
      <c r="A110" s="1885" t="s">
        <v>24</v>
      </c>
      <c r="B110" s="1859" t="s">
        <v>20</v>
      </c>
      <c r="C110" s="1891" t="s">
        <v>55</v>
      </c>
      <c r="D110" s="2030" t="s">
        <v>262</v>
      </c>
      <c r="E110" s="2026"/>
      <c r="F110" s="1892">
        <v>6</v>
      </c>
      <c r="G110" s="1616" t="s">
        <v>22</v>
      </c>
      <c r="H110" s="1708">
        <f>350/3.4528*1000-13445</f>
        <v>87922</v>
      </c>
      <c r="I110" s="1203"/>
      <c r="J110" s="1203"/>
      <c r="K110" s="778" t="s">
        <v>261</v>
      </c>
      <c r="L110" s="676">
        <v>100</v>
      </c>
      <c r="M110" s="89"/>
      <c r="N110" s="622"/>
      <c r="O110" s="1400"/>
    </row>
    <row r="111" spans="1:15" ht="13.5" thickBot="1" x14ac:dyDescent="0.25">
      <c r="A111" s="1871"/>
      <c r="B111" s="1873"/>
      <c r="C111" s="1862"/>
      <c r="D111" s="2020"/>
      <c r="E111" s="2027"/>
      <c r="F111" s="788"/>
      <c r="G111" s="632" t="s">
        <v>23</v>
      </c>
      <c r="H111" s="1331">
        <f>H110</f>
        <v>87922</v>
      </c>
      <c r="I111" s="1336"/>
      <c r="J111" s="1336"/>
      <c r="K111" s="70"/>
      <c r="L111" s="79"/>
      <c r="M111" s="1620"/>
      <c r="N111" s="646"/>
    </row>
    <row r="112" spans="1:15" ht="13.5" thickBot="1" x14ac:dyDescent="0.25">
      <c r="A112" s="1865" t="s">
        <v>24</v>
      </c>
      <c r="B112" s="14" t="s">
        <v>20</v>
      </c>
      <c r="C112" s="2074" t="s">
        <v>27</v>
      </c>
      <c r="D112" s="2029"/>
      <c r="E112" s="2029"/>
      <c r="F112" s="2029"/>
      <c r="G112" s="2029"/>
      <c r="H112" s="1212">
        <f>H111+H109+H106+H101+H98+H87+H79</f>
        <v>1820893</v>
      </c>
      <c r="I112" s="1251">
        <f>I111+I106+I98+I101+I109+I87+I79</f>
        <v>1869985</v>
      </c>
      <c r="J112" s="1252">
        <f>J111+J106+J98+J101+J109+J87+J71</f>
        <v>3840784</v>
      </c>
      <c r="K112" s="2014"/>
      <c r="L112" s="2015"/>
      <c r="M112" s="2015"/>
      <c r="N112" s="2016"/>
    </row>
    <row r="113" spans="1:14" ht="12.75" customHeight="1" thickBot="1" x14ac:dyDescent="0.25">
      <c r="A113" s="1866" t="s">
        <v>24</v>
      </c>
      <c r="B113" s="14" t="s">
        <v>24</v>
      </c>
      <c r="C113" s="1408" t="s">
        <v>49</v>
      </c>
      <c r="D113" s="62"/>
      <c r="E113" s="62"/>
      <c r="F113" s="1874"/>
      <c r="G113" s="113"/>
      <c r="H113" s="1340"/>
      <c r="I113" s="1342"/>
      <c r="J113" s="1342"/>
      <c r="K113" s="62"/>
      <c r="L113" s="62"/>
      <c r="M113" s="62"/>
      <c r="N113" s="1409"/>
    </row>
    <row r="114" spans="1:14" ht="27" customHeight="1" x14ac:dyDescent="0.2">
      <c r="A114" s="2034" t="s">
        <v>24</v>
      </c>
      <c r="B114" s="2036" t="s">
        <v>24</v>
      </c>
      <c r="C114" s="1861" t="s">
        <v>20</v>
      </c>
      <c r="D114" s="2045" t="s">
        <v>272</v>
      </c>
      <c r="E114" s="2323" t="s">
        <v>130</v>
      </c>
      <c r="F114" s="2017">
        <v>2</v>
      </c>
      <c r="G114" s="112" t="s">
        <v>22</v>
      </c>
      <c r="H114" s="1744">
        <v>5000</v>
      </c>
      <c r="I114" s="1257">
        <f>100/3.4528*1000</f>
        <v>28962</v>
      </c>
      <c r="J114" s="1257">
        <f>100/3.4528*1000</f>
        <v>28962</v>
      </c>
      <c r="K114" s="2155" t="s">
        <v>348</v>
      </c>
      <c r="L114" s="1795">
        <v>40</v>
      </c>
      <c r="M114" s="727">
        <v>320</v>
      </c>
      <c r="N114" s="734">
        <v>320</v>
      </c>
    </row>
    <row r="115" spans="1:14" ht="13.5" thickBot="1" x14ac:dyDescent="0.25">
      <c r="A115" s="2035"/>
      <c r="B115" s="2037"/>
      <c r="C115" s="1862"/>
      <c r="D115" s="1958"/>
      <c r="E115" s="2325"/>
      <c r="F115" s="2018"/>
      <c r="G115" s="313" t="s">
        <v>23</v>
      </c>
      <c r="H115" s="1343">
        <f>H114</f>
        <v>5000</v>
      </c>
      <c r="I115" s="1201">
        <f>SUM(I114)</f>
        <v>28962</v>
      </c>
      <c r="J115" s="1200">
        <f>SUM(J114)</f>
        <v>28962</v>
      </c>
      <c r="K115" s="2156"/>
      <c r="L115" s="129"/>
      <c r="M115" s="129"/>
      <c r="N115" s="203"/>
    </row>
    <row r="116" spans="1:14" ht="12.75" customHeight="1" x14ac:dyDescent="0.2">
      <c r="A116" s="1864" t="s">
        <v>24</v>
      </c>
      <c r="B116" s="1872" t="s">
        <v>24</v>
      </c>
      <c r="C116" s="1861" t="s">
        <v>24</v>
      </c>
      <c r="D116" s="2344" t="s">
        <v>344</v>
      </c>
      <c r="E116" s="2347"/>
      <c r="F116" s="2350">
        <v>2</v>
      </c>
      <c r="G116" s="929" t="s">
        <v>22</v>
      </c>
      <c r="H116" s="1772">
        <f>513107+30283</f>
        <v>543390</v>
      </c>
      <c r="I116" s="1319">
        <f>900/3.4528*1000</f>
        <v>260658</v>
      </c>
      <c r="J116" s="1347">
        <f>900/3.4528*1000</f>
        <v>260658</v>
      </c>
      <c r="K116" s="814" t="s">
        <v>352</v>
      </c>
      <c r="L116" s="815">
        <f>430+368</f>
        <v>798</v>
      </c>
      <c r="M116" s="815">
        <f t="shared" ref="M116:N116" si="4">430+368</f>
        <v>798</v>
      </c>
      <c r="N116" s="816">
        <f t="shared" si="4"/>
        <v>798</v>
      </c>
    </row>
    <row r="117" spans="1:14" ht="28.5" customHeight="1" x14ac:dyDescent="0.2">
      <c r="A117" s="1866"/>
      <c r="B117" s="1859"/>
      <c r="C117" s="1867"/>
      <c r="D117" s="2345"/>
      <c r="E117" s="2348"/>
      <c r="F117" s="2351"/>
      <c r="G117" s="1855"/>
      <c r="H117" s="1745"/>
      <c r="I117" s="1160"/>
      <c r="J117" s="1178"/>
      <c r="K117" s="1930" t="s">
        <v>353</v>
      </c>
      <c r="L117" s="1856">
        <v>368</v>
      </c>
      <c r="M117" s="1856">
        <v>368</v>
      </c>
      <c r="N117" s="1857">
        <v>368</v>
      </c>
    </row>
    <row r="118" spans="1:14" ht="29.25" customHeight="1" x14ac:dyDescent="0.2">
      <c r="A118" s="1866"/>
      <c r="B118" s="1859"/>
      <c r="C118" s="1867"/>
      <c r="D118" s="2345"/>
      <c r="E118" s="2348"/>
      <c r="F118" s="2351"/>
      <c r="G118" s="988"/>
      <c r="H118" s="1745"/>
      <c r="I118" s="1160"/>
      <c r="J118" s="1178"/>
      <c r="K118" s="1928" t="s">
        <v>266</v>
      </c>
      <c r="L118" s="817">
        <v>23</v>
      </c>
      <c r="M118" s="817">
        <v>13</v>
      </c>
      <c r="N118" s="818">
        <v>3</v>
      </c>
    </row>
    <row r="119" spans="1:14" ht="15" customHeight="1" thickBot="1" x14ac:dyDescent="0.25">
      <c r="A119" s="1865"/>
      <c r="B119" s="819"/>
      <c r="C119" s="1862"/>
      <c r="D119" s="2346"/>
      <c r="E119" s="2349"/>
      <c r="F119" s="2352"/>
      <c r="G119" s="930" t="s">
        <v>23</v>
      </c>
      <c r="H119" s="1349">
        <f>SUM(H116:H118)</f>
        <v>543390</v>
      </c>
      <c r="I119" s="1205">
        <f>SUM(I116:I116)</f>
        <v>260658</v>
      </c>
      <c r="J119" s="1206">
        <f>SUM(J116:J116)</f>
        <v>260658</v>
      </c>
      <c r="K119" s="820" t="s">
        <v>128</v>
      </c>
      <c r="L119" s="821">
        <v>558</v>
      </c>
      <c r="M119" s="821">
        <v>60</v>
      </c>
      <c r="N119" s="822">
        <v>60</v>
      </c>
    </row>
    <row r="120" spans="1:14" ht="13.5" thickBot="1" x14ac:dyDescent="0.25">
      <c r="A120" s="15" t="s">
        <v>24</v>
      </c>
      <c r="B120" s="14" t="s">
        <v>24</v>
      </c>
      <c r="C120" s="2074" t="s">
        <v>27</v>
      </c>
      <c r="D120" s="2029"/>
      <c r="E120" s="2029"/>
      <c r="F120" s="2029"/>
      <c r="G120" s="2029"/>
      <c r="H120" s="1212">
        <f>H119+H115</f>
        <v>548390</v>
      </c>
      <c r="I120" s="1213">
        <f>I119+I115</f>
        <v>289620</v>
      </c>
      <c r="J120" s="1213">
        <f t="shared" ref="J120" si="5">J119+J115</f>
        <v>289620</v>
      </c>
      <c r="K120" s="2288"/>
      <c r="L120" s="2289"/>
      <c r="M120" s="2289"/>
      <c r="N120" s="2290"/>
    </row>
    <row r="121" spans="1:14" ht="13.5" thickBot="1" x14ac:dyDescent="0.25">
      <c r="A121" s="1864" t="s">
        <v>24</v>
      </c>
      <c r="B121" s="134" t="s">
        <v>26</v>
      </c>
      <c r="C121" s="2353" t="s">
        <v>48</v>
      </c>
      <c r="D121" s="2008"/>
      <c r="E121" s="2008"/>
      <c r="F121" s="2008"/>
      <c r="G121" s="2008"/>
      <c r="H121" s="2008"/>
      <c r="I121" s="2008"/>
      <c r="J121" s="2008"/>
      <c r="K121" s="2008"/>
      <c r="L121" s="2008"/>
      <c r="M121" s="2008"/>
      <c r="N121" s="2009"/>
    </row>
    <row r="122" spans="1:14" ht="25.5" customHeight="1" x14ac:dyDescent="0.2">
      <c r="A122" s="1870" t="s">
        <v>24</v>
      </c>
      <c r="B122" s="1872" t="s">
        <v>26</v>
      </c>
      <c r="C122" s="1861" t="s">
        <v>20</v>
      </c>
      <c r="D122" s="823" t="s">
        <v>50</v>
      </c>
      <c r="E122" s="1923"/>
      <c r="F122" s="824">
        <v>6</v>
      </c>
      <c r="G122" s="1613" t="s">
        <v>22</v>
      </c>
      <c r="H122" s="1713">
        <f>5053.9/3.4528*1000+5145+4025+1700</f>
        <v>1474581</v>
      </c>
      <c r="I122" s="1314">
        <f>4896/3.4528*1000</f>
        <v>1417980</v>
      </c>
      <c r="J122" s="1355">
        <f>4863/3.4528*1000</f>
        <v>1408422</v>
      </c>
      <c r="K122" s="827"/>
      <c r="L122" s="828"/>
      <c r="M122" s="829"/>
      <c r="N122" s="675"/>
    </row>
    <row r="123" spans="1:14" ht="30" customHeight="1" x14ac:dyDescent="0.2">
      <c r="A123" s="1885"/>
      <c r="B123" s="1859"/>
      <c r="C123" s="1867"/>
      <c r="D123" s="830" t="s">
        <v>89</v>
      </c>
      <c r="E123" s="1860"/>
      <c r="F123" s="1925"/>
      <c r="G123" s="1608" t="s">
        <v>25</v>
      </c>
      <c r="H123" s="1710">
        <v>6864</v>
      </c>
      <c r="I123" s="1609"/>
      <c r="J123" s="1609"/>
      <c r="K123" s="1882" t="s">
        <v>289</v>
      </c>
      <c r="L123" s="833">
        <v>15</v>
      </c>
      <c r="M123" s="833">
        <v>14</v>
      </c>
      <c r="N123" s="834">
        <v>14</v>
      </c>
    </row>
    <row r="124" spans="1:14" ht="27.75" customHeight="1" x14ac:dyDescent="0.2">
      <c r="A124" s="1885"/>
      <c r="B124" s="1859"/>
      <c r="C124" s="147"/>
      <c r="D124" s="830" t="s">
        <v>61</v>
      </c>
      <c r="E124" s="1860"/>
      <c r="F124" s="1925"/>
      <c r="G124" s="1501"/>
      <c r="H124" s="1711"/>
      <c r="I124" s="1160"/>
      <c r="J124" s="1160"/>
      <c r="K124" s="1882" t="s">
        <v>290</v>
      </c>
      <c r="L124" s="837">
        <v>95</v>
      </c>
      <c r="M124" s="837">
        <v>95</v>
      </c>
      <c r="N124" s="838">
        <v>95</v>
      </c>
    </row>
    <row r="125" spans="1:14" s="4" customFormat="1" ht="25.5" x14ac:dyDescent="0.2">
      <c r="A125" s="1885"/>
      <c r="B125" s="1859"/>
      <c r="C125" s="1867"/>
      <c r="D125" s="839" t="s">
        <v>63</v>
      </c>
      <c r="E125" s="1860"/>
      <c r="F125" s="1875"/>
      <c r="G125" s="1501"/>
      <c r="H125" s="1711"/>
      <c r="I125" s="1160"/>
      <c r="J125" s="1160"/>
      <c r="K125" s="1881" t="s">
        <v>297</v>
      </c>
      <c r="L125" s="842">
        <v>30</v>
      </c>
      <c r="M125" s="842">
        <v>30</v>
      </c>
      <c r="N125" s="843">
        <v>30</v>
      </c>
    </row>
    <row r="126" spans="1:14" ht="25.5" x14ac:dyDescent="0.2">
      <c r="A126" s="1885"/>
      <c r="B126" s="1859"/>
      <c r="C126" s="147"/>
      <c r="D126" s="830" t="s">
        <v>70</v>
      </c>
      <c r="E126" s="1860"/>
      <c r="F126" s="1925"/>
      <c r="G126" s="1501"/>
      <c r="H126" s="1711"/>
      <c r="I126" s="1160"/>
      <c r="J126" s="1160"/>
      <c r="K126" s="1882" t="s">
        <v>291</v>
      </c>
      <c r="L126" s="837">
        <v>6</v>
      </c>
      <c r="M126" s="837">
        <v>5</v>
      </c>
      <c r="N126" s="838">
        <v>5</v>
      </c>
    </row>
    <row r="127" spans="1:14" s="4" customFormat="1" x14ac:dyDescent="0.2">
      <c r="A127" s="1885"/>
      <c r="B127" s="1859"/>
      <c r="C127" s="147"/>
      <c r="D127" s="1633" t="s">
        <v>62</v>
      </c>
      <c r="E127" s="1924"/>
      <c r="F127" s="1925"/>
      <c r="G127" s="1501"/>
      <c r="H127" s="1711"/>
      <c r="I127" s="1160"/>
      <c r="J127" s="1160"/>
      <c r="K127" s="1881" t="s">
        <v>79</v>
      </c>
      <c r="L127" s="696">
        <v>40.1</v>
      </c>
      <c r="M127" s="696">
        <v>40.1</v>
      </c>
      <c r="N127" s="782">
        <v>40.1</v>
      </c>
    </row>
    <row r="128" spans="1:14" x14ac:dyDescent="0.2">
      <c r="A128" s="1885"/>
      <c r="B128" s="1859"/>
      <c r="C128" s="147"/>
      <c r="D128" s="1633" t="s">
        <v>64</v>
      </c>
      <c r="E128" s="1924"/>
      <c r="F128" s="1925"/>
      <c r="G128" s="1501"/>
      <c r="H128" s="1711"/>
      <c r="I128" s="1160"/>
      <c r="J128" s="1160"/>
      <c r="K128" s="1646" t="s">
        <v>292</v>
      </c>
      <c r="L128" s="1647">
        <v>100</v>
      </c>
      <c r="M128" s="1647">
        <v>100</v>
      </c>
      <c r="N128" s="1648">
        <v>100</v>
      </c>
    </row>
    <row r="129" spans="1:17" s="700" customFormat="1" ht="29.25" customHeight="1" x14ac:dyDescent="0.2">
      <c r="A129" s="1885"/>
      <c r="B129" s="1859"/>
      <c r="C129" s="1867"/>
      <c r="D129" s="1642" t="s">
        <v>136</v>
      </c>
      <c r="E129" s="847"/>
      <c r="F129" s="1921"/>
      <c r="G129" s="1095"/>
      <c r="H129" s="1181"/>
      <c r="I129" s="1160"/>
      <c r="J129" s="1160"/>
      <c r="K129" s="1643" t="s">
        <v>293</v>
      </c>
      <c r="L129" s="1878">
        <v>16</v>
      </c>
      <c r="M129" s="1644">
        <v>13</v>
      </c>
      <c r="N129" s="1645">
        <v>16</v>
      </c>
      <c r="O129" s="699"/>
      <c r="Q129" s="701"/>
    </row>
    <row r="130" spans="1:17" s="700" customFormat="1" ht="30.75" customHeight="1" x14ac:dyDescent="0.2">
      <c r="A130" s="1885"/>
      <c r="B130" s="1859"/>
      <c r="C130" s="1867"/>
      <c r="D130" s="2334" t="s">
        <v>307</v>
      </c>
      <c r="E130" s="2336"/>
      <c r="F130" s="2338"/>
      <c r="G130" s="848"/>
      <c r="H130" s="1712"/>
      <c r="I130" s="1359"/>
      <c r="J130" s="1359"/>
      <c r="K130" s="1936" t="s">
        <v>294</v>
      </c>
      <c r="L130" s="849">
        <v>1</v>
      </c>
      <c r="M130" s="849">
        <v>1</v>
      </c>
      <c r="N130" s="850">
        <v>1</v>
      </c>
      <c r="O130" s="699"/>
      <c r="Q130" s="701"/>
    </row>
    <row r="131" spans="1:17" ht="13.5" thickBot="1" x14ac:dyDescent="0.25">
      <c r="A131" s="1885"/>
      <c r="B131" s="1859"/>
      <c r="C131" s="1867"/>
      <c r="D131" s="2335"/>
      <c r="E131" s="2337"/>
      <c r="F131" s="2339"/>
      <c r="G131" s="369" t="s">
        <v>23</v>
      </c>
      <c r="H131" s="1362">
        <f>SUM(H122:H130)</f>
        <v>1481445</v>
      </c>
      <c r="I131" s="1236">
        <f t="shared" ref="I131:J131" si="6">SUM(I122:I130)</f>
        <v>1417980</v>
      </c>
      <c r="J131" s="1236">
        <f t="shared" si="6"/>
        <v>1408422</v>
      </c>
      <c r="K131" s="867"/>
      <c r="L131" s="79"/>
      <c r="M131" s="1620"/>
      <c r="N131" s="646"/>
    </row>
    <row r="132" spans="1:17" ht="26.25" customHeight="1" x14ac:dyDescent="0.2">
      <c r="A132" s="1870" t="s">
        <v>24</v>
      </c>
      <c r="B132" s="1872" t="s">
        <v>26</v>
      </c>
      <c r="C132" s="1861" t="s">
        <v>24</v>
      </c>
      <c r="D132" s="2340" t="s">
        <v>253</v>
      </c>
      <c r="E132" s="2332" t="s">
        <v>134</v>
      </c>
      <c r="F132" s="2342">
        <v>6</v>
      </c>
      <c r="G132" s="851" t="s">
        <v>22</v>
      </c>
      <c r="H132" s="1713">
        <f>73/3.4528*1000-5145</f>
        <v>15997</v>
      </c>
      <c r="I132" s="1314">
        <f>210/3.4528*1000</f>
        <v>60820</v>
      </c>
      <c r="J132" s="1355">
        <f>320/3.4528*1000</f>
        <v>92678</v>
      </c>
      <c r="K132" s="2329" t="s">
        <v>135</v>
      </c>
      <c r="L132" s="776">
        <v>1</v>
      </c>
      <c r="M132" s="777">
        <v>4</v>
      </c>
      <c r="N132" s="675">
        <v>6</v>
      </c>
    </row>
    <row r="133" spans="1:17" ht="13.5" thickBot="1" x14ac:dyDescent="0.25">
      <c r="A133" s="1871"/>
      <c r="B133" s="1873"/>
      <c r="C133" s="1862"/>
      <c r="D133" s="2341"/>
      <c r="E133" s="2333"/>
      <c r="F133" s="2343"/>
      <c r="G133" s="369" t="s">
        <v>23</v>
      </c>
      <c r="H133" s="1362">
        <f>SUM(H132)</f>
        <v>15997</v>
      </c>
      <c r="I133" s="1205">
        <f>SUM(I132)</f>
        <v>60820</v>
      </c>
      <c r="J133" s="1206">
        <f>SUM(J132)</f>
        <v>92678</v>
      </c>
      <c r="K133" s="2330"/>
      <c r="L133" s="79"/>
      <c r="M133" s="1620"/>
      <c r="N133" s="646"/>
    </row>
    <row r="134" spans="1:17" ht="30" customHeight="1" x14ac:dyDescent="0.2">
      <c r="A134" s="1984" t="s">
        <v>24</v>
      </c>
      <c r="B134" s="1959" t="s">
        <v>26</v>
      </c>
      <c r="C134" s="133" t="s">
        <v>26</v>
      </c>
      <c r="D134" s="2331" t="s">
        <v>59</v>
      </c>
      <c r="E134" s="2332"/>
      <c r="F134" s="2326">
        <v>2</v>
      </c>
      <c r="G134" s="852" t="s">
        <v>22</v>
      </c>
      <c r="H134" s="1714">
        <f>108/3.4528*1000</f>
        <v>31279</v>
      </c>
      <c r="I134" s="1314">
        <f>100/3.4528*1000</f>
        <v>28962</v>
      </c>
      <c r="J134" s="1314">
        <f>100/3.4528*1000</f>
        <v>28962</v>
      </c>
      <c r="K134" s="2263" t="s">
        <v>295</v>
      </c>
      <c r="L134" s="854">
        <v>320</v>
      </c>
      <c r="M134" s="855">
        <v>300</v>
      </c>
      <c r="N134" s="675">
        <v>300</v>
      </c>
    </row>
    <row r="135" spans="1:17" ht="13.5" thickBot="1" x14ac:dyDescent="0.25">
      <c r="A135" s="1985"/>
      <c r="B135" s="1961"/>
      <c r="C135" s="131"/>
      <c r="D135" s="2320"/>
      <c r="E135" s="2333"/>
      <c r="F135" s="2328"/>
      <c r="G135" s="369" t="s">
        <v>23</v>
      </c>
      <c r="H135" s="1366">
        <f>H134</f>
        <v>31279</v>
      </c>
      <c r="I135" s="1205">
        <f>SUM(I134)</f>
        <v>28962</v>
      </c>
      <c r="J135" s="1290">
        <f>SUM(J134)</f>
        <v>28962</v>
      </c>
      <c r="K135" s="2264"/>
      <c r="L135" s="79"/>
      <c r="M135" s="1620"/>
      <c r="N135" s="646"/>
    </row>
    <row r="136" spans="1:17" x14ac:dyDescent="0.2">
      <c r="A136" s="1870" t="s">
        <v>24</v>
      </c>
      <c r="B136" s="1872" t="s">
        <v>26</v>
      </c>
      <c r="C136" s="133" t="s">
        <v>28</v>
      </c>
      <c r="D136" s="1914" t="s">
        <v>257</v>
      </c>
      <c r="E136" s="1920"/>
      <c r="F136" s="1917">
        <v>2</v>
      </c>
      <c r="G136" s="859" t="s">
        <v>22</v>
      </c>
      <c r="H136" s="1208"/>
      <c r="I136" s="1314">
        <f>250/3.4528*1000</f>
        <v>72405</v>
      </c>
      <c r="J136" s="1355"/>
      <c r="K136" s="879" t="s">
        <v>296</v>
      </c>
      <c r="L136" s="880"/>
      <c r="M136" s="856">
        <v>10</v>
      </c>
      <c r="N136" s="675"/>
    </row>
    <row r="137" spans="1:17" ht="16.5" customHeight="1" x14ac:dyDescent="0.2">
      <c r="A137" s="1885"/>
      <c r="B137" s="1859"/>
      <c r="C137" s="132"/>
      <c r="D137" s="2319" t="s">
        <v>308</v>
      </c>
      <c r="E137" s="1915"/>
      <c r="F137" s="1918"/>
      <c r="G137" s="859"/>
      <c r="H137" s="1181"/>
      <c r="I137" s="1158"/>
      <c r="J137" s="1184"/>
      <c r="K137" s="879"/>
      <c r="L137" s="880"/>
      <c r="M137" s="856"/>
      <c r="N137" s="622"/>
    </row>
    <row r="138" spans="1:17" ht="13.5" thickBot="1" x14ac:dyDescent="0.25">
      <c r="A138" s="1871"/>
      <c r="B138" s="1873"/>
      <c r="C138" s="131"/>
      <c r="D138" s="2320"/>
      <c r="E138" s="1916"/>
      <c r="F138" s="1919"/>
      <c r="G138" s="369" t="s">
        <v>23</v>
      </c>
      <c r="H138" s="1362"/>
      <c r="I138" s="1205">
        <f>SUM(I136:I137)</f>
        <v>72405</v>
      </c>
      <c r="J138" s="1206"/>
      <c r="K138" s="1903"/>
      <c r="L138" s="79"/>
      <c r="M138" s="1620"/>
      <c r="N138" s="646"/>
    </row>
    <row r="139" spans="1:17" ht="92.25" customHeight="1" x14ac:dyDescent="0.2">
      <c r="A139" s="2034" t="s">
        <v>24</v>
      </c>
      <c r="B139" s="2036" t="s">
        <v>26</v>
      </c>
      <c r="C139" s="133" t="s">
        <v>29</v>
      </c>
      <c r="D139" s="2321" t="s">
        <v>279</v>
      </c>
      <c r="E139" s="2323" t="s">
        <v>130</v>
      </c>
      <c r="F139" s="2326">
        <v>2</v>
      </c>
      <c r="G139" s="543" t="s">
        <v>22</v>
      </c>
      <c r="H139" s="1208">
        <f>64/3.4528*1000</f>
        <v>18536</v>
      </c>
      <c r="I139" s="1314">
        <f>74/3.4528*1000</f>
        <v>21432</v>
      </c>
      <c r="J139" s="1355">
        <f>67/3.4528*1000</f>
        <v>19405</v>
      </c>
      <c r="K139" s="857" t="s">
        <v>86</v>
      </c>
      <c r="L139" s="858">
        <v>9</v>
      </c>
      <c r="M139" s="855">
        <v>10</v>
      </c>
      <c r="N139" s="675">
        <v>10</v>
      </c>
    </row>
    <row r="140" spans="1:17" ht="13.5" thickBot="1" x14ac:dyDescent="0.25">
      <c r="A140" s="2035"/>
      <c r="B140" s="2037"/>
      <c r="C140" s="131"/>
      <c r="D140" s="2320"/>
      <c r="E140" s="2325"/>
      <c r="F140" s="2328"/>
      <c r="G140" s="369" t="s">
        <v>23</v>
      </c>
      <c r="H140" s="1362">
        <f>SUM(H139:H139)</f>
        <v>18536</v>
      </c>
      <c r="I140" s="1205">
        <f>SUM(I139)</f>
        <v>21432</v>
      </c>
      <c r="J140" s="1206">
        <f>SUM(J139)</f>
        <v>19405</v>
      </c>
      <c r="K140" s="861"/>
      <c r="L140" s="79"/>
      <c r="M140" s="1620"/>
      <c r="N140" s="646"/>
    </row>
    <row r="141" spans="1:17" ht="13.5" thickBot="1" x14ac:dyDescent="0.25">
      <c r="A141" s="31" t="s">
        <v>24</v>
      </c>
      <c r="B141" s="33" t="s">
        <v>26</v>
      </c>
      <c r="C141" s="2074" t="s">
        <v>27</v>
      </c>
      <c r="D141" s="2029"/>
      <c r="E141" s="2029"/>
      <c r="F141" s="2029"/>
      <c r="G141" s="2318"/>
      <c r="H141" s="1337">
        <f>H140+H138+H135+H133+H131</f>
        <v>1547257</v>
      </c>
      <c r="I141" s="1213">
        <f>I140+I135+I133+I131+I138</f>
        <v>1601599</v>
      </c>
      <c r="J141" s="1213">
        <f>J140+J135+J133+J131+J138</f>
        <v>1549467</v>
      </c>
      <c r="K141" s="2288"/>
      <c r="L141" s="2289"/>
      <c r="M141" s="2289"/>
      <c r="N141" s="2290"/>
    </row>
    <row r="142" spans="1:17" ht="13.5" thickBot="1" x14ac:dyDescent="0.25">
      <c r="A142" s="31" t="s">
        <v>24</v>
      </c>
      <c r="B142" s="2131" t="s">
        <v>10</v>
      </c>
      <c r="C142" s="2131"/>
      <c r="D142" s="2131"/>
      <c r="E142" s="2131"/>
      <c r="F142" s="2131"/>
      <c r="G142" s="2131"/>
      <c r="H142" s="1253">
        <f>H141+H120+H112</f>
        <v>3916540</v>
      </c>
      <c r="I142" s="1253">
        <f>I141+I120+I112</f>
        <v>3761204</v>
      </c>
      <c r="J142" s="1374">
        <f>J141+J120+J112</f>
        <v>5679871</v>
      </c>
      <c r="K142" s="1967"/>
      <c r="L142" s="1968"/>
      <c r="M142" s="1968"/>
      <c r="N142" s="1969"/>
    </row>
    <row r="143" spans="1:17" ht="14.25" customHeight="1" thickBot="1" x14ac:dyDescent="0.25">
      <c r="A143" s="34" t="s">
        <v>9</v>
      </c>
      <c r="B143" s="2132" t="s">
        <v>11</v>
      </c>
      <c r="C143" s="2132"/>
      <c r="D143" s="2132"/>
      <c r="E143" s="2132"/>
      <c r="F143" s="2132"/>
      <c r="G143" s="2132"/>
      <c r="H143" s="1375">
        <f>H142+H64</f>
        <v>62918438</v>
      </c>
      <c r="I143" s="1375">
        <f>I142+I64</f>
        <v>60656118</v>
      </c>
      <c r="J143" s="1379">
        <f>J142+J64</f>
        <v>62429233</v>
      </c>
      <c r="K143" s="2142"/>
      <c r="L143" s="2143"/>
      <c r="M143" s="2143"/>
      <c r="N143" s="2144"/>
    </row>
    <row r="144" spans="1:17" s="210" customFormat="1" ht="14.25" customHeight="1" x14ac:dyDescent="0.2">
      <c r="A144" s="1087"/>
      <c r="B144" s="1088"/>
      <c r="C144" s="1088"/>
      <c r="D144" s="1088"/>
      <c r="E144" s="1088"/>
      <c r="F144" s="1088"/>
      <c r="G144" s="1088"/>
      <c r="H144" s="1380"/>
      <c r="I144" s="1380"/>
      <c r="J144" s="1380"/>
      <c r="K144" s="1086"/>
      <c r="L144" s="1086"/>
      <c r="M144" s="1086"/>
      <c r="N144" s="1086"/>
    </row>
    <row r="145" spans="1:19" s="5" customFormat="1" ht="13.5" thickBot="1" x14ac:dyDescent="0.25">
      <c r="A145" s="2145" t="s">
        <v>2</v>
      </c>
      <c r="B145" s="2145"/>
      <c r="C145" s="2145"/>
      <c r="D145" s="2145"/>
      <c r="E145" s="2145"/>
      <c r="F145" s="2145"/>
      <c r="G145" s="2145"/>
      <c r="H145" s="2145"/>
      <c r="I145" s="2145"/>
      <c r="J145" s="2145"/>
      <c r="K145" s="260"/>
      <c r="L145" s="260"/>
      <c r="M145" s="260"/>
      <c r="N145" s="96"/>
    </row>
    <row r="146" spans="1:19" s="6" customFormat="1" ht="39.75" customHeight="1" thickBot="1" x14ac:dyDescent="0.25">
      <c r="A146" s="2128" t="s">
        <v>3</v>
      </c>
      <c r="B146" s="2129"/>
      <c r="C146" s="2129"/>
      <c r="D146" s="2129"/>
      <c r="E146" s="2129"/>
      <c r="F146" s="2129"/>
      <c r="G146" s="2130"/>
      <c r="H146" s="1785" t="s">
        <v>277</v>
      </c>
      <c r="I146" s="1381" t="s">
        <v>278</v>
      </c>
      <c r="J146" s="1939" t="s">
        <v>338</v>
      </c>
      <c r="K146" s="72"/>
      <c r="L146" s="2141"/>
      <c r="M146" s="2141"/>
      <c r="N146" s="61"/>
      <c r="Q146" s="2"/>
      <c r="S146" s="2"/>
    </row>
    <row r="147" spans="1:19" s="6" customFormat="1" x14ac:dyDescent="0.2">
      <c r="A147" s="2111" t="s">
        <v>33</v>
      </c>
      <c r="B147" s="2112"/>
      <c r="C147" s="2112"/>
      <c r="D147" s="2112"/>
      <c r="E147" s="2112"/>
      <c r="F147" s="2112"/>
      <c r="G147" s="2113"/>
      <c r="H147" s="1635">
        <f>SUM(H148:H154)</f>
        <v>62368525</v>
      </c>
      <c r="I147" s="1652">
        <f>SUM(I148:I154)</f>
        <v>59185076</v>
      </c>
      <c r="J147" s="1940">
        <f ca="1">SUM(J148:J152)</f>
        <v>58631892</v>
      </c>
      <c r="K147" s="73"/>
      <c r="L147" s="2115"/>
      <c r="M147" s="2115"/>
      <c r="N147" s="61"/>
    </row>
    <row r="148" spans="1:19" s="6" customFormat="1" x14ac:dyDescent="0.2">
      <c r="A148" s="2100" t="s">
        <v>36</v>
      </c>
      <c r="B148" s="2101"/>
      <c r="C148" s="2101"/>
      <c r="D148" s="2101"/>
      <c r="E148" s="2101"/>
      <c r="F148" s="2101"/>
      <c r="G148" s="2102"/>
      <c r="H148" s="1761">
        <f>SUMIF(G12:G139,"sb",H12:H139)</f>
        <v>24044374</v>
      </c>
      <c r="I148" s="1603">
        <f>SUMIF(G12:G139,"sb",I12:I139)</f>
        <v>23032805</v>
      </c>
      <c r="J148" s="1941">
        <f>SUMIF(G12:G140,"sb",J12:J140)</f>
        <v>22631401</v>
      </c>
      <c r="K148" s="71"/>
      <c r="L148" s="2114"/>
      <c r="M148" s="2114"/>
      <c r="N148" s="61"/>
    </row>
    <row r="149" spans="1:19" s="6" customFormat="1" x14ac:dyDescent="0.2">
      <c r="A149" s="2100" t="s">
        <v>44</v>
      </c>
      <c r="B149" s="2101"/>
      <c r="C149" s="2101"/>
      <c r="D149" s="2101"/>
      <c r="E149" s="2101"/>
      <c r="F149" s="2101"/>
      <c r="G149" s="2102"/>
      <c r="H149" s="1761">
        <f>SUMIF(G12:G139,"sb(sp)",H12:H139)</f>
        <v>5453919</v>
      </c>
      <c r="I149" s="1603">
        <f>SUMIF(G12:G139,"sb(sp)",I12:I139)</f>
        <v>5008279</v>
      </c>
      <c r="J149" s="1941">
        <f>SUMIF(G12:G140,"sb(sp)",J12:J140)</f>
        <v>5008279</v>
      </c>
      <c r="K149" s="71"/>
      <c r="L149" s="2114"/>
      <c r="M149" s="2114"/>
      <c r="N149" s="61"/>
    </row>
    <row r="150" spans="1:19" s="6" customFormat="1" x14ac:dyDescent="0.2">
      <c r="A150" s="2457" t="s">
        <v>330</v>
      </c>
      <c r="B150" s="2458"/>
      <c r="C150" s="2458"/>
      <c r="D150" s="2458"/>
      <c r="E150" s="2458"/>
      <c r="F150" s="2458"/>
      <c r="G150" s="2459"/>
      <c r="H150" s="1761">
        <f>SUMIF(G12:G139,"SB(SPL)",H12:H139)</f>
        <v>681245</v>
      </c>
      <c r="I150" s="1603">
        <f>SUMIF(G12:G139,"SB(SPL)",I12:I139)</f>
        <v>0</v>
      </c>
      <c r="J150" s="1678"/>
      <c r="K150" s="71"/>
      <c r="L150" s="1883"/>
      <c r="M150" s="1883"/>
      <c r="N150" s="61"/>
    </row>
    <row r="151" spans="1:19" s="6" customFormat="1" x14ac:dyDescent="0.2">
      <c r="A151" s="2100" t="s">
        <v>37</v>
      </c>
      <c r="B151" s="2101"/>
      <c r="C151" s="2101"/>
      <c r="D151" s="2101"/>
      <c r="E151" s="2101"/>
      <c r="F151" s="2101"/>
      <c r="G151" s="2102"/>
      <c r="H151" s="1761">
        <f>SUMIF(G12:G139,"sb(vb)",H12:H139)</f>
        <v>31876914</v>
      </c>
      <c r="I151" s="1603">
        <f>SUMIF(G12:G139,"sb(vb)",I12:I139)</f>
        <v>31021898</v>
      </c>
      <c r="J151" s="1678">
        <f>SUMIF(G12:G139,G13,J12:J139)</f>
        <v>30992212</v>
      </c>
      <c r="K151" s="71"/>
      <c r="L151" s="2114"/>
      <c r="M151" s="2114"/>
      <c r="N151" s="61"/>
    </row>
    <row r="152" spans="1:19" s="6" customFormat="1" x14ac:dyDescent="0.2">
      <c r="A152" s="2100" t="s">
        <v>54</v>
      </c>
      <c r="B152" s="2101"/>
      <c r="C152" s="2101"/>
      <c r="D152" s="2101"/>
      <c r="E152" s="2101"/>
      <c r="F152" s="2101"/>
      <c r="G152" s="2102"/>
      <c r="H152" s="1761">
        <f>SUMIF(G12:G139,"sb(p)",H12:H139)</f>
        <v>167800</v>
      </c>
      <c r="I152" s="1603">
        <f>SUMIF(G12:G139,"sb(p)",I12:I139)</f>
        <v>0</v>
      </c>
      <c r="J152" s="1790">
        <f ca="1">SUMIF(G15:G140,#REF!,J16:J140)</f>
        <v>0</v>
      </c>
      <c r="K152" s="71"/>
      <c r="L152" s="2114"/>
      <c r="M152" s="2114"/>
      <c r="N152" s="61"/>
    </row>
    <row r="153" spans="1:19" s="6" customFormat="1" x14ac:dyDescent="0.2">
      <c r="A153" s="2460" t="s">
        <v>324</v>
      </c>
      <c r="B153" s="2461"/>
      <c r="C153" s="2461"/>
      <c r="D153" s="2461"/>
      <c r="E153" s="2461"/>
      <c r="F153" s="2461"/>
      <c r="G153" s="2462"/>
      <c r="H153" s="1711">
        <f>SUMIF(G12:G139,"sb(l)",H12:H139)</f>
        <v>8431</v>
      </c>
      <c r="I153" s="1653">
        <f>SUMIF(G12:G139,"sb(l)",I12:I139)</f>
        <v>0</v>
      </c>
      <c r="J153" s="1790"/>
      <c r="K153" s="71"/>
      <c r="L153" s="1883"/>
      <c r="M153" s="1883"/>
      <c r="N153" s="61"/>
    </row>
    <row r="154" spans="1:19" s="6" customFormat="1" x14ac:dyDescent="0.2">
      <c r="A154" s="2457" t="s">
        <v>328</v>
      </c>
      <c r="B154" s="2458"/>
      <c r="C154" s="2458"/>
      <c r="D154" s="2458"/>
      <c r="E154" s="2458"/>
      <c r="F154" s="2458"/>
      <c r="G154" s="2459"/>
      <c r="H154" s="1761">
        <f>SUMIF(G12:G139,"pf",H12:H139)</f>
        <v>135842</v>
      </c>
      <c r="I154" s="1603">
        <f>SUMIF(G12:G139,"pf",I12:I139)</f>
        <v>122094</v>
      </c>
      <c r="J154" s="1639">
        <f>SUMIF(G12:G139,"pf",J12:J139)</f>
        <v>0</v>
      </c>
      <c r="K154" s="71"/>
      <c r="L154" s="1883"/>
      <c r="M154" s="1883"/>
      <c r="N154" s="61"/>
    </row>
    <row r="155" spans="1:19" s="6" customFormat="1" x14ac:dyDescent="0.2">
      <c r="A155" s="2486" t="s">
        <v>34</v>
      </c>
      <c r="B155" s="2487"/>
      <c r="C155" s="2487"/>
      <c r="D155" s="2487"/>
      <c r="E155" s="2487"/>
      <c r="F155" s="2487"/>
      <c r="G155" s="2488"/>
      <c r="H155" s="1786">
        <f>SUM(H156:H157)</f>
        <v>549913</v>
      </c>
      <c r="I155" s="1654">
        <f>SUM(I156:I158)</f>
        <v>1471042</v>
      </c>
      <c r="J155" s="1791">
        <f ca="1">SUM(J156:J158)</f>
        <v>3797341</v>
      </c>
      <c r="K155" s="55"/>
      <c r="L155" s="2151"/>
      <c r="M155" s="2151"/>
      <c r="N155" s="61"/>
      <c r="P155" s="209"/>
    </row>
    <row r="156" spans="1:19" s="6" customFormat="1" x14ac:dyDescent="0.2">
      <c r="A156" s="2091" t="s">
        <v>38</v>
      </c>
      <c r="B156" s="2092"/>
      <c r="C156" s="2092"/>
      <c r="D156" s="2092"/>
      <c r="E156" s="2092"/>
      <c r="F156" s="2092"/>
      <c r="G156" s="2093"/>
      <c r="H156" s="1787">
        <f>SUMIF(G12:G139,"es",H12:H139)</f>
        <v>326865</v>
      </c>
      <c r="I156" s="1655">
        <f>SUMIF(G12:G139,"es",I12:I139)</f>
        <v>0</v>
      </c>
      <c r="J156" s="1792">
        <f ca="1">SUMIF(G15:G140,"es",J16:J140)</f>
        <v>3005503</v>
      </c>
      <c r="K156" s="45"/>
      <c r="L156" s="2148"/>
      <c r="M156" s="2148"/>
      <c r="N156" s="61"/>
    </row>
    <row r="157" spans="1:19" s="6" customFormat="1" x14ac:dyDescent="0.2">
      <c r="A157" s="2483" t="s">
        <v>271</v>
      </c>
      <c r="B157" s="2484"/>
      <c r="C157" s="2484"/>
      <c r="D157" s="2484"/>
      <c r="E157" s="2484"/>
      <c r="F157" s="2484"/>
      <c r="G157" s="2485"/>
      <c r="H157" s="1788">
        <f>SUMIF(G12:G139,"KVJUD ",H12:H139)</f>
        <v>223048</v>
      </c>
      <c r="I157" s="1656">
        <f>SUMIF(G12:G139,"KVJUD ",I12:I139)</f>
        <v>1358409</v>
      </c>
      <c r="J157" s="1793">
        <f>SUMIF(G12:G139,"KVJUD ",J12:J139)</f>
        <v>679205</v>
      </c>
      <c r="K157" s="45"/>
      <c r="L157" s="1886"/>
      <c r="M157" s="1886"/>
      <c r="N157" s="61"/>
    </row>
    <row r="158" spans="1:19" s="6" customFormat="1" ht="15.75" customHeight="1" x14ac:dyDescent="0.2">
      <c r="A158" s="2305" t="s">
        <v>349</v>
      </c>
      <c r="B158" s="2306"/>
      <c r="C158" s="2306"/>
      <c r="D158" s="2306"/>
      <c r="E158" s="2306"/>
      <c r="F158" s="2306"/>
      <c r="G158" s="2307"/>
      <c r="H158" s="1788">
        <f>SUMIF(G12:G139,"lrvb",H12:H139)</f>
        <v>0</v>
      </c>
      <c r="I158" s="1794">
        <f>SUMIF(G12:G139,"lrvb",I12:I139)</f>
        <v>112633</v>
      </c>
      <c r="J158" s="1789">
        <f>SUMIF(G12:G139,"lrvb",J12:J139)</f>
        <v>112633</v>
      </c>
      <c r="K158" s="45"/>
      <c r="L158" s="1886"/>
      <c r="M158" s="1886"/>
      <c r="N158" s="61"/>
    </row>
    <row r="159" spans="1:19" ht="13.5" thickBot="1" x14ac:dyDescent="0.25">
      <c r="A159" s="2480" t="s">
        <v>35</v>
      </c>
      <c r="B159" s="2481"/>
      <c r="C159" s="2481"/>
      <c r="D159" s="2481"/>
      <c r="E159" s="2481"/>
      <c r="F159" s="2481"/>
      <c r="G159" s="2482"/>
      <c r="H159" s="1362">
        <f>H155+H147</f>
        <v>62918438</v>
      </c>
      <c r="I159" s="1349">
        <f>I155+I147</f>
        <v>60656118</v>
      </c>
      <c r="J159" s="1659">
        <f ca="1">J155+J147</f>
        <v>62429233</v>
      </c>
      <c r="K159" s="73"/>
      <c r="L159" s="2115"/>
      <c r="M159" s="2115"/>
    </row>
    <row r="161" spans="1:14" x14ac:dyDescent="0.2">
      <c r="D161" s="2"/>
      <c r="E161" s="215"/>
      <c r="F161" s="1908"/>
      <c r="G161" s="114"/>
      <c r="H161" s="1396"/>
      <c r="I161" s="1400"/>
      <c r="J161" s="1400"/>
    </row>
    <row r="162" spans="1:14" x14ac:dyDescent="0.2">
      <c r="D162" s="2"/>
      <c r="E162" s="215"/>
      <c r="F162" s="1908"/>
      <c r="G162" s="114"/>
      <c r="H162" s="1396"/>
      <c r="I162" s="1400"/>
      <c r="J162" s="1400"/>
      <c r="L162" s="709"/>
    </row>
    <row r="163" spans="1:14" x14ac:dyDescent="0.2">
      <c r="D163" s="2"/>
      <c r="E163" s="215"/>
      <c r="F163" s="1908"/>
      <c r="G163" s="114"/>
      <c r="H163" s="1396"/>
      <c r="I163" s="1400"/>
      <c r="J163" s="1400"/>
    </row>
    <row r="164" spans="1:14" x14ac:dyDescent="0.2">
      <c r="D164" s="2"/>
      <c r="E164" s="215"/>
      <c r="F164" s="1908"/>
      <c r="G164" s="114"/>
      <c r="H164" s="1396"/>
      <c r="I164" s="1400"/>
      <c r="J164" s="1400"/>
    </row>
    <row r="165" spans="1:14" x14ac:dyDescent="0.2">
      <c r="D165" s="2"/>
      <c r="E165" s="215"/>
      <c r="F165" s="1908"/>
      <c r="G165" s="114"/>
      <c r="H165" s="1396"/>
      <c r="I165" s="1400"/>
      <c r="J165" s="1400"/>
    </row>
    <row r="166" spans="1:14" x14ac:dyDescent="0.2">
      <c r="D166" s="2"/>
      <c r="E166" s="215"/>
      <c r="F166" s="1908"/>
      <c r="G166" s="114"/>
      <c r="H166" s="1396"/>
      <c r="I166" s="1400"/>
      <c r="J166" s="1400"/>
      <c r="K166" s="2"/>
    </row>
    <row r="167" spans="1:14" x14ac:dyDescent="0.2">
      <c r="D167" s="2"/>
      <c r="E167" s="215"/>
      <c r="F167" s="1908"/>
      <c r="G167" s="114"/>
      <c r="H167" s="1396"/>
      <c r="I167" s="1400"/>
      <c r="J167" s="1400"/>
    </row>
    <row r="168" spans="1:14" x14ac:dyDescent="0.2">
      <c r="D168" s="2"/>
      <c r="E168" s="215"/>
      <c r="F168" s="1908"/>
      <c r="G168" s="114"/>
      <c r="H168" s="1396"/>
      <c r="I168" s="1400"/>
      <c r="J168" s="1400"/>
    </row>
    <row r="169" spans="1:14" x14ac:dyDescent="0.2">
      <c r="D169" s="2"/>
      <c r="E169" s="215"/>
      <c r="F169" s="1908"/>
      <c r="G169" s="114"/>
      <c r="H169" s="1396"/>
      <c r="I169" s="1400"/>
      <c r="J169" s="1400"/>
    </row>
    <row r="170" spans="1:14" x14ac:dyDescent="0.2">
      <c r="D170" s="2"/>
      <c r="E170" s="215"/>
      <c r="F170" s="1908"/>
      <c r="G170" s="114"/>
      <c r="H170" s="1396"/>
      <c r="I170" s="1400"/>
      <c r="J170" s="1400"/>
    </row>
    <row r="171" spans="1:14" x14ac:dyDescent="0.2">
      <c r="D171" s="2"/>
      <c r="E171" s="215"/>
      <c r="F171" s="1908"/>
      <c r="G171" s="114"/>
      <c r="H171" s="1396"/>
      <c r="I171" s="1400"/>
      <c r="J171" s="1400"/>
    </row>
    <row r="172" spans="1:14" x14ac:dyDescent="0.2">
      <c r="A172" s="2"/>
      <c r="B172" s="2"/>
      <c r="C172" s="2"/>
      <c r="D172" s="2"/>
      <c r="E172" s="215"/>
      <c r="F172" s="1908"/>
      <c r="G172" s="114"/>
      <c r="H172" s="1396"/>
      <c r="I172" s="1400"/>
      <c r="J172" s="1400"/>
      <c r="K172" s="2"/>
      <c r="L172" s="2"/>
      <c r="M172" s="2"/>
      <c r="N172" s="2"/>
    </row>
    <row r="173" spans="1:14" x14ac:dyDescent="0.2">
      <c r="A173" s="2"/>
      <c r="B173" s="2"/>
      <c r="C173" s="2"/>
      <c r="D173" s="2"/>
      <c r="E173" s="215"/>
      <c r="F173" s="1908"/>
      <c r="G173" s="114"/>
      <c r="H173" s="1396"/>
      <c r="I173" s="1400"/>
      <c r="J173" s="1400"/>
      <c r="K173" s="2"/>
      <c r="L173" s="2"/>
      <c r="M173" s="2"/>
      <c r="N173" s="2"/>
    </row>
    <row r="174" spans="1:14" x14ac:dyDescent="0.2">
      <c r="A174" s="2"/>
      <c r="B174" s="2"/>
      <c r="C174" s="2"/>
      <c r="D174" s="2"/>
      <c r="E174" s="215"/>
      <c r="F174" s="1908"/>
      <c r="G174" s="114"/>
      <c r="H174" s="1396"/>
      <c r="I174" s="1400"/>
      <c r="J174" s="1400"/>
      <c r="K174" s="2"/>
      <c r="L174" s="2"/>
      <c r="M174" s="2"/>
      <c r="N174" s="2"/>
    </row>
    <row r="175" spans="1:14" x14ac:dyDescent="0.2">
      <c r="A175" s="2"/>
      <c r="B175" s="2"/>
      <c r="C175" s="2"/>
      <c r="D175" s="2"/>
      <c r="E175" s="215"/>
      <c r="F175" s="1908"/>
      <c r="G175" s="114"/>
      <c r="H175" s="1396"/>
      <c r="I175" s="1400"/>
      <c r="J175" s="1400"/>
      <c r="K175" s="2"/>
      <c r="L175" s="2"/>
      <c r="M175" s="2"/>
      <c r="N175" s="2"/>
    </row>
    <row r="176" spans="1:14" x14ac:dyDescent="0.2">
      <c r="A176" s="2"/>
      <c r="B176" s="2"/>
      <c r="C176" s="2"/>
      <c r="D176" s="2"/>
      <c r="E176" s="215"/>
      <c r="F176" s="1908"/>
      <c r="G176" s="114"/>
      <c r="H176" s="1396"/>
      <c r="I176" s="1400"/>
      <c r="J176" s="1400"/>
      <c r="K176" s="2"/>
      <c r="L176" s="2"/>
      <c r="M176" s="2"/>
      <c r="N176" s="2"/>
    </row>
    <row r="177" spans="1:14" x14ac:dyDescent="0.2">
      <c r="A177" s="2"/>
      <c r="B177" s="2"/>
      <c r="C177" s="2"/>
      <c r="D177" s="2"/>
      <c r="E177" s="215"/>
      <c r="F177" s="1908"/>
      <c r="G177" s="114"/>
      <c r="H177" s="1396"/>
      <c r="I177" s="1400"/>
      <c r="J177" s="1400"/>
      <c r="K177" s="2"/>
      <c r="L177" s="2"/>
      <c r="M177" s="2"/>
      <c r="N177" s="2"/>
    </row>
    <row r="178" spans="1:14" x14ac:dyDescent="0.2">
      <c r="A178" s="2"/>
      <c r="B178" s="2"/>
      <c r="C178" s="2"/>
      <c r="D178" s="2"/>
      <c r="E178" s="215"/>
      <c r="F178" s="1908"/>
      <c r="G178" s="114"/>
      <c r="H178" s="1396"/>
      <c r="I178" s="1400"/>
      <c r="J178" s="1400"/>
      <c r="K178" s="2"/>
      <c r="L178" s="2"/>
      <c r="M178" s="2"/>
      <c r="N178" s="2"/>
    </row>
    <row r="179" spans="1:14" x14ac:dyDescent="0.2">
      <c r="A179" s="2"/>
      <c r="B179" s="2"/>
      <c r="C179" s="2"/>
      <c r="D179" s="2"/>
      <c r="E179" s="215"/>
      <c r="F179" s="1908"/>
      <c r="G179" s="114"/>
      <c r="H179" s="1396"/>
      <c r="I179" s="1400"/>
      <c r="J179" s="1400"/>
      <c r="K179" s="2"/>
      <c r="L179" s="2"/>
      <c r="M179" s="2"/>
      <c r="N179" s="2"/>
    </row>
    <row r="180" spans="1:14" x14ac:dyDescent="0.2">
      <c r="A180" s="2"/>
      <c r="B180" s="2"/>
      <c r="C180" s="2"/>
      <c r="D180" s="2"/>
      <c r="E180" s="215"/>
      <c r="F180" s="1908"/>
      <c r="G180" s="114"/>
      <c r="H180" s="1396"/>
      <c r="I180" s="1400"/>
      <c r="J180" s="1400"/>
      <c r="K180" s="2"/>
      <c r="L180" s="2"/>
      <c r="M180" s="2"/>
      <c r="N180" s="2"/>
    </row>
    <row r="181" spans="1:14" x14ac:dyDescent="0.2">
      <c r="A181" s="2"/>
      <c r="B181" s="2"/>
      <c r="C181" s="2"/>
      <c r="D181" s="2"/>
      <c r="E181" s="215"/>
      <c r="F181" s="1908"/>
      <c r="G181" s="114"/>
      <c r="H181" s="1396"/>
      <c r="I181" s="1400"/>
      <c r="J181" s="1400"/>
      <c r="K181" s="2"/>
      <c r="L181" s="2"/>
      <c r="M181" s="2"/>
      <c r="N181" s="2"/>
    </row>
    <row r="182" spans="1:14" x14ac:dyDescent="0.2">
      <c r="A182" s="2"/>
      <c r="B182" s="2"/>
      <c r="C182" s="2"/>
      <c r="D182" s="2"/>
      <c r="E182" s="215"/>
      <c r="F182" s="1908"/>
      <c r="G182" s="114"/>
      <c r="H182" s="1396"/>
      <c r="I182" s="1400"/>
      <c r="J182" s="1400"/>
      <c r="K182" s="2"/>
      <c r="L182" s="2"/>
      <c r="M182" s="2"/>
      <c r="N182" s="2"/>
    </row>
    <row r="183" spans="1:14" x14ac:dyDescent="0.2">
      <c r="A183" s="2"/>
      <c r="B183" s="2"/>
      <c r="C183" s="2"/>
      <c r="D183" s="2"/>
      <c r="E183" s="215"/>
      <c r="F183" s="1908"/>
      <c r="G183" s="114"/>
      <c r="H183" s="1396"/>
      <c r="I183" s="1400"/>
      <c r="J183" s="1400"/>
      <c r="K183" s="2"/>
      <c r="L183" s="2"/>
      <c r="M183" s="2"/>
      <c r="N183" s="2"/>
    </row>
    <row r="184" spans="1:14" x14ac:dyDescent="0.2">
      <c r="A184" s="2"/>
      <c r="B184" s="2"/>
      <c r="C184" s="2"/>
      <c r="D184" s="2"/>
      <c r="E184" s="215"/>
      <c r="F184" s="1908"/>
      <c r="G184" s="114"/>
      <c r="H184" s="1396"/>
      <c r="I184" s="1400"/>
      <c r="J184" s="1400"/>
      <c r="K184" s="2"/>
      <c r="L184" s="2"/>
      <c r="M184" s="2"/>
      <c r="N184" s="2"/>
    </row>
  </sheetData>
  <mergeCells count="232">
    <mergeCell ref="A158:G158"/>
    <mergeCell ref="K75:K76"/>
    <mergeCell ref="D72:D74"/>
    <mergeCell ref="D75:D76"/>
    <mergeCell ref="K72:K73"/>
    <mergeCell ref="L159:M159"/>
    <mergeCell ref="D96:D98"/>
    <mergeCell ref="E98:G98"/>
    <mergeCell ref="A159:G159"/>
    <mergeCell ref="A157:G157"/>
    <mergeCell ref="A155:G155"/>
    <mergeCell ref="L155:M155"/>
    <mergeCell ref="A156:G156"/>
    <mergeCell ref="L156:M156"/>
    <mergeCell ref="A152:G152"/>
    <mergeCell ref="L152:M152"/>
    <mergeCell ref="L149:M149"/>
    <mergeCell ref="A151:G151"/>
    <mergeCell ref="L151:M151"/>
    <mergeCell ref="A149:G149"/>
    <mergeCell ref="A147:G147"/>
    <mergeCell ref="L147:M147"/>
    <mergeCell ref="A150:G150"/>
    <mergeCell ref="A148:G148"/>
    <mergeCell ref="L148:M148"/>
    <mergeCell ref="A145:J145"/>
    <mergeCell ref="A146:G146"/>
    <mergeCell ref="L146:M146"/>
    <mergeCell ref="C141:G141"/>
    <mergeCell ref="K141:N141"/>
    <mergeCell ref="B142:G142"/>
    <mergeCell ref="K142:N142"/>
    <mergeCell ref="B143:G143"/>
    <mergeCell ref="K143:N143"/>
    <mergeCell ref="K134:K135"/>
    <mergeCell ref="A139:A140"/>
    <mergeCell ref="B139:B140"/>
    <mergeCell ref="D139:D140"/>
    <mergeCell ref="E139:E140"/>
    <mergeCell ref="F139:F140"/>
    <mergeCell ref="D137:D138"/>
    <mergeCell ref="A134:A135"/>
    <mergeCell ref="B134:B135"/>
    <mergeCell ref="D134:D135"/>
    <mergeCell ref="E134:E135"/>
    <mergeCell ref="F134:F135"/>
    <mergeCell ref="D132:D133"/>
    <mergeCell ref="E132:E133"/>
    <mergeCell ref="F132:F133"/>
    <mergeCell ref="K132:K133"/>
    <mergeCell ref="C120:G120"/>
    <mergeCell ref="K120:N120"/>
    <mergeCell ref="C121:N121"/>
    <mergeCell ref="K114:K115"/>
    <mergeCell ref="D116:D119"/>
    <mergeCell ref="E116:E119"/>
    <mergeCell ref="F116:F119"/>
    <mergeCell ref="E130:E131"/>
    <mergeCell ref="F130:F131"/>
    <mergeCell ref="D130:D131"/>
    <mergeCell ref="D107:D109"/>
    <mergeCell ref="K97:K98"/>
    <mergeCell ref="A114:A115"/>
    <mergeCell ref="B114:B115"/>
    <mergeCell ref="D114:D115"/>
    <mergeCell ref="E114:E115"/>
    <mergeCell ref="F114:F115"/>
    <mergeCell ref="C112:G112"/>
    <mergeCell ref="K112:N112"/>
    <mergeCell ref="D110:D111"/>
    <mergeCell ref="E110:E111"/>
    <mergeCell ref="E108:E109"/>
    <mergeCell ref="E102:E106"/>
    <mergeCell ref="F102:F106"/>
    <mergeCell ref="K108:K109"/>
    <mergeCell ref="D105:D106"/>
    <mergeCell ref="D81:D83"/>
    <mergeCell ref="D84:D87"/>
    <mergeCell ref="C84:C87"/>
    <mergeCell ref="E87:G87"/>
    <mergeCell ref="F84:F86"/>
    <mergeCell ref="D99:D101"/>
    <mergeCell ref="E99:E100"/>
    <mergeCell ref="F99:F101"/>
    <mergeCell ref="K99:K101"/>
    <mergeCell ref="D94:D95"/>
    <mergeCell ref="D89:D92"/>
    <mergeCell ref="K89:K93"/>
    <mergeCell ref="C66:N66"/>
    <mergeCell ref="D68:D71"/>
    <mergeCell ref="K68:K70"/>
    <mergeCell ref="K61:K62"/>
    <mergeCell ref="C63:G63"/>
    <mergeCell ref="L63:N63"/>
    <mergeCell ref="B64:G64"/>
    <mergeCell ref="K64:N64"/>
    <mergeCell ref="B65:N65"/>
    <mergeCell ref="F59:F60"/>
    <mergeCell ref="A61:A62"/>
    <mergeCell ref="C61:C62"/>
    <mergeCell ref="D61:D62"/>
    <mergeCell ref="E61:E62"/>
    <mergeCell ref="F61:F62"/>
    <mergeCell ref="A59:A60"/>
    <mergeCell ref="C59:C60"/>
    <mergeCell ref="D59:D60"/>
    <mergeCell ref="E59:E60"/>
    <mergeCell ref="A57:A58"/>
    <mergeCell ref="B57:B58"/>
    <mergeCell ref="C57:C58"/>
    <mergeCell ref="D57:D58"/>
    <mergeCell ref="E57:E58"/>
    <mergeCell ref="F57:F58"/>
    <mergeCell ref="F52:F53"/>
    <mergeCell ref="A54:A56"/>
    <mergeCell ref="B54:B56"/>
    <mergeCell ref="C54:C56"/>
    <mergeCell ref="D54:D56"/>
    <mergeCell ref="E54:E56"/>
    <mergeCell ref="F54:F56"/>
    <mergeCell ref="F50:F51"/>
    <mergeCell ref="K50:K51"/>
    <mergeCell ref="A52:A53"/>
    <mergeCell ref="C52:C53"/>
    <mergeCell ref="D52:D53"/>
    <mergeCell ref="E52:E53"/>
    <mergeCell ref="A50:A51"/>
    <mergeCell ref="B50:B51"/>
    <mergeCell ref="C50:C51"/>
    <mergeCell ref="D50:D51"/>
    <mergeCell ref="E50:E51"/>
    <mergeCell ref="C47:N47"/>
    <mergeCell ref="B48:B49"/>
    <mergeCell ref="C48:C49"/>
    <mergeCell ref="D48:D49"/>
    <mergeCell ref="E48:E49"/>
    <mergeCell ref="F48:F49"/>
    <mergeCell ref="K44:K45"/>
    <mergeCell ref="L44:L45"/>
    <mergeCell ref="M44:M45"/>
    <mergeCell ref="N44:N45"/>
    <mergeCell ref="C46:G46"/>
    <mergeCell ref="K46:N46"/>
    <mergeCell ref="D44:D45"/>
    <mergeCell ref="E44:E45"/>
    <mergeCell ref="F44:F45"/>
    <mergeCell ref="K40:K41"/>
    <mergeCell ref="D42:D43"/>
    <mergeCell ref="E42:E43"/>
    <mergeCell ref="F42:F43"/>
    <mergeCell ref="K38:K39"/>
    <mergeCell ref="L38:L39"/>
    <mergeCell ref="M38:M39"/>
    <mergeCell ref="N38:N39"/>
    <mergeCell ref="D40:D41"/>
    <mergeCell ref="E40:E41"/>
    <mergeCell ref="F40:F41"/>
    <mergeCell ref="L36:L37"/>
    <mergeCell ref="M36:M37"/>
    <mergeCell ref="N36:N37"/>
    <mergeCell ref="D38:D39"/>
    <mergeCell ref="E38:E39"/>
    <mergeCell ref="F38:F39"/>
    <mergeCell ref="D36:D37"/>
    <mergeCell ref="E36:E37"/>
    <mergeCell ref="F36:F37"/>
    <mergeCell ref="F25:F27"/>
    <mergeCell ref="D32:D33"/>
    <mergeCell ref="E32:E33"/>
    <mergeCell ref="F32:F33"/>
    <mergeCell ref="F30:F31"/>
    <mergeCell ref="K30:K31"/>
    <mergeCell ref="E30:E31"/>
    <mergeCell ref="D34:D35"/>
    <mergeCell ref="K36:K37"/>
    <mergeCell ref="A28:A29"/>
    <mergeCell ref="B28:B29"/>
    <mergeCell ref="C28:C29"/>
    <mergeCell ref="D28:D29"/>
    <mergeCell ref="E28:E29"/>
    <mergeCell ref="A25:A27"/>
    <mergeCell ref="C25:C27"/>
    <mergeCell ref="D25:D27"/>
    <mergeCell ref="E25:E27"/>
    <mergeCell ref="L30:L31"/>
    <mergeCell ref="M30:M31"/>
    <mergeCell ref="A1:N1"/>
    <mergeCell ref="A2:N2"/>
    <mergeCell ref="A3:N3"/>
    <mergeCell ref="C4:N4"/>
    <mergeCell ref="A5:A7"/>
    <mergeCell ref="B5:B7"/>
    <mergeCell ref="C5:C7"/>
    <mergeCell ref="D5:D7"/>
    <mergeCell ref="E5:E7"/>
    <mergeCell ref="K6:K7"/>
    <mergeCell ref="L6:N6"/>
    <mergeCell ref="I5:I7"/>
    <mergeCell ref="J5:J7"/>
    <mergeCell ref="K5:N5"/>
    <mergeCell ref="H5:H7"/>
    <mergeCell ref="N30:N31"/>
    <mergeCell ref="A30:A31"/>
    <mergeCell ref="B30:B31"/>
    <mergeCell ref="C30:C31"/>
    <mergeCell ref="D30:D31"/>
    <mergeCell ref="F5:F7"/>
    <mergeCell ref="F28:F29"/>
    <mergeCell ref="D77:D78"/>
    <mergeCell ref="K77:K78"/>
    <mergeCell ref="A154:G154"/>
    <mergeCell ref="A153:G153"/>
    <mergeCell ref="E79:G79"/>
    <mergeCell ref="G5:G7"/>
    <mergeCell ref="A8:N8"/>
    <mergeCell ref="M21:M22"/>
    <mergeCell ref="N21:N22"/>
    <mergeCell ref="A21:A23"/>
    <mergeCell ref="C21:C23"/>
    <mergeCell ref="F21:F23"/>
    <mergeCell ref="K21:K22"/>
    <mergeCell ref="L21:L22"/>
    <mergeCell ref="K18:K19"/>
    <mergeCell ref="A9:N9"/>
    <mergeCell ref="B10:N10"/>
    <mergeCell ref="C11:N11"/>
    <mergeCell ref="C12:C13"/>
    <mergeCell ref="D12:D13"/>
    <mergeCell ref="E12:E13"/>
    <mergeCell ref="D21:D23"/>
    <mergeCell ref="E21:E23"/>
    <mergeCell ref="D16:D19"/>
  </mergeCells>
  <printOptions horizontalCentered="1"/>
  <pageMargins left="0.78740157480314965" right="0" top="0.39370078740157483" bottom="0.39370078740157483" header="0.31496062992125984" footer="0.31496062992125984"/>
  <pageSetup paperSize="9" scale="72" orientation="portrait" r:id="rId1"/>
  <rowBreaks count="1" manualBreakCount="1">
    <brk id="66" max="13" man="1"/>
  </rowBreaks>
  <colBreaks count="1" manualBreakCount="1">
    <brk id="14" max="16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6"/>
  <sheetViews>
    <sheetView view="pageBreakPreview" zoomScaleNormal="110" zoomScaleSheetLayoutView="100" workbookViewId="0">
      <selection activeCell="T8" sqref="T8"/>
    </sheetView>
  </sheetViews>
  <sheetFormatPr defaultRowHeight="12.75" x14ac:dyDescent="0.2"/>
  <cols>
    <col min="1" max="3" width="2.42578125" style="6" customWidth="1"/>
    <col min="4" max="4" width="45.140625" style="6" customWidth="1"/>
    <col min="5" max="5" width="3.5703125" style="214" customWidth="1"/>
    <col min="6" max="6" width="3" style="61" customWidth="1"/>
    <col min="7" max="7" width="9.7109375" style="1821" customWidth="1"/>
    <col min="8" max="9" width="10.5703125" style="1774" customWidth="1"/>
    <col min="10" max="10" width="8.42578125" style="1774" customWidth="1"/>
    <col min="11" max="11" width="9.140625" style="2" customWidth="1"/>
    <col min="12" max="16384" width="9.140625" style="2"/>
  </cols>
  <sheetData>
    <row r="1" spans="1:14" ht="21.75" customHeight="1" x14ac:dyDescent="0.2">
      <c r="I1" s="2509" t="s">
        <v>325</v>
      </c>
      <c r="J1" s="2509"/>
    </row>
    <row r="2" spans="1:14" x14ac:dyDescent="0.2">
      <c r="A2" s="2178" t="s">
        <v>314</v>
      </c>
      <c r="B2" s="2178"/>
      <c r="C2" s="2178"/>
      <c r="D2" s="2178"/>
      <c r="E2" s="2178"/>
      <c r="F2" s="2178"/>
      <c r="G2" s="2178"/>
      <c r="H2" s="2178"/>
      <c r="I2" s="2178"/>
      <c r="J2" s="2178"/>
    </row>
    <row r="3" spans="1:14" x14ac:dyDescent="0.2">
      <c r="A3" s="2185" t="s">
        <v>39</v>
      </c>
      <c r="B3" s="2185"/>
      <c r="C3" s="2185"/>
      <c r="D3" s="2185"/>
      <c r="E3" s="2185"/>
      <c r="F3" s="2185"/>
      <c r="G3" s="2185"/>
      <c r="H3" s="2185"/>
      <c r="I3" s="2185"/>
      <c r="J3" s="2185"/>
    </row>
    <row r="4" spans="1:14" x14ac:dyDescent="0.2">
      <c r="A4" s="2186" t="s">
        <v>215</v>
      </c>
      <c r="B4" s="2186"/>
      <c r="C4" s="2186"/>
      <c r="D4" s="2186"/>
      <c r="E4" s="2186"/>
      <c r="F4" s="2186"/>
      <c r="G4" s="2186"/>
      <c r="H4" s="2186"/>
      <c r="I4" s="2186"/>
      <c r="J4" s="2186"/>
    </row>
    <row r="5" spans="1:14" ht="13.5" customHeight="1" thickBot="1" x14ac:dyDescent="0.25">
      <c r="A5" s="1822"/>
      <c r="B5" s="1822"/>
      <c r="C5" s="2199" t="s">
        <v>280</v>
      </c>
      <c r="D5" s="2199"/>
      <c r="E5" s="2199"/>
      <c r="F5" s="2199"/>
      <c r="G5" s="2199"/>
      <c r="H5" s="2199"/>
      <c r="I5" s="2199"/>
      <c r="J5" s="2199"/>
    </row>
    <row r="6" spans="1:14" ht="12.75" customHeight="1" x14ac:dyDescent="0.2">
      <c r="A6" s="2200" t="s">
        <v>12</v>
      </c>
      <c r="B6" s="2216" t="s">
        <v>13</v>
      </c>
      <c r="C6" s="2216" t="s">
        <v>14</v>
      </c>
      <c r="D6" s="2203" t="s">
        <v>31</v>
      </c>
      <c r="E6" s="2179" t="s">
        <v>15</v>
      </c>
      <c r="F6" s="2187" t="s">
        <v>16</v>
      </c>
      <c r="G6" s="2206" t="s">
        <v>17</v>
      </c>
      <c r="H6" s="2467" t="s">
        <v>276</v>
      </c>
      <c r="I6" s="2467" t="s">
        <v>322</v>
      </c>
      <c r="J6" s="2467" t="s">
        <v>321</v>
      </c>
    </row>
    <row r="7" spans="1:14" ht="12.75" customHeight="1" x14ac:dyDescent="0.2">
      <c r="A7" s="2201"/>
      <c r="B7" s="2217"/>
      <c r="C7" s="2217"/>
      <c r="D7" s="2204"/>
      <c r="E7" s="2180"/>
      <c r="F7" s="2188"/>
      <c r="G7" s="2207"/>
      <c r="H7" s="2468"/>
      <c r="I7" s="2468"/>
      <c r="J7" s="2468"/>
    </row>
    <row r="8" spans="1:14" ht="109.5" customHeight="1" thickBot="1" x14ac:dyDescent="0.25">
      <c r="A8" s="2202"/>
      <c r="B8" s="2218"/>
      <c r="C8" s="2218"/>
      <c r="D8" s="2205"/>
      <c r="E8" s="2181"/>
      <c r="F8" s="2189"/>
      <c r="G8" s="2208"/>
      <c r="H8" s="2469"/>
      <c r="I8" s="2469"/>
      <c r="J8" s="2469"/>
    </row>
    <row r="9" spans="1:14" ht="13.5" customHeight="1" x14ac:dyDescent="0.2">
      <c r="A9" s="2511" t="s">
        <v>41</v>
      </c>
      <c r="B9" s="2512"/>
      <c r="C9" s="2512"/>
      <c r="D9" s="2512"/>
      <c r="E9" s="2512"/>
      <c r="F9" s="2512"/>
      <c r="G9" s="2512"/>
      <c r="H9" s="2512"/>
      <c r="I9" s="2512"/>
      <c r="J9" s="2513"/>
    </row>
    <row r="10" spans="1:14" ht="13.5" customHeight="1" x14ac:dyDescent="0.2">
      <c r="A10" s="2514" t="s">
        <v>40</v>
      </c>
      <c r="B10" s="2515"/>
      <c r="C10" s="2515"/>
      <c r="D10" s="2515"/>
      <c r="E10" s="2515"/>
      <c r="F10" s="2515"/>
      <c r="G10" s="2515"/>
      <c r="H10" s="2515"/>
      <c r="I10" s="2515"/>
      <c r="J10" s="2516"/>
    </row>
    <row r="11" spans="1:14" x14ac:dyDescent="0.2">
      <c r="A11" s="1718" t="s">
        <v>20</v>
      </c>
      <c r="B11" s="2517" t="s">
        <v>51</v>
      </c>
      <c r="C11" s="2518"/>
      <c r="D11" s="2518"/>
      <c r="E11" s="2518"/>
      <c r="F11" s="2518"/>
      <c r="G11" s="2518"/>
      <c r="H11" s="2518"/>
      <c r="I11" s="2518"/>
      <c r="J11" s="2519"/>
    </row>
    <row r="12" spans="1:14" ht="13.5" customHeight="1" thickBot="1" x14ac:dyDescent="0.25">
      <c r="A12" s="1719" t="s">
        <v>20</v>
      </c>
      <c r="B12" s="1720" t="s">
        <v>20</v>
      </c>
      <c r="C12" s="2520" t="s">
        <v>182</v>
      </c>
      <c r="D12" s="2521"/>
      <c r="E12" s="2521"/>
      <c r="F12" s="2521"/>
      <c r="G12" s="2521"/>
      <c r="H12" s="2521"/>
      <c r="I12" s="2521"/>
      <c r="J12" s="2522"/>
    </row>
    <row r="13" spans="1:14" ht="12.75" customHeight="1" x14ac:dyDescent="0.2">
      <c r="A13" s="26" t="s">
        <v>20</v>
      </c>
      <c r="B13" s="27" t="s">
        <v>20</v>
      </c>
      <c r="C13" s="2222" t="s">
        <v>20</v>
      </c>
      <c r="D13" s="2510" t="s">
        <v>102</v>
      </c>
      <c r="E13" s="2275"/>
      <c r="F13" s="886" t="s">
        <v>43</v>
      </c>
      <c r="G13" s="117" t="s">
        <v>22</v>
      </c>
      <c r="H13" s="1717">
        <f>(32692.6+5135.9+15891.2+15303.6+749.4+1166.9+406.7)/3.4528*1000+63631+2720+7150+28974+19342+15227+6550</f>
        <v>20806911</v>
      </c>
      <c r="I13" s="1156">
        <v>20806911</v>
      </c>
      <c r="J13" s="1360">
        <f t="shared" ref="J13:J17" si="0">I13-H13</f>
        <v>0</v>
      </c>
      <c r="K13" s="1400"/>
    </row>
    <row r="14" spans="1:14" x14ac:dyDescent="0.2">
      <c r="A14" s="26"/>
      <c r="B14" s="27"/>
      <c r="C14" s="2222"/>
      <c r="D14" s="2510"/>
      <c r="E14" s="2241"/>
      <c r="F14" s="886"/>
      <c r="G14" s="117" t="s">
        <v>25</v>
      </c>
      <c r="H14" s="1942">
        <v>31128798</v>
      </c>
      <c r="I14" s="1945">
        <v>31558537</v>
      </c>
      <c r="J14" s="1946">
        <f t="shared" si="0"/>
        <v>429739</v>
      </c>
      <c r="K14" s="1400"/>
    </row>
    <row r="15" spans="1:14" x14ac:dyDescent="0.2">
      <c r="A15" s="26"/>
      <c r="B15" s="27"/>
      <c r="C15" s="1824"/>
      <c r="D15" s="2466"/>
      <c r="E15" s="1838"/>
      <c r="F15" s="886"/>
      <c r="G15" s="376" t="s">
        <v>91</v>
      </c>
      <c r="H15" s="1717">
        <f>5008279+445640</f>
        <v>5453919</v>
      </c>
      <c r="I15" s="1182">
        <v>5453919</v>
      </c>
      <c r="J15" s="1157">
        <f t="shared" si="0"/>
        <v>0</v>
      </c>
    </row>
    <row r="16" spans="1:14" ht="21" customHeight="1" x14ac:dyDescent="0.2">
      <c r="A16" s="26"/>
      <c r="B16" s="1823"/>
      <c r="C16" s="155"/>
      <c r="D16" s="2432" t="s">
        <v>191</v>
      </c>
      <c r="E16" s="864"/>
      <c r="F16" s="886"/>
      <c r="G16" s="248" t="s">
        <v>323</v>
      </c>
      <c r="H16" s="1684">
        <v>8431</v>
      </c>
      <c r="I16" s="1610">
        <v>8431</v>
      </c>
      <c r="J16" s="1611">
        <f t="shared" si="0"/>
        <v>0</v>
      </c>
      <c r="L16" s="157"/>
      <c r="M16" s="157"/>
      <c r="N16" s="157"/>
    </row>
    <row r="17" spans="1:14" ht="21" customHeight="1" x14ac:dyDescent="0.2">
      <c r="A17" s="26"/>
      <c r="B17" s="27"/>
      <c r="C17" s="155"/>
      <c r="D17" s="2122"/>
      <c r="E17" s="864"/>
      <c r="F17" s="886"/>
      <c r="G17" s="248" t="s">
        <v>329</v>
      </c>
      <c r="H17" s="1684">
        <v>681245</v>
      </c>
      <c r="I17" s="1323">
        <v>681245</v>
      </c>
      <c r="J17" s="1611">
        <f t="shared" si="0"/>
        <v>0</v>
      </c>
    </row>
    <row r="18" spans="1:14" ht="12.75" customHeight="1" x14ac:dyDescent="0.2">
      <c r="A18" s="2153"/>
      <c r="B18" s="27"/>
      <c r="C18" s="2226"/>
      <c r="D18" s="2237" t="s">
        <v>267</v>
      </c>
      <c r="E18" s="2275"/>
      <c r="F18" s="2465"/>
      <c r="G18" s="652"/>
      <c r="H18" s="1685"/>
      <c r="I18" s="1572"/>
      <c r="J18" s="1174"/>
    </row>
    <row r="19" spans="1:14" x14ac:dyDescent="0.2">
      <c r="A19" s="2153"/>
      <c r="B19" s="27"/>
      <c r="C19" s="2226"/>
      <c r="D19" s="2237"/>
      <c r="E19" s="2229"/>
      <c r="F19" s="2435"/>
      <c r="G19" s="891"/>
      <c r="H19" s="1685"/>
      <c r="I19" s="1155"/>
      <c r="J19" s="1180"/>
    </row>
    <row r="20" spans="1:14" ht="15" customHeight="1" x14ac:dyDescent="0.2">
      <c r="A20" s="2154"/>
      <c r="B20" s="1823"/>
      <c r="C20" s="2164"/>
      <c r="D20" s="2237" t="s">
        <v>268</v>
      </c>
      <c r="E20" s="2275"/>
      <c r="F20" s="2424"/>
      <c r="G20" s="652"/>
      <c r="H20" s="1685"/>
      <c r="I20" s="1572"/>
      <c r="J20" s="1174"/>
    </row>
    <row r="21" spans="1:14" ht="15" customHeight="1" x14ac:dyDescent="0.2">
      <c r="A21" s="2154"/>
      <c r="B21" s="1823"/>
      <c r="C21" s="2164"/>
      <c r="D21" s="2237"/>
      <c r="E21" s="2229"/>
      <c r="F21" s="2423"/>
      <c r="G21" s="652"/>
      <c r="H21" s="1685"/>
      <c r="I21" s="1572"/>
      <c r="J21" s="1174"/>
      <c r="N21" s="2" t="s">
        <v>350</v>
      </c>
    </row>
    <row r="22" spans="1:14" x14ac:dyDescent="0.2">
      <c r="A22" s="2219"/>
      <c r="B22" s="2220"/>
      <c r="C22" s="2222"/>
      <c r="D22" s="2237" t="s">
        <v>241</v>
      </c>
      <c r="E22" s="2284"/>
      <c r="F22" s="2427"/>
      <c r="G22" s="652"/>
      <c r="H22" s="1685"/>
      <c r="I22" s="1572"/>
      <c r="J22" s="1174"/>
    </row>
    <row r="23" spans="1:14" x14ac:dyDescent="0.2">
      <c r="A23" s="2154"/>
      <c r="B23" s="2221"/>
      <c r="C23" s="2222"/>
      <c r="D23" s="2254"/>
      <c r="E23" s="2470"/>
      <c r="F23" s="2047"/>
      <c r="G23" s="376"/>
      <c r="H23" s="1685"/>
      <c r="I23" s="1187"/>
      <c r="J23" s="1250"/>
    </row>
    <row r="24" spans="1:14" ht="12.75" customHeight="1" x14ac:dyDescent="0.2">
      <c r="A24" s="2154"/>
      <c r="B24" s="2221"/>
      <c r="C24" s="2222"/>
      <c r="D24" s="2223" t="s">
        <v>141</v>
      </c>
      <c r="E24" s="2473"/>
      <c r="F24" s="2427"/>
      <c r="G24" s="652"/>
      <c r="H24" s="1685"/>
      <c r="I24" s="1572"/>
      <c r="J24" s="1174"/>
    </row>
    <row r="25" spans="1:14" x14ac:dyDescent="0.2">
      <c r="A25" s="2154"/>
      <c r="B25" s="2221"/>
      <c r="C25" s="2222"/>
      <c r="D25" s="2223"/>
      <c r="E25" s="2012"/>
      <c r="F25" s="1994"/>
      <c r="G25" s="376"/>
      <c r="H25" s="1685"/>
      <c r="I25" s="1187"/>
      <c r="J25" s="1250"/>
    </row>
    <row r="26" spans="1:14" x14ac:dyDescent="0.2">
      <c r="A26" s="185"/>
      <c r="B26" s="27"/>
      <c r="C26" s="186"/>
      <c r="D26" s="1825" t="s">
        <v>142</v>
      </c>
      <c r="E26" s="1830"/>
      <c r="F26" s="1841"/>
      <c r="G26" s="652"/>
      <c r="H26" s="1685"/>
      <c r="I26" s="1572"/>
      <c r="J26" s="1174"/>
    </row>
    <row r="27" spans="1:14" ht="16.5" customHeight="1" x14ac:dyDescent="0.2">
      <c r="A27" s="185"/>
      <c r="B27" s="27"/>
      <c r="C27" s="155"/>
      <c r="D27" s="2239" t="s">
        <v>183</v>
      </c>
      <c r="E27" s="1805"/>
      <c r="F27" s="1812"/>
      <c r="G27" s="652"/>
      <c r="H27" s="1685"/>
      <c r="I27" s="1572"/>
      <c r="J27" s="1174"/>
      <c r="L27" s="157"/>
    </row>
    <row r="28" spans="1:14" ht="13.5" thickBot="1" x14ac:dyDescent="0.25">
      <c r="A28" s="536"/>
      <c r="B28" s="28"/>
      <c r="C28" s="784"/>
      <c r="D28" s="2262"/>
      <c r="E28" s="1840"/>
      <c r="F28" s="1834"/>
      <c r="G28" s="299" t="s">
        <v>23</v>
      </c>
      <c r="H28" s="1573">
        <f>SUM(H13:H27)</f>
        <v>58079304</v>
      </c>
      <c r="I28" s="1573">
        <f>SUM(I13:I27)</f>
        <v>58509043</v>
      </c>
      <c r="J28" s="1659">
        <f>SUM(J13:J27)</f>
        <v>429739</v>
      </c>
      <c r="L28" s="211"/>
    </row>
    <row r="29" spans="1:14" ht="15" customHeight="1" x14ac:dyDescent="0.2">
      <c r="A29" s="1813" t="s">
        <v>20</v>
      </c>
      <c r="B29" s="220" t="s">
        <v>20</v>
      </c>
      <c r="C29" s="1817" t="s">
        <v>24</v>
      </c>
      <c r="D29" s="2276" t="s">
        <v>197</v>
      </c>
      <c r="E29" s="2415" t="s">
        <v>127</v>
      </c>
      <c r="F29" s="1993">
        <v>2</v>
      </c>
      <c r="G29" s="117" t="s">
        <v>25</v>
      </c>
      <c r="H29" s="1947">
        <f>50.9/3.4528*1000</f>
        <v>14742</v>
      </c>
      <c r="I29" s="1853">
        <v>8963</v>
      </c>
      <c r="J29" s="1948">
        <f>I29-H29</f>
        <v>-5779</v>
      </c>
      <c r="K29" s="1400"/>
      <c r="L29" s="210"/>
    </row>
    <row r="30" spans="1:14" ht="15" customHeight="1" x14ac:dyDescent="0.2">
      <c r="A30" s="1816"/>
      <c r="B30" s="1823"/>
      <c r="C30" s="1818"/>
      <c r="D30" s="2122"/>
      <c r="E30" s="2507"/>
      <c r="F30" s="2047"/>
      <c r="G30" s="117" t="s">
        <v>25</v>
      </c>
      <c r="H30" s="1685">
        <v>1772</v>
      </c>
      <c r="I30" s="1572">
        <v>0</v>
      </c>
      <c r="J30" s="1948">
        <f>I30-H30</f>
        <v>-1772</v>
      </c>
      <c r="K30" s="1400"/>
      <c r="L30" s="210"/>
    </row>
    <row r="31" spans="1:14" ht="13.5" thickBot="1" x14ac:dyDescent="0.25">
      <c r="A31" s="1826"/>
      <c r="B31" s="28"/>
      <c r="C31" s="1832"/>
      <c r="D31" s="2167"/>
      <c r="E31" s="2416"/>
      <c r="F31" s="2402"/>
      <c r="G31" s="299" t="s">
        <v>23</v>
      </c>
      <c r="H31" s="1573">
        <f>SUM(H29:H30)</f>
        <v>16514</v>
      </c>
      <c r="I31" s="1573">
        <f>SUM(I29:I30)</f>
        <v>8963</v>
      </c>
      <c r="J31" s="1659">
        <f>SUM(J29:J30)</f>
        <v>-7551</v>
      </c>
    </row>
    <row r="32" spans="1:14" ht="16.5" customHeight="1" x14ac:dyDescent="0.2">
      <c r="A32" s="1801" t="s">
        <v>20</v>
      </c>
      <c r="B32" s="1808" t="s">
        <v>20</v>
      </c>
      <c r="C32" s="1798" t="s">
        <v>26</v>
      </c>
      <c r="D32" s="2276" t="s">
        <v>149</v>
      </c>
      <c r="E32" s="1995"/>
      <c r="F32" s="1993">
        <v>2</v>
      </c>
      <c r="G32" s="116" t="s">
        <v>25</v>
      </c>
      <c r="H32" s="1737">
        <v>41190</v>
      </c>
      <c r="I32" s="1853">
        <v>45982</v>
      </c>
      <c r="J32" s="1852">
        <f>I32-H32</f>
        <v>4792</v>
      </c>
    </row>
    <row r="33" spans="1:10" ht="13.5" thickBot="1" x14ac:dyDescent="0.25">
      <c r="A33" s="1802"/>
      <c r="B33" s="28"/>
      <c r="C33" s="1799"/>
      <c r="D33" s="2167"/>
      <c r="E33" s="1997"/>
      <c r="F33" s="2402"/>
      <c r="G33" s="299" t="s">
        <v>23</v>
      </c>
      <c r="H33" s="1573">
        <f>H32</f>
        <v>41190</v>
      </c>
      <c r="I33" s="1573">
        <f>I32</f>
        <v>45982</v>
      </c>
      <c r="J33" s="1659">
        <f>J32</f>
        <v>4792</v>
      </c>
    </row>
    <row r="34" spans="1:10" ht="18" customHeight="1" x14ac:dyDescent="0.2">
      <c r="A34" s="1806" t="s">
        <v>20</v>
      </c>
      <c r="B34" s="1808" t="s">
        <v>20</v>
      </c>
      <c r="C34" s="753" t="s">
        <v>28</v>
      </c>
      <c r="D34" s="2165" t="s">
        <v>355</v>
      </c>
      <c r="E34" s="1995"/>
      <c r="F34" s="1993">
        <v>2</v>
      </c>
      <c r="G34" s="116" t="s">
        <v>25</v>
      </c>
      <c r="H34" s="1687">
        <f>84185+172383</f>
        <v>256568</v>
      </c>
      <c r="I34" s="1604">
        <f>84185+172383</f>
        <v>256568</v>
      </c>
      <c r="J34" s="1241">
        <f>I34-H34</f>
        <v>0</v>
      </c>
    </row>
    <row r="35" spans="1:10" ht="13.5" thickBot="1" x14ac:dyDescent="0.25">
      <c r="A35" s="1802"/>
      <c r="B35" s="28"/>
      <c r="C35" s="1799"/>
      <c r="D35" s="2167"/>
      <c r="E35" s="1997"/>
      <c r="F35" s="2402"/>
      <c r="G35" s="299" t="s">
        <v>23</v>
      </c>
      <c r="H35" s="1573">
        <f>H34</f>
        <v>256568</v>
      </c>
      <c r="I35" s="1573">
        <f>I34</f>
        <v>256568</v>
      </c>
      <c r="J35" s="1659">
        <f>J34</f>
        <v>0</v>
      </c>
    </row>
    <row r="36" spans="1:10" ht="12.75" customHeight="1" x14ac:dyDescent="0.2">
      <c r="A36" s="1801" t="s">
        <v>20</v>
      </c>
      <c r="B36" s="1808" t="s">
        <v>20</v>
      </c>
      <c r="C36" s="1798" t="s">
        <v>29</v>
      </c>
      <c r="D36" s="2400" t="s">
        <v>246</v>
      </c>
      <c r="E36" s="1995"/>
      <c r="F36" s="1993">
        <v>2</v>
      </c>
      <c r="G36" s="116" t="s">
        <v>22</v>
      </c>
      <c r="H36" s="1688">
        <f>10/3.4528*1000</f>
        <v>2896</v>
      </c>
      <c r="I36" s="1574">
        <f>10/3.4528*1000</f>
        <v>2896</v>
      </c>
      <c r="J36" s="1241"/>
    </row>
    <row r="37" spans="1:10" ht="13.5" thickBot="1" x14ac:dyDescent="0.25">
      <c r="A37" s="1802"/>
      <c r="B37" s="28"/>
      <c r="C37" s="1799"/>
      <c r="D37" s="2401"/>
      <c r="E37" s="1997"/>
      <c r="F37" s="2402"/>
      <c r="G37" s="299" t="s">
        <v>23</v>
      </c>
      <c r="H37" s="1573">
        <f>H36</f>
        <v>2896</v>
      </c>
      <c r="I37" s="1573">
        <f>I36</f>
        <v>2896</v>
      </c>
      <c r="J37" s="1659"/>
    </row>
    <row r="38" spans="1:10" ht="12.75" customHeight="1" x14ac:dyDescent="0.2">
      <c r="A38" s="1801" t="s">
        <v>20</v>
      </c>
      <c r="B38" s="1808" t="s">
        <v>20</v>
      </c>
      <c r="C38" s="1798" t="s">
        <v>30</v>
      </c>
      <c r="D38" s="2400" t="s">
        <v>248</v>
      </c>
      <c r="E38" s="1995"/>
      <c r="F38" s="1993">
        <v>2</v>
      </c>
      <c r="G38" s="116" t="s">
        <v>22</v>
      </c>
      <c r="H38" s="1688">
        <f>50/3.4528*1000</f>
        <v>14481</v>
      </c>
      <c r="I38" s="1574">
        <f>50/3.4528*1000</f>
        <v>14481</v>
      </c>
      <c r="J38" s="1241"/>
    </row>
    <row r="39" spans="1:10" ht="13.5" thickBot="1" x14ac:dyDescent="0.25">
      <c r="A39" s="1802"/>
      <c r="B39" s="28"/>
      <c r="C39" s="1799"/>
      <c r="D39" s="2401"/>
      <c r="E39" s="1997"/>
      <c r="F39" s="2402"/>
      <c r="G39" s="299" t="s">
        <v>23</v>
      </c>
      <c r="H39" s="1573">
        <f>H38</f>
        <v>14481</v>
      </c>
      <c r="I39" s="1573">
        <f>I38</f>
        <v>14481</v>
      </c>
      <c r="J39" s="1659"/>
    </row>
    <row r="40" spans="1:10" ht="13.5" thickBot="1" x14ac:dyDescent="0.25">
      <c r="A40" s="1802" t="s">
        <v>20</v>
      </c>
      <c r="B40" s="1809" t="s">
        <v>20</v>
      </c>
      <c r="C40" s="2157" t="s">
        <v>27</v>
      </c>
      <c r="D40" s="2157"/>
      <c r="E40" s="2157"/>
      <c r="F40" s="2157"/>
      <c r="G40" s="2074"/>
      <c r="H40" s="1369">
        <f>H39+H37+H35+H33+H31+H28</f>
        <v>58410953</v>
      </c>
      <c r="I40" s="1350">
        <f>I39+I37+I35+I33+I31+I28</f>
        <v>58837933</v>
      </c>
      <c r="J40" s="1370">
        <f t="shared" ref="J40" si="1">J39+J37+J35+J33+J31+J28</f>
        <v>426980</v>
      </c>
    </row>
    <row r="41" spans="1:10" ht="13.5" customHeight="1" thickBot="1" x14ac:dyDescent="0.25">
      <c r="A41" s="15" t="s">
        <v>20</v>
      </c>
      <c r="B41" s="17" t="s">
        <v>24</v>
      </c>
      <c r="C41" s="2007" t="s">
        <v>113</v>
      </c>
      <c r="D41" s="2008"/>
      <c r="E41" s="2008"/>
      <c r="F41" s="2008"/>
      <c r="G41" s="2008"/>
      <c r="H41" s="2008"/>
      <c r="I41" s="2008"/>
      <c r="J41" s="2009"/>
    </row>
    <row r="42" spans="1:10" ht="14.25" customHeight="1" x14ac:dyDescent="0.2">
      <c r="A42" s="219" t="s">
        <v>20</v>
      </c>
      <c r="B42" s="1959" t="s">
        <v>24</v>
      </c>
      <c r="C42" s="2163" t="s">
        <v>20</v>
      </c>
      <c r="D42" s="1991" t="s">
        <v>116</v>
      </c>
      <c r="E42" s="2011"/>
      <c r="F42" s="2001">
        <v>2</v>
      </c>
      <c r="G42" s="1619" t="s">
        <v>22</v>
      </c>
      <c r="H42" s="1691">
        <f>65.4/3.4528*1000</f>
        <v>18941</v>
      </c>
      <c r="I42" s="1576">
        <f>65.4/3.4528*1000</f>
        <v>18941</v>
      </c>
      <c r="J42" s="1657"/>
    </row>
    <row r="43" spans="1:10" ht="15.75" customHeight="1" thickBot="1" x14ac:dyDescent="0.25">
      <c r="A43" s="1826"/>
      <c r="B43" s="1961"/>
      <c r="C43" s="2299"/>
      <c r="D43" s="2377"/>
      <c r="E43" s="2398"/>
      <c r="F43" s="2399"/>
      <c r="G43" s="807" t="s">
        <v>23</v>
      </c>
      <c r="H43" s="1577">
        <f>H42</f>
        <v>18941</v>
      </c>
      <c r="I43" s="1577">
        <f>I42</f>
        <v>18941</v>
      </c>
      <c r="J43" s="1673"/>
    </row>
    <row r="44" spans="1:10" ht="12.75" customHeight="1" x14ac:dyDescent="0.2">
      <c r="A44" s="1988" t="s">
        <v>20</v>
      </c>
      <c r="B44" s="1959" t="s">
        <v>24</v>
      </c>
      <c r="C44" s="1986" t="s">
        <v>24</v>
      </c>
      <c r="D44" s="2168" t="s">
        <v>252</v>
      </c>
      <c r="E44" s="2011"/>
      <c r="F44" s="1993">
        <v>2</v>
      </c>
      <c r="G44" s="652" t="s">
        <v>25</v>
      </c>
      <c r="H44" s="1687">
        <v>30523</v>
      </c>
      <c r="I44" s="1853">
        <v>0</v>
      </c>
      <c r="J44" s="1949">
        <f>I44-H44</f>
        <v>-30523</v>
      </c>
    </row>
    <row r="45" spans="1:10" ht="13.5" thickBot="1" x14ac:dyDescent="0.25">
      <c r="A45" s="1989"/>
      <c r="B45" s="2010"/>
      <c r="C45" s="1987"/>
      <c r="D45" s="2169"/>
      <c r="E45" s="2012"/>
      <c r="F45" s="1994"/>
      <c r="G45" s="299" t="s">
        <v>23</v>
      </c>
      <c r="H45" s="1573">
        <f>H44</f>
        <v>30523</v>
      </c>
      <c r="I45" s="1573">
        <f>I44</f>
        <v>0</v>
      </c>
      <c r="J45" s="1659">
        <f>J44</f>
        <v>-30523</v>
      </c>
    </row>
    <row r="46" spans="1:10" ht="17.25" customHeight="1" x14ac:dyDescent="0.2">
      <c r="A46" s="1984" t="s">
        <v>20</v>
      </c>
      <c r="B46" s="1808" t="s">
        <v>24</v>
      </c>
      <c r="C46" s="1978" t="s">
        <v>26</v>
      </c>
      <c r="D46" s="1970" t="s">
        <v>45</v>
      </c>
      <c r="E46" s="1975"/>
      <c r="F46" s="1998">
        <v>2</v>
      </c>
      <c r="G46" s="750" t="s">
        <v>22</v>
      </c>
      <c r="H46" s="1691">
        <f>136.7/3.4528*1000</f>
        <v>39591</v>
      </c>
      <c r="I46" s="1576">
        <f>136.7/3.4528*1000</f>
        <v>39591</v>
      </c>
      <c r="J46" s="1657"/>
    </row>
    <row r="47" spans="1:10" ht="13.5" thickBot="1" x14ac:dyDescent="0.25">
      <c r="A47" s="1985"/>
      <c r="B47" s="1809"/>
      <c r="C47" s="1979"/>
      <c r="D47" s="1971"/>
      <c r="E47" s="1977"/>
      <c r="F47" s="1999"/>
      <c r="G47" s="1800" t="s">
        <v>23</v>
      </c>
      <c r="H47" s="1573">
        <f>H46</f>
        <v>39591</v>
      </c>
      <c r="I47" s="1573">
        <f>I46</f>
        <v>39591</v>
      </c>
      <c r="J47" s="1659"/>
    </row>
    <row r="48" spans="1:10" ht="20.25" customHeight="1" x14ac:dyDescent="0.2">
      <c r="A48" s="1988" t="s">
        <v>20</v>
      </c>
      <c r="B48" s="1959" t="s">
        <v>24</v>
      </c>
      <c r="C48" s="1986" t="s">
        <v>28</v>
      </c>
      <c r="D48" s="1970" t="s">
        <v>298</v>
      </c>
      <c r="E48" s="2392" t="s">
        <v>121</v>
      </c>
      <c r="F48" s="2042">
        <v>2</v>
      </c>
      <c r="G48" s="647" t="s">
        <v>25</v>
      </c>
      <c r="H48" s="1688">
        <f>133.5/3.4528*1000</f>
        <v>38664</v>
      </c>
      <c r="I48" s="1950">
        <v>0</v>
      </c>
      <c r="J48" s="1854">
        <f>I48-H48</f>
        <v>-38664</v>
      </c>
    </row>
    <row r="49" spans="1:10" ht="13.5" customHeight="1" x14ac:dyDescent="0.2">
      <c r="A49" s="1990"/>
      <c r="B49" s="1960"/>
      <c r="C49" s="2000"/>
      <c r="D49" s="1980"/>
      <c r="E49" s="2324"/>
      <c r="F49" s="2043"/>
      <c r="G49" s="117"/>
      <c r="H49" s="1686"/>
      <c r="I49" s="1570"/>
      <c r="J49" s="1672"/>
    </row>
    <row r="50" spans="1:10" ht="13.5" thickBot="1" x14ac:dyDescent="0.25">
      <c r="A50" s="2013"/>
      <c r="B50" s="1961"/>
      <c r="C50" s="2028"/>
      <c r="D50" s="1971"/>
      <c r="E50" s="2393"/>
      <c r="F50" s="2044"/>
      <c r="G50" s="299" t="s">
        <v>23</v>
      </c>
      <c r="H50" s="1573">
        <f>H48</f>
        <v>38664</v>
      </c>
      <c r="I50" s="1573">
        <f>I48</f>
        <v>0</v>
      </c>
      <c r="J50" s="1659">
        <f>SUM(J48:J49)</f>
        <v>-38664</v>
      </c>
    </row>
    <row r="51" spans="1:10" ht="24" customHeight="1" x14ac:dyDescent="0.2">
      <c r="A51" s="1988" t="s">
        <v>20</v>
      </c>
      <c r="B51" s="1959" t="s">
        <v>24</v>
      </c>
      <c r="C51" s="1986" t="s">
        <v>29</v>
      </c>
      <c r="D51" s="1970" t="s">
        <v>122</v>
      </c>
      <c r="E51" s="2392"/>
      <c r="F51" s="2042">
        <v>2</v>
      </c>
      <c r="G51" s="652" t="s">
        <v>25</v>
      </c>
      <c r="H51" s="1687">
        <v>110846</v>
      </c>
      <c r="I51" s="1853">
        <v>0</v>
      </c>
      <c r="J51" s="1949">
        <f>I51-H51</f>
        <v>-110846</v>
      </c>
    </row>
    <row r="52" spans="1:10" ht="18.75" customHeight="1" thickBot="1" x14ac:dyDescent="0.25">
      <c r="A52" s="1989"/>
      <c r="B52" s="2010"/>
      <c r="C52" s="1987"/>
      <c r="D52" s="2394"/>
      <c r="E52" s="2359"/>
      <c r="F52" s="2395"/>
      <c r="G52" s="299" t="s">
        <v>23</v>
      </c>
      <c r="H52" s="1228">
        <f>H51</f>
        <v>110846</v>
      </c>
      <c r="I52" s="1573">
        <f>I51</f>
        <v>0</v>
      </c>
      <c r="J52" s="1659">
        <f>J51</f>
        <v>-110846</v>
      </c>
    </row>
    <row r="53" spans="1:10" ht="16.5" customHeight="1" x14ac:dyDescent="0.2">
      <c r="A53" s="1984" t="s">
        <v>20</v>
      </c>
      <c r="B53" s="1808" t="s">
        <v>24</v>
      </c>
      <c r="C53" s="1978" t="s">
        <v>30</v>
      </c>
      <c r="D53" s="1970" t="s">
        <v>251</v>
      </c>
      <c r="E53" s="2392"/>
      <c r="F53" s="1998">
        <v>2</v>
      </c>
      <c r="G53" s="750" t="s">
        <v>22</v>
      </c>
      <c r="H53" s="1692">
        <f>30/3.4528*1000</f>
        <v>8689</v>
      </c>
      <c r="I53" s="1576">
        <f>30/3.4528*1000</f>
        <v>8689</v>
      </c>
      <c r="J53" s="1657"/>
    </row>
    <row r="54" spans="1:10" ht="13.5" thickBot="1" x14ac:dyDescent="0.25">
      <c r="A54" s="1985"/>
      <c r="B54" s="1809"/>
      <c r="C54" s="1979"/>
      <c r="D54" s="1971"/>
      <c r="E54" s="2393"/>
      <c r="F54" s="1999"/>
      <c r="G54" s="1800" t="s">
        <v>23</v>
      </c>
      <c r="H54" s="1228">
        <f>H53</f>
        <v>8689</v>
      </c>
      <c r="I54" s="1573">
        <f>I53</f>
        <v>8689</v>
      </c>
      <c r="J54" s="1659"/>
    </row>
    <row r="55" spans="1:10" ht="29.25" customHeight="1" x14ac:dyDescent="0.2">
      <c r="A55" s="1984" t="s">
        <v>20</v>
      </c>
      <c r="B55" s="1808" t="s">
        <v>24</v>
      </c>
      <c r="C55" s="1978" t="s">
        <v>55</v>
      </c>
      <c r="D55" s="2474" t="s">
        <v>260</v>
      </c>
      <c r="E55" s="2493" t="s">
        <v>131</v>
      </c>
      <c r="F55" s="2495">
        <v>2</v>
      </c>
      <c r="G55" s="198" t="s">
        <v>22</v>
      </c>
      <c r="H55" s="1709">
        <f>438.6/3.4528*1000-30283</f>
        <v>96744</v>
      </c>
      <c r="I55" s="1943">
        <f>438.6/3.4528*1000-30283</f>
        <v>96744</v>
      </c>
      <c r="J55" s="1944">
        <f>I55-H55</f>
        <v>0</v>
      </c>
    </row>
    <row r="56" spans="1:10" ht="14.25" customHeight="1" thickBot="1" x14ac:dyDescent="0.25">
      <c r="A56" s="1985"/>
      <c r="B56" s="1809"/>
      <c r="C56" s="1979"/>
      <c r="D56" s="2475"/>
      <c r="E56" s="2494"/>
      <c r="F56" s="1999"/>
      <c r="G56" s="368" t="s">
        <v>23</v>
      </c>
      <c r="H56" s="1591">
        <f>H55</f>
        <v>96744</v>
      </c>
      <c r="I56" s="1589">
        <f>I55</f>
        <v>96744</v>
      </c>
      <c r="J56" s="1587">
        <f>J55</f>
        <v>0</v>
      </c>
    </row>
    <row r="57" spans="1:10" ht="13.5" thickBot="1" x14ac:dyDescent="0.25">
      <c r="A57" s="15" t="s">
        <v>20</v>
      </c>
      <c r="B57" s="14" t="s">
        <v>24</v>
      </c>
      <c r="C57" s="2029" t="s">
        <v>27</v>
      </c>
      <c r="D57" s="2029"/>
      <c r="E57" s="2029"/>
      <c r="F57" s="2029"/>
      <c r="G57" s="2029"/>
      <c r="H57" s="1369">
        <f>H56+H54+H52+H50+H47+H45+H43</f>
        <v>343998</v>
      </c>
      <c r="I57" s="1350">
        <f>I56+I54+I52+I50+I47+I45+I43</f>
        <v>163965</v>
      </c>
      <c r="J57" s="1370">
        <f>J56+J54+J52+J50+J47+J45+J43</f>
        <v>-180033</v>
      </c>
    </row>
    <row r="58" spans="1:10" ht="13.5" thickBot="1" x14ac:dyDescent="0.25">
      <c r="A58" s="15" t="s">
        <v>20</v>
      </c>
      <c r="B58" s="2388" t="s">
        <v>10</v>
      </c>
      <c r="C58" s="2131"/>
      <c r="D58" s="2131"/>
      <c r="E58" s="2131"/>
      <c r="F58" s="2131"/>
      <c r="G58" s="2131"/>
      <c r="H58" s="1575">
        <f t="shared" ref="H58:J58" si="2">H57+H40</f>
        <v>58754951</v>
      </c>
      <c r="I58" s="1578">
        <f t="shared" si="2"/>
        <v>59001898</v>
      </c>
      <c r="J58" s="1674">
        <f t="shared" si="2"/>
        <v>246947</v>
      </c>
    </row>
    <row r="59" spans="1:10" ht="13.5" customHeight="1" thickBot="1" x14ac:dyDescent="0.25">
      <c r="A59" s="1801" t="s">
        <v>24</v>
      </c>
      <c r="B59" s="2490" t="s">
        <v>56</v>
      </c>
      <c r="C59" s="2491"/>
      <c r="D59" s="2491"/>
      <c r="E59" s="2491"/>
      <c r="F59" s="2491"/>
      <c r="G59" s="2491"/>
      <c r="H59" s="2491"/>
      <c r="I59" s="2491"/>
      <c r="J59" s="2492"/>
    </row>
    <row r="60" spans="1:10" ht="13.5" customHeight="1" thickBot="1" x14ac:dyDescent="0.25">
      <c r="A60" s="23" t="s">
        <v>24</v>
      </c>
      <c r="B60" s="1721" t="s">
        <v>20</v>
      </c>
      <c r="C60" s="2384" t="s">
        <v>47</v>
      </c>
      <c r="D60" s="2247"/>
      <c r="E60" s="2247"/>
      <c r="F60" s="2247"/>
      <c r="G60" s="2247"/>
      <c r="H60" s="2247"/>
      <c r="I60" s="2247"/>
      <c r="J60" s="2248"/>
    </row>
    <row r="61" spans="1:10" ht="18.75" customHeight="1" x14ac:dyDescent="0.2">
      <c r="A61" s="1806" t="s">
        <v>24</v>
      </c>
      <c r="B61" s="627" t="s">
        <v>20</v>
      </c>
      <c r="C61" s="1828" t="s">
        <v>20</v>
      </c>
      <c r="D61" s="127" t="s">
        <v>57</v>
      </c>
      <c r="E61" s="249"/>
      <c r="F61" s="125"/>
      <c r="G61" s="1619"/>
      <c r="H61" s="1699"/>
      <c r="I61" s="1576"/>
      <c r="J61" s="1657"/>
    </row>
    <row r="62" spans="1:10" s="4" customFormat="1" ht="14.25" customHeight="1" x14ac:dyDescent="0.2">
      <c r="A62" s="1815"/>
      <c r="B62" s="1723"/>
      <c r="C62" s="147"/>
      <c r="D62" s="1957" t="s">
        <v>354</v>
      </c>
      <c r="E62" s="1827" t="s">
        <v>4</v>
      </c>
      <c r="F62" s="222">
        <v>5</v>
      </c>
      <c r="G62" s="24" t="s">
        <v>22</v>
      </c>
      <c r="H62" s="1689">
        <f>921.4/3.4528*1000</f>
        <v>266856</v>
      </c>
      <c r="I62" s="1579">
        <v>266856</v>
      </c>
      <c r="J62" s="1263"/>
    </row>
    <row r="63" spans="1:10" s="4" customFormat="1" ht="14.25" customHeight="1" x14ac:dyDescent="0.2">
      <c r="A63" s="1815"/>
      <c r="B63" s="1723"/>
      <c r="C63" s="147"/>
      <c r="D63" s="1955"/>
      <c r="E63" s="1838"/>
      <c r="F63" s="223"/>
      <c r="G63" s="379" t="s">
        <v>53</v>
      </c>
      <c r="H63" s="1683">
        <v>158937</v>
      </c>
      <c r="I63" s="1579">
        <v>158937</v>
      </c>
      <c r="J63" s="1263">
        <f>I63-H63</f>
        <v>0</v>
      </c>
    </row>
    <row r="64" spans="1:10" s="4" customFormat="1" ht="14.25" customHeight="1" x14ac:dyDescent="0.2">
      <c r="A64" s="1815"/>
      <c r="B64" s="1723"/>
      <c r="C64" s="147"/>
      <c r="D64" s="1955"/>
      <c r="E64" s="1838"/>
      <c r="F64" s="223"/>
      <c r="G64" s="379" t="s">
        <v>6</v>
      </c>
      <c r="H64" s="1684">
        <f>1102.9/3.4528*1000</f>
        <v>319422</v>
      </c>
      <c r="I64" s="1571">
        <f>1102.9/3.4528*1000</f>
        <v>319422</v>
      </c>
      <c r="J64" s="1263"/>
    </row>
    <row r="65" spans="1:10" s="4" customFormat="1" x14ac:dyDescent="0.2">
      <c r="A65" s="1815"/>
      <c r="B65" s="1723"/>
      <c r="C65" s="147"/>
      <c r="D65" s="1956"/>
      <c r="E65" s="1829"/>
      <c r="F65" s="156"/>
      <c r="G65" s="363" t="s">
        <v>23</v>
      </c>
      <c r="H65" s="1272">
        <f>SUM(H62:H64)</f>
        <v>745215</v>
      </c>
      <c r="I65" s="1272">
        <f>SUM(I62:I64)</f>
        <v>745215</v>
      </c>
      <c r="J65" s="1273">
        <f>SUM(J62:J64)</f>
        <v>0</v>
      </c>
    </row>
    <row r="66" spans="1:10" s="4" customFormat="1" ht="16.5" customHeight="1" x14ac:dyDescent="0.2">
      <c r="A66" s="1815"/>
      <c r="B66" s="1723"/>
      <c r="C66" s="147"/>
      <c r="D66" s="1957" t="s">
        <v>198</v>
      </c>
      <c r="E66" s="1827" t="s">
        <v>4</v>
      </c>
      <c r="F66" s="222">
        <v>5</v>
      </c>
      <c r="G66" s="379" t="s">
        <v>53</v>
      </c>
      <c r="H66" s="1684">
        <v>7183</v>
      </c>
      <c r="I66" s="1571">
        <v>7183</v>
      </c>
      <c r="J66" s="1263">
        <f>I66-H66</f>
        <v>0</v>
      </c>
    </row>
    <row r="67" spans="1:10" s="4" customFormat="1" ht="16.5" customHeight="1" x14ac:dyDescent="0.2">
      <c r="A67" s="1815"/>
      <c r="B67" s="1723"/>
      <c r="C67" s="147"/>
      <c r="D67" s="1955"/>
      <c r="E67" s="1827" t="s">
        <v>58</v>
      </c>
      <c r="F67" s="223"/>
      <c r="G67" s="24" t="s">
        <v>22</v>
      </c>
      <c r="H67" s="1683">
        <f>1500+759</f>
        <v>2259</v>
      </c>
      <c r="I67" s="1579">
        <f>1500+759</f>
        <v>2259</v>
      </c>
      <c r="J67" s="1277">
        <f>I67-H67</f>
        <v>0</v>
      </c>
    </row>
    <row r="68" spans="1:10" s="4" customFormat="1" ht="14.25" customHeight="1" x14ac:dyDescent="0.2">
      <c r="A68" s="1815"/>
      <c r="B68" s="1723"/>
      <c r="C68" s="147"/>
      <c r="D68" s="1955"/>
      <c r="E68" s="1829"/>
      <c r="F68" s="156"/>
      <c r="G68" s="363" t="s">
        <v>23</v>
      </c>
      <c r="H68" s="1272">
        <f>SUM(H66:H67)</f>
        <v>9442</v>
      </c>
      <c r="I68" s="1272">
        <f>SUM(I66:I67)</f>
        <v>9442</v>
      </c>
      <c r="J68" s="1273">
        <f>SUM(J66:J67)</f>
        <v>0</v>
      </c>
    </row>
    <row r="69" spans="1:10" s="4" customFormat="1" ht="14.25" customHeight="1" x14ac:dyDescent="0.2">
      <c r="A69" s="1815"/>
      <c r="B69" s="1723"/>
      <c r="C69" s="147"/>
      <c r="D69" s="1957" t="s">
        <v>335</v>
      </c>
      <c r="E69" s="1827" t="s">
        <v>4</v>
      </c>
      <c r="F69" s="222">
        <v>5</v>
      </c>
      <c r="G69" s="379" t="s">
        <v>22</v>
      </c>
      <c r="H69" s="1684">
        <v>3633</v>
      </c>
      <c r="I69" s="1571">
        <v>3633</v>
      </c>
      <c r="J69" s="1263">
        <f>I69-H69</f>
        <v>0</v>
      </c>
    </row>
    <row r="70" spans="1:10" s="4" customFormat="1" ht="14.25" customHeight="1" x14ac:dyDescent="0.2">
      <c r="A70" s="1815"/>
      <c r="B70" s="1723"/>
      <c r="C70" s="147"/>
      <c r="D70" s="1955"/>
      <c r="E70" s="1827" t="s">
        <v>58</v>
      </c>
      <c r="F70" s="156"/>
      <c r="G70" s="363" t="s">
        <v>23</v>
      </c>
      <c r="H70" s="1272">
        <f>SUM(H69:H69)</f>
        <v>3633</v>
      </c>
      <c r="I70" s="1272">
        <f>SUM(I69:I69)</f>
        <v>3633</v>
      </c>
      <c r="J70" s="1273">
        <f>SUM(J69:J69)</f>
        <v>0</v>
      </c>
    </row>
    <row r="71" spans="1:10" s="4" customFormat="1" ht="14.25" customHeight="1" x14ac:dyDescent="0.2">
      <c r="A71" s="1815"/>
      <c r="B71" s="1723"/>
      <c r="C71" s="147"/>
      <c r="D71" s="1957" t="s">
        <v>341</v>
      </c>
      <c r="E71" s="1827" t="s">
        <v>4</v>
      </c>
      <c r="F71" s="222">
        <v>5</v>
      </c>
      <c r="G71" s="379" t="s">
        <v>22</v>
      </c>
      <c r="H71" s="1684">
        <v>8592</v>
      </c>
      <c r="I71" s="1571">
        <v>8592</v>
      </c>
      <c r="J71" s="1263">
        <f>I71-H71</f>
        <v>0</v>
      </c>
    </row>
    <row r="72" spans="1:10" s="4" customFormat="1" ht="14.25" customHeight="1" x14ac:dyDescent="0.2">
      <c r="A72" s="1815"/>
      <c r="B72" s="1723"/>
      <c r="C72" s="147"/>
      <c r="D72" s="1955"/>
      <c r="E72" s="1827" t="s">
        <v>58</v>
      </c>
      <c r="F72" s="156"/>
      <c r="G72" s="363" t="s">
        <v>23</v>
      </c>
      <c r="H72" s="1271">
        <f>SUM(H71:H71)</f>
        <v>8592</v>
      </c>
      <c r="I72" s="1272">
        <f>SUM(I71:I71)</f>
        <v>8592</v>
      </c>
      <c r="J72" s="1273">
        <f>SUM(J71:J71)</f>
        <v>0</v>
      </c>
    </row>
    <row r="73" spans="1:10" s="4" customFormat="1" ht="14.25" customHeight="1" thickBot="1" x14ac:dyDescent="0.25">
      <c r="A73" s="1815"/>
      <c r="B73" s="1723"/>
      <c r="C73" s="147"/>
      <c r="D73" s="1698"/>
      <c r="E73" s="1981" t="s">
        <v>210</v>
      </c>
      <c r="F73" s="1982"/>
      <c r="G73" s="1983"/>
      <c r="H73" s="1606">
        <f>H68+H65+H70+H72</f>
        <v>766882</v>
      </c>
      <c r="I73" s="1198">
        <f>I68+I65+I70+I72</f>
        <v>766882</v>
      </c>
      <c r="J73" s="1231">
        <f>J68+J65+J70+J72</f>
        <v>0</v>
      </c>
    </row>
    <row r="74" spans="1:10" ht="15.75" customHeight="1" x14ac:dyDescent="0.2">
      <c r="A74" s="1806" t="s">
        <v>24</v>
      </c>
      <c r="B74" s="627" t="s">
        <v>20</v>
      </c>
      <c r="C74" s="1828" t="s">
        <v>24</v>
      </c>
      <c r="D74" s="2477" t="s">
        <v>224</v>
      </c>
      <c r="E74" s="863" t="s">
        <v>58</v>
      </c>
      <c r="F74" s="125">
        <v>5</v>
      </c>
      <c r="G74" s="29"/>
      <c r="H74" s="1699"/>
      <c r="I74" s="1576"/>
      <c r="J74" s="1657"/>
    </row>
    <row r="75" spans="1:10" ht="12.75" customHeight="1" x14ac:dyDescent="0.2">
      <c r="A75" s="1815"/>
      <c r="B75" s="1723"/>
      <c r="C75" s="1824"/>
      <c r="D75" s="2489"/>
      <c r="E75" s="1838"/>
      <c r="F75" s="223"/>
      <c r="G75" s="118"/>
      <c r="H75" s="1700"/>
      <c r="I75" s="1584"/>
      <c r="J75" s="1660"/>
    </row>
    <row r="76" spans="1:10" ht="13.5" customHeight="1" x14ac:dyDescent="0.2">
      <c r="A76" s="1815"/>
      <c r="B76" s="1723"/>
      <c r="C76" s="1824"/>
      <c r="D76" s="2030" t="s">
        <v>317</v>
      </c>
      <c r="E76" s="1838"/>
      <c r="F76" s="223"/>
      <c r="G76" s="118" t="s">
        <v>22</v>
      </c>
      <c r="H76" s="1154">
        <v>7190</v>
      </c>
      <c r="I76" s="1756">
        <f>8690-1500</f>
        <v>7190</v>
      </c>
      <c r="J76" s="1660">
        <f>I76-H76</f>
        <v>0</v>
      </c>
    </row>
    <row r="77" spans="1:10" ht="18" customHeight="1" x14ac:dyDescent="0.2">
      <c r="A77" s="1815"/>
      <c r="B77" s="1723"/>
      <c r="C77" s="1824"/>
      <c r="D77" s="2030"/>
      <c r="E77" s="1838"/>
      <c r="F77" s="223"/>
      <c r="G77" s="173" t="s">
        <v>6</v>
      </c>
      <c r="H77" s="1701"/>
      <c r="I77" s="1581"/>
      <c r="J77" s="1842"/>
    </row>
    <row r="78" spans="1:10" ht="18" customHeight="1" x14ac:dyDescent="0.2">
      <c r="A78" s="1815"/>
      <c r="B78" s="1723"/>
      <c r="C78" s="1824"/>
      <c r="D78" s="2385"/>
      <c r="E78" s="1838"/>
      <c r="F78" s="223"/>
      <c r="G78" s="1695" t="s">
        <v>23</v>
      </c>
      <c r="H78" s="1696">
        <f>SUM(H76:H77)</f>
        <v>7190</v>
      </c>
      <c r="I78" s="1583">
        <f t="shared" ref="I78:J78" si="3">SUM(I76:I77)</f>
        <v>7190</v>
      </c>
      <c r="J78" s="1697">
        <f t="shared" si="3"/>
        <v>0</v>
      </c>
    </row>
    <row r="79" spans="1:10" ht="12.75" customHeight="1" x14ac:dyDescent="0.2">
      <c r="A79" s="1803"/>
      <c r="B79" s="1723"/>
      <c r="C79" s="2222"/>
      <c r="D79" s="2382" t="s">
        <v>156</v>
      </c>
      <c r="E79" s="703"/>
      <c r="F79" s="2373"/>
      <c r="G79" s="908" t="s">
        <v>22</v>
      </c>
      <c r="H79" s="1702">
        <v>23474</v>
      </c>
      <c r="I79" s="1580">
        <v>23474</v>
      </c>
      <c r="J79" s="1658">
        <f>I79-H79</f>
        <v>0</v>
      </c>
    </row>
    <row r="80" spans="1:10" x14ac:dyDescent="0.2">
      <c r="A80" s="1803"/>
      <c r="B80" s="1723"/>
      <c r="C80" s="2222"/>
      <c r="D80" s="2383"/>
      <c r="E80" s="865"/>
      <c r="F80" s="2171"/>
      <c r="G80" s="173" t="s">
        <v>5</v>
      </c>
      <c r="H80" s="1701"/>
      <c r="I80" s="1581"/>
      <c r="J80" s="1842"/>
    </row>
    <row r="81" spans="1:10" ht="13.5" customHeight="1" x14ac:dyDescent="0.2">
      <c r="A81" s="1803"/>
      <c r="B81" s="1723"/>
      <c r="C81" s="2222"/>
      <c r="D81" s="2383"/>
      <c r="E81" s="913"/>
      <c r="F81" s="2171"/>
      <c r="G81" s="686" t="s">
        <v>23</v>
      </c>
      <c r="H81" s="1286">
        <f>SUM(H79:H80)</f>
        <v>23474</v>
      </c>
      <c r="I81" s="1582">
        <f>SUM(I79:I80)</f>
        <v>23474</v>
      </c>
      <c r="J81" s="1676">
        <f>SUM(J79:J80)</f>
        <v>0</v>
      </c>
    </row>
    <row r="82" spans="1:10" ht="13.5" customHeight="1" thickBot="1" x14ac:dyDescent="0.25">
      <c r="A82" s="1803"/>
      <c r="B82" s="1723"/>
      <c r="C82" s="1824"/>
      <c r="D82" s="1839"/>
      <c r="E82" s="2504" t="s">
        <v>210</v>
      </c>
      <c r="F82" s="2505"/>
      <c r="G82" s="2505"/>
      <c r="H82" s="1191">
        <f>H81+H78</f>
        <v>30664</v>
      </c>
      <c r="I82" s="1573">
        <f>I81+I78</f>
        <v>30664</v>
      </c>
      <c r="J82" s="1659">
        <f>J81+J78</f>
        <v>0</v>
      </c>
    </row>
    <row r="83" spans="1:10" x14ac:dyDescent="0.2">
      <c r="A83" s="1806" t="s">
        <v>24</v>
      </c>
      <c r="B83" s="627" t="s">
        <v>20</v>
      </c>
      <c r="C83" s="1828" t="s">
        <v>26</v>
      </c>
      <c r="D83" s="127" t="s">
        <v>46</v>
      </c>
      <c r="E83" s="526"/>
      <c r="F83" s="1814"/>
      <c r="G83" s="1619"/>
      <c r="H83" s="1699"/>
      <c r="I83" s="1576"/>
      <c r="J83" s="1657"/>
    </row>
    <row r="84" spans="1:10" ht="12.75" customHeight="1" x14ac:dyDescent="0.2">
      <c r="A84" s="1815"/>
      <c r="B84" s="1723"/>
      <c r="C84" s="1824"/>
      <c r="D84" s="1955" t="s">
        <v>69</v>
      </c>
      <c r="E84" s="251" t="s">
        <v>4</v>
      </c>
      <c r="F84" s="152">
        <v>5</v>
      </c>
      <c r="G84" s="12" t="s">
        <v>22</v>
      </c>
      <c r="H84" s="1704">
        <f>567.9/3.4528*1000+176</f>
        <v>164651</v>
      </c>
      <c r="I84" s="1581">
        <f>567.9/3.4528*1000+176</f>
        <v>164651</v>
      </c>
      <c r="J84" s="1842">
        <f>I84-H84</f>
        <v>0</v>
      </c>
    </row>
    <row r="85" spans="1:10" s="4" customFormat="1" x14ac:dyDescent="0.2">
      <c r="A85" s="1815"/>
      <c r="B85" s="1723"/>
      <c r="C85" s="147"/>
      <c r="D85" s="1955"/>
      <c r="E85" s="1838"/>
      <c r="F85" s="223"/>
      <c r="G85" s="171" t="s">
        <v>53</v>
      </c>
      <c r="H85" s="1704">
        <v>1680</v>
      </c>
      <c r="I85" s="1661">
        <v>1680</v>
      </c>
      <c r="J85" s="1675">
        <f>I85-H85</f>
        <v>0</v>
      </c>
    </row>
    <row r="86" spans="1:10" s="4" customFormat="1" x14ac:dyDescent="0.2">
      <c r="A86" s="1815"/>
      <c r="B86" s="1723"/>
      <c r="C86" s="147"/>
      <c r="D86" s="1955"/>
      <c r="E86" s="1838"/>
      <c r="F86" s="223"/>
      <c r="G86" s="1621" t="s">
        <v>6</v>
      </c>
      <c r="H86" s="1705">
        <v>7443</v>
      </c>
      <c r="I86" s="1662">
        <v>7443</v>
      </c>
      <c r="J86" s="1675">
        <f t="shared" ref="J86" si="4">I86-H86</f>
        <v>0</v>
      </c>
    </row>
    <row r="87" spans="1:10" s="4" customFormat="1" x14ac:dyDescent="0.2">
      <c r="A87" s="1815"/>
      <c r="B87" s="1723"/>
      <c r="C87" s="147"/>
      <c r="D87" s="130"/>
      <c r="E87" s="1829"/>
      <c r="F87" s="156"/>
      <c r="G87" s="343" t="s">
        <v>23</v>
      </c>
      <c r="H87" s="1582">
        <f t="shared" ref="H87" si="5">SUM(H84:H86)</f>
        <v>173774</v>
      </c>
      <c r="I87" s="1582">
        <f t="shared" ref="I87:J87" si="6">SUM(I84:I86)</f>
        <v>173774</v>
      </c>
      <c r="J87" s="1676">
        <f t="shared" si="6"/>
        <v>0</v>
      </c>
    </row>
    <row r="88" spans="1:10" ht="16.5" customHeight="1" x14ac:dyDescent="0.2">
      <c r="A88" s="1815"/>
      <c r="B88" s="1723"/>
      <c r="C88" s="1824"/>
      <c r="D88" s="1957" t="s">
        <v>304</v>
      </c>
      <c r="E88" s="467" t="s">
        <v>4</v>
      </c>
      <c r="F88" s="223">
        <v>5</v>
      </c>
      <c r="G88" s="1614" t="s">
        <v>22</v>
      </c>
      <c r="H88" s="1705">
        <f>861.9/3.4528*1000+73841-176</f>
        <v>323288</v>
      </c>
      <c r="I88" s="1580">
        <f>861.9/3.4528*1000+73841-176</f>
        <v>323288</v>
      </c>
      <c r="J88" s="1658">
        <f>I88-H88</f>
        <v>0</v>
      </c>
    </row>
    <row r="89" spans="1:10" ht="15" customHeight="1" x14ac:dyDescent="0.2">
      <c r="A89" s="1815"/>
      <c r="B89" s="1723"/>
      <c r="C89" s="1824"/>
      <c r="D89" s="1955"/>
      <c r="E89" s="468"/>
      <c r="F89" s="223"/>
      <c r="G89" s="382" t="s">
        <v>23</v>
      </c>
      <c r="H89" s="1583">
        <f>H88</f>
        <v>323288</v>
      </c>
      <c r="I89" s="1583">
        <f>I88</f>
        <v>323288</v>
      </c>
      <c r="J89" s="1677">
        <f>J88</f>
        <v>0</v>
      </c>
    </row>
    <row r="90" spans="1:10" ht="14.25" customHeight="1" x14ac:dyDescent="0.2">
      <c r="A90" s="1815"/>
      <c r="B90" s="1723"/>
      <c r="C90" s="1824"/>
      <c r="D90" s="1957" t="s">
        <v>305</v>
      </c>
      <c r="E90" s="467" t="s">
        <v>4</v>
      </c>
      <c r="F90" s="223">
        <v>5</v>
      </c>
      <c r="G90" s="1614" t="s">
        <v>22</v>
      </c>
      <c r="H90" s="1705"/>
      <c r="I90" s="1580"/>
      <c r="J90" s="1658"/>
    </row>
    <row r="91" spans="1:10" ht="14.25" customHeight="1" x14ac:dyDescent="0.2">
      <c r="A91" s="1815"/>
      <c r="B91" s="1723"/>
      <c r="C91" s="1824"/>
      <c r="D91" s="1955"/>
      <c r="E91" s="468"/>
      <c r="F91" s="223"/>
      <c r="G91" s="382" t="s">
        <v>23</v>
      </c>
      <c r="H91" s="1583">
        <f>H90</f>
        <v>0</v>
      </c>
      <c r="I91" s="1583">
        <f>I90</f>
        <v>0</v>
      </c>
      <c r="J91" s="1677"/>
    </row>
    <row r="92" spans="1:10" ht="13.5" thickBot="1" x14ac:dyDescent="0.25">
      <c r="A92" s="1802"/>
      <c r="B92" s="1721"/>
      <c r="C92" s="228"/>
      <c r="D92" s="1698"/>
      <c r="E92" s="2366" t="s">
        <v>210</v>
      </c>
      <c r="F92" s="2367"/>
      <c r="G92" s="2368"/>
      <c r="H92" s="1573">
        <f>H89+H87</f>
        <v>497062</v>
      </c>
      <c r="I92" s="1573">
        <f>I89+I87</f>
        <v>497062</v>
      </c>
      <c r="J92" s="1781">
        <f>J89+J87</f>
        <v>0</v>
      </c>
    </row>
    <row r="93" spans="1:10" ht="12.75" customHeight="1" x14ac:dyDescent="0.2">
      <c r="A93" s="1806" t="s">
        <v>24</v>
      </c>
      <c r="B93" s="627" t="s">
        <v>20</v>
      </c>
      <c r="C93" s="1732" t="s">
        <v>28</v>
      </c>
      <c r="D93" s="2019" t="s">
        <v>259</v>
      </c>
      <c r="E93" s="2369" t="s">
        <v>125</v>
      </c>
      <c r="F93" s="2354">
        <v>2</v>
      </c>
      <c r="G93" s="1619" t="s">
        <v>22</v>
      </c>
      <c r="H93" s="1691">
        <f>50/3.4528*1000</f>
        <v>14481</v>
      </c>
      <c r="I93" s="1576">
        <f>50/3.4528*1000</f>
        <v>14481</v>
      </c>
      <c r="J93" s="1657">
        <f>I93-H93</f>
        <v>0</v>
      </c>
    </row>
    <row r="94" spans="1:10" ht="21.75" customHeight="1" x14ac:dyDescent="0.2">
      <c r="A94" s="1815"/>
      <c r="B94" s="1723"/>
      <c r="C94" s="155"/>
      <c r="D94" s="2030"/>
      <c r="E94" s="2370"/>
      <c r="F94" s="2355"/>
      <c r="G94" s="1615"/>
      <c r="H94" s="1706"/>
      <c r="I94" s="1584"/>
      <c r="J94" s="1660"/>
    </row>
    <row r="95" spans="1:10" ht="13.5" thickBot="1" x14ac:dyDescent="0.25">
      <c r="A95" s="1807"/>
      <c r="B95" s="1721"/>
      <c r="C95" s="784"/>
      <c r="D95" s="2020"/>
      <c r="E95" s="781" t="s">
        <v>313</v>
      </c>
      <c r="F95" s="2371"/>
      <c r="G95" s="299" t="s">
        <v>23</v>
      </c>
      <c r="H95" s="1573">
        <f>H93</f>
        <v>14481</v>
      </c>
      <c r="I95" s="1573">
        <f>I93</f>
        <v>14481</v>
      </c>
      <c r="J95" s="1659">
        <f>SUM(J93:J94)</f>
        <v>0</v>
      </c>
    </row>
    <row r="96" spans="1:10" ht="18.75" customHeight="1" x14ac:dyDescent="0.2">
      <c r="A96" s="1806" t="s">
        <v>24</v>
      </c>
      <c r="B96" s="627" t="s">
        <v>20</v>
      </c>
      <c r="C96" s="1732" t="s">
        <v>29</v>
      </c>
      <c r="D96" s="1746" t="s">
        <v>345</v>
      </c>
      <c r="E96" s="2025"/>
      <c r="F96" s="2354">
        <v>2</v>
      </c>
      <c r="G96" s="1619"/>
      <c r="H96" s="1691"/>
      <c r="I96" s="1576"/>
      <c r="J96" s="1657"/>
    </row>
    <row r="97" spans="1:13" ht="30.75" customHeight="1" x14ac:dyDescent="0.2">
      <c r="A97" s="1815"/>
      <c r="B97" s="1723"/>
      <c r="C97" s="155"/>
      <c r="D97" s="1747" t="s">
        <v>337</v>
      </c>
      <c r="E97" s="2026"/>
      <c r="F97" s="2355"/>
      <c r="G97" s="12" t="s">
        <v>22</v>
      </c>
      <c r="H97" s="1704">
        <f>100/3.4528*1000</f>
        <v>28962</v>
      </c>
      <c r="I97" s="1581">
        <f>100/3.4528*1000</f>
        <v>28962</v>
      </c>
      <c r="J97" s="1842"/>
    </row>
    <row r="98" spans="1:13" ht="27" customHeight="1" x14ac:dyDescent="0.2">
      <c r="A98" s="1815"/>
      <c r="B98" s="1723"/>
      <c r="C98" s="155"/>
      <c r="D98" s="2358" t="s">
        <v>339</v>
      </c>
      <c r="E98" s="2026"/>
      <c r="F98" s="2355"/>
      <c r="G98" s="1615" t="s">
        <v>22</v>
      </c>
      <c r="H98" s="1702">
        <v>30000</v>
      </c>
      <c r="I98" s="1580">
        <v>30000</v>
      </c>
      <c r="J98" s="1658">
        <f>I98-H98</f>
        <v>0</v>
      </c>
    </row>
    <row r="99" spans="1:13" ht="15.75" customHeight="1" x14ac:dyDescent="0.2">
      <c r="A99" s="1815"/>
      <c r="B99" s="1723"/>
      <c r="C99" s="155"/>
      <c r="D99" s="2030"/>
      <c r="E99" s="2026"/>
      <c r="F99" s="2355"/>
      <c r="G99" s="1615"/>
      <c r="H99" s="1706"/>
      <c r="I99" s="1584"/>
      <c r="J99" s="1660"/>
    </row>
    <row r="100" spans="1:13" ht="31.5" customHeight="1" x14ac:dyDescent="0.2">
      <c r="A100" s="1815"/>
      <c r="B100" s="1723"/>
      <c r="C100" s="155"/>
      <c r="D100" s="1850" t="s">
        <v>343</v>
      </c>
      <c r="E100" s="2026"/>
      <c r="F100" s="2355"/>
      <c r="G100" s="12" t="s">
        <v>22</v>
      </c>
      <c r="H100" s="1704">
        <v>6030</v>
      </c>
      <c r="I100" s="1581">
        <v>6030</v>
      </c>
      <c r="J100" s="1842">
        <f>I100-H100</f>
        <v>0</v>
      </c>
    </row>
    <row r="101" spans="1:13" ht="15.75" customHeight="1" thickBot="1" x14ac:dyDescent="0.25">
      <c r="A101" s="1848"/>
      <c r="B101" s="1721"/>
      <c r="C101" s="784"/>
      <c r="D101" s="1851"/>
      <c r="E101" s="1847"/>
      <c r="F101" s="1849"/>
      <c r="G101" s="299" t="s">
        <v>23</v>
      </c>
      <c r="H101" s="1573">
        <f>SUM(H97:H100)</f>
        <v>64992</v>
      </c>
      <c r="I101" s="1573">
        <f>SUM(I97:I100)</f>
        <v>64992</v>
      </c>
      <c r="J101" s="1659"/>
    </row>
    <row r="102" spans="1:13" ht="19.5" customHeight="1" x14ac:dyDescent="0.2">
      <c r="A102" s="1806" t="s">
        <v>24</v>
      </c>
      <c r="B102" s="627" t="s">
        <v>20</v>
      </c>
      <c r="C102" s="1828" t="s">
        <v>30</v>
      </c>
      <c r="D102" s="2019" t="s">
        <v>346</v>
      </c>
      <c r="E102" s="1773" t="s">
        <v>4</v>
      </c>
      <c r="F102" s="1768">
        <v>6</v>
      </c>
      <c r="G102" s="13" t="s">
        <v>7</v>
      </c>
      <c r="H102" s="1707">
        <f>257936-122094</f>
        <v>135842</v>
      </c>
      <c r="I102" s="1775">
        <f>257936-122094</f>
        <v>135842</v>
      </c>
      <c r="J102" s="1776">
        <f>I102-H102</f>
        <v>0</v>
      </c>
      <c r="K102" s="700"/>
    </row>
    <row r="103" spans="1:13" ht="24.75" customHeight="1" x14ac:dyDescent="0.2">
      <c r="A103" s="1815"/>
      <c r="B103" s="1723"/>
      <c r="C103" s="1824"/>
      <c r="D103" s="2030"/>
      <c r="E103" s="2359" t="s">
        <v>126</v>
      </c>
      <c r="F103" s="1770">
        <v>5</v>
      </c>
      <c r="G103" s="908" t="s">
        <v>270</v>
      </c>
      <c r="H103" s="1703">
        <v>223048</v>
      </c>
      <c r="I103" s="1580">
        <v>223048</v>
      </c>
      <c r="J103" s="1660">
        <f>I103-H103</f>
        <v>0</v>
      </c>
      <c r="K103" s="700"/>
    </row>
    <row r="104" spans="1:13" ht="13.5" thickBot="1" x14ac:dyDescent="0.25">
      <c r="A104" s="1802"/>
      <c r="B104" s="1721"/>
      <c r="C104" s="228"/>
      <c r="D104" s="2020"/>
      <c r="E104" s="2325"/>
      <c r="F104" s="1769"/>
      <c r="G104" s="313" t="s">
        <v>23</v>
      </c>
      <c r="H104" s="1191">
        <f>SUM(H102:H103)</f>
        <v>358890</v>
      </c>
      <c r="I104" s="1573">
        <f>SUM(I102:I103)</f>
        <v>358890</v>
      </c>
      <c r="J104" s="1659">
        <f>SUM(J102:J103)</f>
        <v>0</v>
      </c>
      <c r="K104" s="700"/>
    </row>
    <row r="105" spans="1:13" ht="17.25" customHeight="1" x14ac:dyDescent="0.2">
      <c r="A105" s="1815" t="s">
        <v>24</v>
      </c>
      <c r="B105" s="1723" t="s">
        <v>20</v>
      </c>
      <c r="C105" s="1824" t="s">
        <v>55</v>
      </c>
      <c r="D105" s="2030" t="s">
        <v>262</v>
      </c>
      <c r="E105" s="2026"/>
      <c r="F105" s="1819">
        <v>6</v>
      </c>
      <c r="G105" s="1616" t="s">
        <v>22</v>
      </c>
      <c r="H105" s="1845">
        <f>350/3.4528*1000-13445</f>
        <v>87922</v>
      </c>
      <c r="I105" s="1846">
        <f>350/3.4528*1000-13445</f>
        <v>87922</v>
      </c>
      <c r="J105" s="1678">
        <f>I105-H105</f>
        <v>0</v>
      </c>
    </row>
    <row r="106" spans="1:13" ht="13.5" thickBot="1" x14ac:dyDescent="0.25">
      <c r="A106" s="1807"/>
      <c r="B106" s="1721"/>
      <c r="C106" s="1733"/>
      <c r="D106" s="2020"/>
      <c r="E106" s="2027"/>
      <c r="F106" s="788"/>
      <c r="G106" s="632" t="s">
        <v>23</v>
      </c>
      <c r="H106" s="1331">
        <f>H105</f>
        <v>87922</v>
      </c>
      <c r="I106" s="1585">
        <f>I105</f>
        <v>87922</v>
      </c>
      <c r="J106" s="1679">
        <f>J105</f>
        <v>0</v>
      </c>
    </row>
    <row r="107" spans="1:13" ht="13.5" thickBot="1" x14ac:dyDescent="0.25">
      <c r="A107" s="1802" t="s">
        <v>24</v>
      </c>
      <c r="B107" s="17" t="s">
        <v>20</v>
      </c>
      <c r="C107" s="2074" t="s">
        <v>27</v>
      </c>
      <c r="D107" s="2029"/>
      <c r="E107" s="2029"/>
      <c r="F107" s="2029"/>
      <c r="G107" s="2029"/>
      <c r="H107" s="1369">
        <f>H106+H104+H101+H95+H92+H82+H73</f>
        <v>1820893</v>
      </c>
      <c r="I107" s="1350">
        <f t="shared" ref="I107:J107" si="7">I106+I104+I101+I95+I92+I82+I73</f>
        <v>1820893</v>
      </c>
      <c r="J107" s="1693">
        <f t="shared" si="7"/>
        <v>0</v>
      </c>
    </row>
    <row r="108" spans="1:13" ht="15.75" customHeight="1" thickBot="1" x14ac:dyDescent="0.25">
      <c r="A108" s="1803" t="s">
        <v>24</v>
      </c>
      <c r="B108" s="17" t="s">
        <v>24</v>
      </c>
      <c r="C108" s="1408" t="s">
        <v>49</v>
      </c>
      <c r="D108" s="62"/>
      <c r="E108" s="62"/>
      <c r="F108" s="1810"/>
      <c r="G108" s="113"/>
      <c r="H108" s="1340"/>
      <c r="I108" s="1340"/>
      <c r="J108" s="1757"/>
    </row>
    <row r="109" spans="1:13" ht="12.75" customHeight="1" thickBot="1" x14ac:dyDescent="0.25">
      <c r="A109" s="1801" t="s">
        <v>24</v>
      </c>
      <c r="B109" s="627" t="s">
        <v>24</v>
      </c>
      <c r="C109" s="1798" t="s">
        <v>20</v>
      </c>
      <c r="D109" s="2344" t="s">
        <v>272</v>
      </c>
      <c r="E109" s="2506" t="s">
        <v>334</v>
      </c>
      <c r="F109" s="2350">
        <v>2</v>
      </c>
      <c r="G109" s="543" t="s">
        <v>22</v>
      </c>
      <c r="H109" s="1778">
        <v>5000</v>
      </c>
      <c r="I109" s="1588">
        <v>5000</v>
      </c>
      <c r="J109" s="1586">
        <f>I109-H109</f>
        <v>0</v>
      </c>
    </row>
    <row r="110" spans="1:13" ht="12.75" customHeight="1" thickBot="1" x14ac:dyDescent="0.25">
      <c r="A110" s="1803"/>
      <c r="B110" s="1723"/>
      <c r="C110" s="1804"/>
      <c r="D110" s="2345"/>
      <c r="E110" s="2507"/>
      <c r="F110" s="2351"/>
      <c r="G110" s="1844"/>
      <c r="H110" s="1843"/>
      <c r="I110" s="1156"/>
      <c r="J110" s="1157"/>
      <c r="M110" s="1725"/>
    </row>
    <row r="111" spans="1:13" ht="13.5" thickBot="1" x14ac:dyDescent="0.25">
      <c r="A111" s="1802"/>
      <c r="B111" s="1724"/>
      <c r="C111" s="1799"/>
      <c r="D111" s="2346"/>
      <c r="E111" s="2508"/>
      <c r="F111" s="2352"/>
      <c r="G111" s="369" t="s">
        <v>23</v>
      </c>
      <c r="H111" s="1591">
        <f>SUM(H109:H110)</f>
        <v>5000</v>
      </c>
      <c r="I111" s="1589">
        <f>SUM(I109:I110)</f>
        <v>5000</v>
      </c>
      <c r="J111" s="1587">
        <f>SUM(J109:J110)</f>
        <v>0</v>
      </c>
    </row>
    <row r="112" spans="1:13" ht="20.25" customHeight="1" x14ac:dyDescent="0.2">
      <c r="A112" s="1801" t="s">
        <v>24</v>
      </c>
      <c r="B112" s="627" t="s">
        <v>24</v>
      </c>
      <c r="C112" s="1798" t="s">
        <v>24</v>
      </c>
      <c r="D112" s="2400" t="s">
        <v>347</v>
      </c>
      <c r="E112" s="2347"/>
      <c r="F112" s="2350">
        <v>2</v>
      </c>
      <c r="G112" s="543" t="s">
        <v>22</v>
      </c>
      <c r="H112" s="1778">
        <v>543390</v>
      </c>
      <c r="I112" s="1345">
        <f>513107+30283</f>
        <v>543390</v>
      </c>
      <c r="J112" s="1347">
        <f>I112-H112</f>
        <v>0</v>
      </c>
    </row>
    <row r="113" spans="1:13" ht="13.5" thickBot="1" x14ac:dyDescent="0.25">
      <c r="A113" s="1802"/>
      <c r="B113" s="1724"/>
      <c r="C113" s="1799"/>
      <c r="D113" s="2401"/>
      <c r="E113" s="2349"/>
      <c r="F113" s="2352"/>
      <c r="G113" s="369" t="s">
        <v>23</v>
      </c>
      <c r="H113" s="1591">
        <f>SUM(H112:H112)</f>
        <v>543390</v>
      </c>
      <c r="I113" s="1589">
        <f>SUM(I112:I112)</f>
        <v>543390</v>
      </c>
      <c r="J113" s="1587">
        <f>SUM(J112:J112)</f>
        <v>0</v>
      </c>
    </row>
    <row r="114" spans="1:13" ht="13.5" thickBot="1" x14ac:dyDescent="0.25">
      <c r="A114" s="15" t="s">
        <v>24</v>
      </c>
      <c r="B114" s="17" t="s">
        <v>24</v>
      </c>
      <c r="C114" s="2502" t="s">
        <v>27</v>
      </c>
      <c r="D114" s="2503"/>
      <c r="E114" s="2503"/>
      <c r="F114" s="2503"/>
      <c r="G114" s="2503"/>
      <c r="H114" s="1726">
        <f>H113+H111</f>
        <v>548390</v>
      </c>
      <c r="I114" s="1727">
        <f>I113+I111</f>
        <v>548390</v>
      </c>
      <c r="J114" s="1758">
        <f>J113+J111</f>
        <v>0</v>
      </c>
    </row>
    <row r="115" spans="1:13" ht="13.5" customHeight="1" thickBot="1" x14ac:dyDescent="0.25">
      <c r="A115" s="1801" t="s">
        <v>24</v>
      </c>
      <c r="B115" s="1820" t="s">
        <v>26</v>
      </c>
      <c r="C115" s="2353" t="s">
        <v>48</v>
      </c>
      <c r="D115" s="2008"/>
      <c r="E115" s="2008"/>
      <c r="F115" s="2008"/>
      <c r="G115" s="2008"/>
      <c r="H115" s="2008"/>
      <c r="I115" s="2008"/>
      <c r="J115" s="2009"/>
    </row>
    <row r="116" spans="1:13" ht="18.75" customHeight="1" x14ac:dyDescent="0.2">
      <c r="A116" s="1806" t="s">
        <v>24</v>
      </c>
      <c r="B116" s="1808" t="s">
        <v>26</v>
      </c>
      <c r="C116" s="1798" t="s">
        <v>20</v>
      </c>
      <c r="D116" s="823" t="s">
        <v>50</v>
      </c>
      <c r="E116" s="1835"/>
      <c r="F116" s="824">
        <v>6</v>
      </c>
      <c r="G116" s="1613" t="s">
        <v>22</v>
      </c>
      <c r="H116" s="1709">
        <f>5053.9/3.4528*1000+5145+4025+1700</f>
        <v>1474581</v>
      </c>
      <c r="I116" s="1777">
        <f>5053.9/3.4528*1000+5145+4025+1700</f>
        <v>1474581</v>
      </c>
      <c r="J116" s="1680">
        <f>I116-H116</f>
        <v>0</v>
      </c>
    </row>
    <row r="117" spans="1:13" ht="17.25" customHeight="1" x14ac:dyDescent="0.2">
      <c r="A117" s="1815"/>
      <c r="B117" s="1796"/>
      <c r="C117" s="147"/>
      <c r="D117" s="830" t="s">
        <v>89</v>
      </c>
      <c r="E117" s="1797"/>
      <c r="F117" s="1837"/>
      <c r="G117" s="1608" t="s">
        <v>25</v>
      </c>
      <c r="H117" s="1710">
        <v>6864</v>
      </c>
      <c r="I117" s="1759">
        <v>6864</v>
      </c>
      <c r="J117" s="1760">
        <f>I117-H117</f>
        <v>0</v>
      </c>
    </row>
    <row r="118" spans="1:13" ht="19.5" customHeight="1" x14ac:dyDescent="0.2">
      <c r="A118" s="1815"/>
      <c r="B118" s="1796"/>
      <c r="C118" s="147"/>
      <c r="D118" s="1633" t="s">
        <v>61</v>
      </c>
      <c r="E118" s="1797"/>
      <c r="F118" s="1837"/>
      <c r="G118" s="1501"/>
      <c r="H118" s="1779"/>
      <c r="I118" s="1592"/>
      <c r="J118" s="1681"/>
    </row>
    <row r="119" spans="1:13" s="4" customFormat="1" ht="25.5" x14ac:dyDescent="0.2">
      <c r="A119" s="1815"/>
      <c r="B119" s="1796"/>
      <c r="C119" s="1804"/>
      <c r="D119" s="839" t="s">
        <v>63</v>
      </c>
      <c r="E119" s="1797"/>
      <c r="F119" s="1811"/>
      <c r="G119" s="1501"/>
      <c r="H119" s="1779"/>
      <c r="I119" s="1592"/>
      <c r="J119" s="1681"/>
    </row>
    <row r="120" spans="1:13" ht="19.5" customHeight="1" x14ac:dyDescent="0.2">
      <c r="A120" s="1815"/>
      <c r="B120" s="1796"/>
      <c r="C120" s="147"/>
      <c r="D120" s="830" t="s">
        <v>70</v>
      </c>
      <c r="E120" s="1797"/>
      <c r="F120" s="1837"/>
      <c r="G120" s="1501"/>
      <c r="H120" s="1779"/>
      <c r="I120" s="1592"/>
      <c r="J120" s="1681"/>
    </row>
    <row r="121" spans="1:13" s="4" customFormat="1" x14ac:dyDescent="0.2">
      <c r="A121" s="1815"/>
      <c r="B121" s="1796"/>
      <c r="C121" s="147"/>
      <c r="D121" s="1633" t="s">
        <v>62</v>
      </c>
      <c r="E121" s="1836"/>
      <c r="F121" s="1837"/>
      <c r="G121" s="1501"/>
      <c r="H121" s="1779"/>
      <c r="I121" s="1592"/>
      <c r="J121" s="1681"/>
    </row>
    <row r="122" spans="1:13" x14ac:dyDescent="0.2">
      <c r="A122" s="1815"/>
      <c r="B122" s="1796"/>
      <c r="C122" s="1804"/>
      <c r="D122" s="839" t="s">
        <v>64</v>
      </c>
      <c r="E122" s="1836"/>
      <c r="F122" s="1837"/>
      <c r="G122" s="1501"/>
      <c r="H122" s="1779"/>
      <c r="I122" s="1592"/>
      <c r="J122" s="1681"/>
    </row>
    <row r="123" spans="1:13" s="700" customFormat="1" ht="17.25" customHeight="1" x14ac:dyDescent="0.2">
      <c r="A123" s="1815"/>
      <c r="B123" s="1796"/>
      <c r="C123" s="1804"/>
      <c r="D123" s="869" t="s">
        <v>136</v>
      </c>
      <c r="E123" s="847"/>
      <c r="F123" s="1833"/>
      <c r="G123" s="1095"/>
      <c r="H123" s="1717"/>
      <c r="I123" s="1172"/>
      <c r="J123" s="1178"/>
      <c r="K123" s="699"/>
      <c r="M123" s="701"/>
    </row>
    <row r="124" spans="1:13" s="700" customFormat="1" ht="19.5" customHeight="1" x14ac:dyDescent="0.2">
      <c r="A124" s="1815"/>
      <c r="B124" s="1796"/>
      <c r="C124" s="1804"/>
      <c r="D124" s="2334" t="s">
        <v>307</v>
      </c>
      <c r="E124" s="2336"/>
      <c r="F124" s="2338"/>
      <c r="G124" s="848"/>
      <c r="H124" s="1780"/>
      <c r="I124" s="1348"/>
      <c r="J124" s="1360"/>
      <c r="K124" s="699"/>
      <c r="M124" s="701"/>
    </row>
    <row r="125" spans="1:13" ht="13.5" thickBot="1" x14ac:dyDescent="0.25">
      <c r="A125" s="1815"/>
      <c r="B125" s="1796"/>
      <c r="C125" s="1804"/>
      <c r="D125" s="2335"/>
      <c r="E125" s="2337"/>
      <c r="F125" s="2339"/>
      <c r="G125" s="369" t="s">
        <v>23</v>
      </c>
      <c r="H125" s="1589">
        <f t="shared" ref="H125" si="8">SUM(H116:H124)</f>
        <v>1481445</v>
      </c>
      <c r="I125" s="1589">
        <f t="shared" ref="I125:J125" si="9">SUM(I116:I124)</f>
        <v>1481445</v>
      </c>
      <c r="J125" s="1587">
        <f t="shared" si="9"/>
        <v>0</v>
      </c>
    </row>
    <row r="126" spans="1:13" ht="26.25" customHeight="1" x14ac:dyDescent="0.2">
      <c r="A126" s="1806" t="s">
        <v>24</v>
      </c>
      <c r="B126" s="1808" t="s">
        <v>26</v>
      </c>
      <c r="C126" s="1798" t="s">
        <v>24</v>
      </c>
      <c r="D126" s="2340" t="s">
        <v>253</v>
      </c>
      <c r="E126" s="2332" t="s">
        <v>134</v>
      </c>
      <c r="F126" s="2342">
        <v>6</v>
      </c>
      <c r="G126" s="851" t="s">
        <v>22</v>
      </c>
      <c r="H126" s="1709">
        <f>73/3.4528*1000-5145</f>
        <v>15997</v>
      </c>
      <c r="I126" s="1777">
        <f>73/3.4528*1000-5145</f>
        <v>15997</v>
      </c>
      <c r="J126" s="1680">
        <f>I126-H126</f>
        <v>0</v>
      </c>
    </row>
    <row r="127" spans="1:13" ht="13.5" thickBot="1" x14ac:dyDescent="0.25">
      <c r="A127" s="1807"/>
      <c r="B127" s="1809"/>
      <c r="C127" s="1799"/>
      <c r="D127" s="2341"/>
      <c r="E127" s="2333"/>
      <c r="F127" s="2343"/>
      <c r="G127" s="369" t="s">
        <v>23</v>
      </c>
      <c r="H127" s="1362">
        <f>SUM(H126)</f>
        <v>15997</v>
      </c>
      <c r="I127" s="1589">
        <f>SUM(I126)</f>
        <v>15997</v>
      </c>
      <c r="J127" s="1587">
        <f>J126</f>
        <v>0</v>
      </c>
    </row>
    <row r="128" spans="1:13" ht="15" customHeight="1" x14ac:dyDescent="0.2">
      <c r="A128" s="1984" t="s">
        <v>24</v>
      </c>
      <c r="B128" s="1959" t="s">
        <v>26</v>
      </c>
      <c r="C128" s="133" t="s">
        <v>26</v>
      </c>
      <c r="D128" s="2331" t="s">
        <v>59</v>
      </c>
      <c r="E128" s="2332"/>
      <c r="F128" s="2326">
        <v>2</v>
      </c>
      <c r="G128" s="852" t="s">
        <v>22</v>
      </c>
      <c r="H128" s="1714">
        <f>108/3.4528*1000</f>
        <v>31279</v>
      </c>
      <c r="I128" s="1593">
        <f>108/3.4528*1000</f>
        <v>31279</v>
      </c>
      <c r="J128" s="1586"/>
    </row>
    <row r="129" spans="1:15" ht="13.5" thickBot="1" x14ac:dyDescent="0.25">
      <c r="A129" s="1985"/>
      <c r="B129" s="1961"/>
      <c r="C129" s="131"/>
      <c r="D129" s="2320"/>
      <c r="E129" s="2333"/>
      <c r="F129" s="2328"/>
      <c r="G129" s="369" t="s">
        <v>23</v>
      </c>
      <c r="H129" s="1366">
        <f>H128</f>
        <v>31279</v>
      </c>
      <c r="I129" s="1594">
        <f>I128</f>
        <v>31279</v>
      </c>
      <c r="J129" s="1682"/>
    </row>
    <row r="130" spans="1:15" ht="17.25" customHeight="1" x14ac:dyDescent="0.2">
      <c r="A130" s="1984" t="s">
        <v>24</v>
      </c>
      <c r="B130" s="1959" t="s">
        <v>26</v>
      </c>
      <c r="C130" s="133" t="s">
        <v>28</v>
      </c>
      <c r="D130" s="1716" t="s">
        <v>257</v>
      </c>
      <c r="E130" s="2332"/>
      <c r="F130" s="2326">
        <v>2</v>
      </c>
      <c r="G130" s="852" t="s">
        <v>22</v>
      </c>
      <c r="H130" s="1714"/>
      <c r="I130" s="1593"/>
      <c r="J130" s="1586"/>
    </row>
    <row r="131" spans="1:15" ht="28.5" customHeight="1" thickBot="1" x14ac:dyDescent="0.25">
      <c r="A131" s="1985"/>
      <c r="B131" s="1961"/>
      <c r="C131" s="131"/>
      <c r="D131" s="1715" t="s">
        <v>308</v>
      </c>
      <c r="E131" s="2333"/>
      <c r="F131" s="2328"/>
      <c r="G131" s="369" t="s">
        <v>23</v>
      </c>
      <c r="H131" s="1591">
        <f>H130</f>
        <v>0</v>
      </c>
      <c r="I131" s="1589">
        <f>I130</f>
        <v>0</v>
      </c>
      <c r="J131" s="1587"/>
    </row>
    <row r="132" spans="1:15" ht="72" customHeight="1" x14ac:dyDescent="0.2">
      <c r="A132" s="2034" t="s">
        <v>24</v>
      </c>
      <c r="B132" s="2036" t="s">
        <v>26</v>
      </c>
      <c r="C132" s="133" t="s">
        <v>29</v>
      </c>
      <c r="D132" s="2321" t="s">
        <v>279</v>
      </c>
      <c r="E132" s="2323" t="s">
        <v>130</v>
      </c>
      <c r="F132" s="2326">
        <v>2</v>
      </c>
      <c r="G132" s="543" t="s">
        <v>22</v>
      </c>
      <c r="H132" s="1208">
        <f>64/3.4528*1000</f>
        <v>18536</v>
      </c>
      <c r="I132" s="1588">
        <f>64/3.4528*1000</f>
        <v>18536</v>
      </c>
      <c r="J132" s="1586"/>
    </row>
    <row r="133" spans="1:15" ht="13.5" thickBot="1" x14ac:dyDescent="0.25">
      <c r="A133" s="2035"/>
      <c r="B133" s="2037"/>
      <c r="C133" s="131"/>
      <c r="D133" s="2320"/>
      <c r="E133" s="2325"/>
      <c r="F133" s="2328"/>
      <c r="G133" s="369" t="s">
        <v>23</v>
      </c>
      <c r="H133" s="1362">
        <f>SUM(H132:H132)</f>
        <v>18536</v>
      </c>
      <c r="I133" s="1589">
        <f>SUM(I132:I132)</f>
        <v>18536</v>
      </c>
      <c r="J133" s="1587"/>
    </row>
    <row r="134" spans="1:15" ht="13.5" thickBot="1" x14ac:dyDescent="0.25">
      <c r="A134" s="31" t="s">
        <v>24</v>
      </c>
      <c r="B134" s="33" t="s">
        <v>26</v>
      </c>
      <c r="C134" s="2074" t="s">
        <v>27</v>
      </c>
      <c r="D134" s="2029"/>
      <c r="E134" s="2029"/>
      <c r="F134" s="2029"/>
      <c r="G134" s="2318"/>
      <c r="H134" s="1337">
        <f>H133+H129+H127+H125</f>
        <v>1547257</v>
      </c>
      <c r="I134" s="1350">
        <f>I133+I129+I127+I125</f>
        <v>1547257</v>
      </c>
      <c r="J134" s="1370">
        <f>J133+J129+J127+J125</f>
        <v>0</v>
      </c>
    </row>
    <row r="135" spans="1:15" ht="13.5" thickBot="1" x14ac:dyDescent="0.25">
      <c r="A135" s="31" t="s">
        <v>24</v>
      </c>
      <c r="B135" s="2131" t="s">
        <v>10</v>
      </c>
      <c r="C135" s="2131"/>
      <c r="D135" s="2131"/>
      <c r="E135" s="2131"/>
      <c r="F135" s="2131"/>
      <c r="G135" s="2131"/>
      <c r="H135" s="1575">
        <f t="shared" ref="H135:J135" si="10">H134+H114+H107</f>
        <v>3916540</v>
      </c>
      <c r="I135" s="1578">
        <f t="shared" si="10"/>
        <v>3916540</v>
      </c>
      <c r="J135" s="1674">
        <f t="shared" si="10"/>
        <v>0</v>
      </c>
    </row>
    <row r="136" spans="1:15" ht="14.25" customHeight="1" thickBot="1" x14ac:dyDescent="0.25">
      <c r="A136" s="34" t="s">
        <v>9</v>
      </c>
      <c r="B136" s="2132" t="s">
        <v>11</v>
      </c>
      <c r="C136" s="2132"/>
      <c r="D136" s="2132"/>
      <c r="E136" s="2132"/>
      <c r="F136" s="2132"/>
      <c r="G136" s="2132"/>
      <c r="H136" s="1590">
        <f>H135+H58</f>
        <v>62671491</v>
      </c>
      <c r="I136" s="1377">
        <f>I135+I58</f>
        <v>62918438</v>
      </c>
      <c r="J136" s="1378">
        <f>J135+J58</f>
        <v>246947</v>
      </c>
    </row>
    <row r="137" spans="1:15" s="210" customFormat="1" ht="14.25" customHeight="1" x14ac:dyDescent="0.2">
      <c r="A137" s="1087"/>
      <c r="B137" s="1088"/>
      <c r="C137" s="1088"/>
      <c r="D137" s="1088"/>
      <c r="E137" s="1088"/>
      <c r="F137" s="1088"/>
      <c r="G137" s="1088"/>
      <c r="H137" s="1380"/>
      <c r="I137" s="1380"/>
      <c r="J137" s="1380"/>
    </row>
    <row r="138" spans="1:15" s="5" customFormat="1" ht="13.5" customHeight="1" thickBot="1" x14ac:dyDescent="0.25">
      <c r="A138" s="2145" t="s">
        <v>2</v>
      </c>
      <c r="B138" s="2145"/>
      <c r="C138" s="2145"/>
      <c r="D138" s="2145"/>
      <c r="E138" s="2145"/>
      <c r="F138" s="2145"/>
      <c r="G138" s="2145"/>
      <c r="H138" s="2145"/>
      <c r="I138" s="2145"/>
      <c r="J138" s="2145"/>
    </row>
    <row r="139" spans="1:15" s="1599" customFormat="1" ht="54" customHeight="1" thickBot="1" x14ac:dyDescent="0.25">
      <c r="A139" s="2499" t="s">
        <v>3</v>
      </c>
      <c r="B139" s="2500"/>
      <c r="C139" s="2500"/>
      <c r="D139" s="2500"/>
      <c r="E139" s="2500"/>
      <c r="F139" s="2500"/>
      <c r="G139" s="2501"/>
      <c r="H139" s="1762" t="s">
        <v>277</v>
      </c>
      <c r="I139" s="1598" t="s">
        <v>327</v>
      </c>
      <c r="J139" s="1601" t="s">
        <v>321</v>
      </c>
      <c r="M139" s="1600"/>
      <c r="O139" s="1600"/>
    </row>
    <row r="140" spans="1:15" s="6" customFormat="1" ht="13.5" thickBot="1" x14ac:dyDescent="0.25">
      <c r="A140" s="2111" t="s">
        <v>33</v>
      </c>
      <c r="B140" s="2112"/>
      <c r="C140" s="2112"/>
      <c r="D140" s="2112"/>
      <c r="E140" s="2112"/>
      <c r="F140" s="2112"/>
      <c r="G140" s="2113"/>
      <c r="H140" s="1635">
        <f>SUM(H141:H147)</f>
        <v>62121578</v>
      </c>
      <c r="I140" s="1595">
        <f t="shared" ref="I140:J140" si="11">SUM(I141:I147)</f>
        <v>62368525</v>
      </c>
      <c r="J140" s="1631">
        <f t="shared" si="11"/>
        <v>246947</v>
      </c>
    </row>
    <row r="141" spans="1:15" s="6" customFormat="1" x14ac:dyDescent="0.2">
      <c r="A141" s="2100" t="s">
        <v>36</v>
      </c>
      <c r="B141" s="2101"/>
      <c r="C141" s="2101"/>
      <c r="D141" s="2101"/>
      <c r="E141" s="2101"/>
      <c r="F141" s="2101"/>
      <c r="G141" s="2102"/>
      <c r="H141" s="1782">
        <f>SUMIF(G13:G132,"sb",H13:H132)</f>
        <v>24044374</v>
      </c>
      <c r="I141" s="1783">
        <f>SUMIF(G13:G132,"sb",I13:I132)</f>
        <v>24044374</v>
      </c>
      <c r="J141" s="1784">
        <f>I141-H141</f>
        <v>0</v>
      </c>
    </row>
    <row r="142" spans="1:15" s="6" customFormat="1" x14ac:dyDescent="0.2">
      <c r="A142" s="2100" t="s">
        <v>44</v>
      </c>
      <c r="B142" s="2101"/>
      <c r="C142" s="2101"/>
      <c r="D142" s="2101"/>
      <c r="E142" s="2101"/>
      <c r="F142" s="2101"/>
      <c r="G142" s="2102"/>
      <c r="H142" s="1761">
        <f>SUMIF(G13:G132,"sb(sp)",H13:H132)</f>
        <v>5453919</v>
      </c>
      <c r="I142" s="1596">
        <f>SUMIF(G13:G132,"sb(sp)",I13:I132)</f>
        <v>5453919</v>
      </c>
      <c r="J142" s="1632">
        <f t="shared" ref="J142:J146" si="12">I142-H142</f>
        <v>0</v>
      </c>
    </row>
    <row r="143" spans="1:15" s="6" customFormat="1" x14ac:dyDescent="0.2">
      <c r="A143" s="2457" t="s">
        <v>330</v>
      </c>
      <c r="B143" s="2458"/>
      <c r="C143" s="2458"/>
      <c r="D143" s="2458"/>
      <c r="E143" s="2458"/>
      <c r="F143" s="2458"/>
      <c r="G143" s="2459"/>
      <c r="H143" s="1761">
        <f>SUMIF(G13:G132,"SB(SPL)",H13:H132)</f>
        <v>681245</v>
      </c>
      <c r="I143" s="1596">
        <f>SUMIF(G13:G132,"SB(SPL)",I13:I132)</f>
        <v>681245</v>
      </c>
      <c r="J143" s="1639">
        <f>SUMIF(G13:G132,"SB(SPL)",J13:J132)</f>
        <v>0</v>
      </c>
    </row>
    <row r="144" spans="1:15" s="6" customFormat="1" x14ac:dyDescent="0.2">
      <c r="A144" s="2100" t="s">
        <v>37</v>
      </c>
      <c r="B144" s="2101"/>
      <c r="C144" s="2101"/>
      <c r="D144" s="2101"/>
      <c r="E144" s="2101"/>
      <c r="F144" s="2101"/>
      <c r="G144" s="2102"/>
      <c r="H144" s="1761">
        <f>SUMIF(G13:G132,"sb(vb)",H13:H132)</f>
        <v>31629967</v>
      </c>
      <c r="I144" s="1596">
        <f>SUMIF(G13:G132,"sb(vb)",I13:I132)</f>
        <v>31876914</v>
      </c>
      <c r="J144" s="1632">
        <f t="shared" si="12"/>
        <v>246947</v>
      </c>
    </row>
    <row r="145" spans="1:12" s="6" customFormat="1" x14ac:dyDescent="0.2">
      <c r="A145" s="2100" t="s">
        <v>54</v>
      </c>
      <c r="B145" s="2101"/>
      <c r="C145" s="2101"/>
      <c r="D145" s="2101"/>
      <c r="E145" s="2101"/>
      <c r="F145" s="2101"/>
      <c r="G145" s="2102"/>
      <c r="H145" s="1761">
        <f>SUMIF(G13:G132,"sb(p)",H13:H132)</f>
        <v>167800</v>
      </c>
      <c r="I145" s="1596">
        <f>SUMIF(G13:G132,"sb(p)",I13:I132)</f>
        <v>167800</v>
      </c>
      <c r="J145" s="1632">
        <f t="shared" si="12"/>
        <v>0</v>
      </c>
    </row>
    <row r="146" spans="1:12" s="6" customFormat="1" x14ac:dyDescent="0.2">
      <c r="A146" s="2460" t="s">
        <v>324</v>
      </c>
      <c r="B146" s="2461"/>
      <c r="C146" s="2461"/>
      <c r="D146" s="2461"/>
      <c r="E146" s="2461"/>
      <c r="F146" s="2461"/>
      <c r="G146" s="2462"/>
      <c r="H146" s="1711">
        <f>SUMIF(G13:G132,"sb(l)",H13:H132)</f>
        <v>8431</v>
      </c>
      <c r="I146" s="1612">
        <f>SUMIF(G13:G132,"sb(l)",I13:I132)</f>
        <v>8431</v>
      </c>
      <c r="J146" s="1632">
        <f t="shared" si="12"/>
        <v>0</v>
      </c>
    </row>
    <row r="147" spans="1:12" s="6" customFormat="1" x14ac:dyDescent="0.2">
      <c r="A147" s="2457" t="s">
        <v>328</v>
      </c>
      <c r="B147" s="2458"/>
      <c r="C147" s="2458"/>
      <c r="D147" s="2458"/>
      <c r="E147" s="2458"/>
      <c r="F147" s="2458"/>
      <c r="G147" s="2459"/>
      <c r="H147" s="1761">
        <f>SUMIF(G13:G132,"pf",H13:H132)</f>
        <v>135842</v>
      </c>
      <c r="I147" s="1596">
        <f>SUMIF(G13:G132,"pf",I13:I132)</f>
        <v>135842</v>
      </c>
      <c r="J147" s="1639">
        <f>SUMIF(G13:G132,"pf",J13:J132)</f>
        <v>0</v>
      </c>
      <c r="L147" s="1403"/>
    </row>
    <row r="148" spans="1:12" s="6" customFormat="1" x14ac:dyDescent="0.2">
      <c r="A148" s="2496" t="s">
        <v>34</v>
      </c>
      <c r="B148" s="2497"/>
      <c r="C148" s="2497"/>
      <c r="D148" s="2497"/>
      <c r="E148" s="2497"/>
      <c r="F148" s="2497"/>
      <c r="G148" s="2498"/>
      <c r="H148" s="1763">
        <f t="shared" ref="H148:J148" si="13">SUM(H149:H150)</f>
        <v>549913</v>
      </c>
      <c r="I148" s="1764">
        <f t="shared" si="13"/>
        <v>549913</v>
      </c>
      <c r="J148" s="1765">
        <f t="shared" si="13"/>
        <v>0</v>
      </c>
      <c r="L148" s="209"/>
    </row>
    <row r="149" spans="1:12" s="6" customFormat="1" x14ac:dyDescent="0.2">
      <c r="A149" s="2097" t="s">
        <v>38</v>
      </c>
      <c r="B149" s="2098"/>
      <c r="C149" s="2098"/>
      <c r="D149" s="2098"/>
      <c r="E149" s="2098"/>
      <c r="F149" s="2098"/>
      <c r="G149" s="2099"/>
      <c r="H149" s="1761">
        <f>SUMIF(G13:G132,"es",H13:H132)</f>
        <v>326865</v>
      </c>
      <c r="I149" s="1597">
        <f>SUMIF(G13:G132,"es",I13:I132)</f>
        <v>326865</v>
      </c>
      <c r="J149" s="1636">
        <f>SUMIF(G13:G132,"es",J13:J132)</f>
        <v>0</v>
      </c>
      <c r="K149" s="1403"/>
    </row>
    <row r="150" spans="1:12" s="6" customFormat="1" x14ac:dyDescent="0.2">
      <c r="A150" s="2305" t="s">
        <v>271</v>
      </c>
      <c r="B150" s="2306"/>
      <c r="C150" s="2306"/>
      <c r="D150" s="2306"/>
      <c r="E150" s="2306"/>
      <c r="F150" s="2306"/>
      <c r="G150" s="2307"/>
      <c r="H150" s="1761">
        <f>SUMIF(G13:G132,"KVJUD ",H13:H132)</f>
        <v>223048</v>
      </c>
      <c r="I150" s="1597">
        <f>SUMIF(G13:G132,"KVJUD ",I13:I132)</f>
        <v>223048</v>
      </c>
      <c r="J150" s="1636">
        <f>SUMIF(G13:G132,"KVJUD ",J13:J132)</f>
        <v>0</v>
      </c>
    </row>
    <row r="151" spans="1:12" ht="13.5" thickBot="1" x14ac:dyDescent="0.25">
      <c r="A151" s="2480" t="s">
        <v>35</v>
      </c>
      <c r="B151" s="2481"/>
      <c r="C151" s="2481"/>
      <c r="D151" s="2481"/>
      <c r="E151" s="2481"/>
      <c r="F151" s="2481"/>
      <c r="G151" s="2482"/>
      <c r="H151" s="1362">
        <f t="shared" ref="H151:I151" si="14">H148+H140</f>
        <v>62671491</v>
      </c>
      <c r="I151" s="1589">
        <f t="shared" si="14"/>
        <v>62918438</v>
      </c>
      <c r="J151" s="1587">
        <f>J148+J140</f>
        <v>246947</v>
      </c>
    </row>
    <row r="153" spans="1:12" x14ac:dyDescent="0.2">
      <c r="D153" s="2"/>
      <c r="E153" s="215"/>
      <c r="F153" s="1831"/>
      <c r="G153" s="114"/>
      <c r="H153" s="1396"/>
      <c r="I153" s="1396"/>
      <c r="J153" s="1396"/>
    </row>
    <row r="154" spans="1:12" x14ac:dyDescent="0.2">
      <c r="D154" s="2"/>
      <c r="E154" s="215"/>
      <c r="F154" s="1831"/>
      <c r="G154" s="114"/>
      <c r="H154" s="1396"/>
      <c r="I154" s="1396"/>
      <c r="J154" s="1396"/>
    </row>
    <row r="155" spans="1:12" x14ac:dyDescent="0.2">
      <c r="D155" s="2"/>
      <c r="E155" s="215"/>
      <c r="F155" s="1831"/>
      <c r="G155" s="114"/>
      <c r="H155" s="1396"/>
      <c r="I155" s="1396"/>
      <c r="J155" s="1396"/>
    </row>
    <row r="156" spans="1:12" x14ac:dyDescent="0.2">
      <c r="D156" s="2"/>
      <c r="E156" s="215"/>
      <c r="F156" s="1831"/>
      <c r="G156" s="114"/>
      <c r="H156" s="1396"/>
      <c r="I156" s="1396"/>
      <c r="J156" s="1396"/>
    </row>
    <row r="157" spans="1:12" x14ac:dyDescent="0.2">
      <c r="D157" s="2"/>
      <c r="E157" s="215"/>
      <c r="F157" s="1831"/>
      <c r="G157" s="114"/>
      <c r="H157" s="1396"/>
      <c r="I157" s="1396"/>
      <c r="J157" s="1396"/>
    </row>
    <row r="158" spans="1:12" x14ac:dyDescent="0.2">
      <c r="D158" s="2"/>
      <c r="E158" s="215"/>
      <c r="F158" s="1831"/>
      <c r="G158" s="114"/>
      <c r="H158" s="1396"/>
      <c r="I158" s="1396"/>
      <c r="J158" s="1396"/>
    </row>
    <row r="159" spans="1:12" x14ac:dyDescent="0.2">
      <c r="D159" s="2"/>
      <c r="E159" s="215"/>
      <c r="F159" s="1831"/>
      <c r="G159" s="114"/>
      <c r="H159" s="1396"/>
      <c r="I159" s="1396"/>
      <c r="J159" s="1396"/>
    </row>
    <row r="160" spans="1:12" x14ac:dyDescent="0.2">
      <c r="D160" s="2"/>
      <c r="E160" s="215"/>
      <c r="F160" s="1831"/>
      <c r="G160" s="114"/>
      <c r="H160" s="1396"/>
      <c r="I160" s="1396"/>
      <c r="J160" s="1396"/>
    </row>
    <row r="161" spans="1:10" x14ac:dyDescent="0.2">
      <c r="D161" s="2"/>
      <c r="E161" s="215"/>
      <c r="F161" s="1831"/>
      <c r="G161" s="114"/>
      <c r="H161" s="1396"/>
      <c r="I161" s="1396"/>
      <c r="J161" s="1396"/>
    </row>
    <row r="162" spans="1:10" x14ac:dyDescent="0.2">
      <c r="D162" s="2"/>
      <c r="E162" s="215"/>
      <c r="F162" s="1831"/>
      <c r="G162" s="114"/>
      <c r="H162" s="1396"/>
      <c r="I162" s="1396"/>
      <c r="J162" s="1396"/>
    </row>
    <row r="163" spans="1:10" x14ac:dyDescent="0.2">
      <c r="D163" s="2"/>
      <c r="E163" s="215"/>
      <c r="F163" s="1831"/>
      <c r="G163" s="114"/>
      <c r="H163" s="1396"/>
      <c r="I163" s="1396"/>
      <c r="J163" s="1396"/>
    </row>
    <row r="164" spans="1:10" x14ac:dyDescent="0.2">
      <c r="A164" s="2"/>
      <c r="B164" s="2"/>
      <c r="C164" s="2"/>
      <c r="D164" s="2"/>
      <c r="E164" s="215"/>
      <c r="F164" s="1831"/>
      <c r="G164" s="114"/>
      <c r="H164" s="1396"/>
      <c r="I164" s="1396"/>
      <c r="J164" s="1396"/>
    </row>
    <row r="165" spans="1:10" x14ac:dyDescent="0.2">
      <c r="A165" s="2"/>
      <c r="B165" s="2"/>
      <c r="C165" s="2"/>
      <c r="D165" s="2"/>
      <c r="E165" s="215"/>
      <c r="F165" s="1831"/>
      <c r="G165" s="114"/>
      <c r="H165" s="1396"/>
      <c r="I165" s="1396"/>
      <c r="J165" s="1396"/>
    </row>
    <row r="166" spans="1:10" x14ac:dyDescent="0.2">
      <c r="A166" s="2"/>
      <c r="B166" s="2"/>
      <c r="C166" s="2"/>
      <c r="D166" s="2"/>
      <c r="E166" s="215"/>
      <c r="F166" s="1831"/>
      <c r="G166" s="114"/>
      <c r="H166" s="1396"/>
      <c r="I166" s="1396"/>
      <c r="J166" s="1396"/>
    </row>
    <row r="167" spans="1:10" x14ac:dyDescent="0.2">
      <c r="A167" s="2"/>
      <c r="B167" s="2"/>
      <c r="C167" s="2"/>
      <c r="D167" s="2"/>
      <c r="E167" s="215"/>
      <c r="F167" s="1831"/>
      <c r="G167" s="114"/>
      <c r="H167" s="1396"/>
      <c r="I167" s="1396"/>
      <c r="J167" s="1396"/>
    </row>
    <row r="168" spans="1:10" x14ac:dyDescent="0.2">
      <c r="A168" s="2"/>
      <c r="B168" s="2"/>
      <c r="C168" s="2"/>
      <c r="D168" s="2"/>
      <c r="E168" s="215"/>
      <c r="F168" s="1831"/>
      <c r="G168" s="114"/>
      <c r="H168" s="1396"/>
      <c r="I168" s="1396"/>
      <c r="J168" s="1396"/>
    </row>
    <row r="169" spans="1:10" x14ac:dyDescent="0.2">
      <c r="A169" s="2"/>
      <c r="B169" s="2"/>
      <c r="C169" s="2"/>
      <c r="D169" s="2"/>
      <c r="E169" s="215"/>
      <c r="F169" s="1831"/>
      <c r="G169" s="114"/>
      <c r="H169" s="1396"/>
      <c r="I169" s="1396"/>
      <c r="J169" s="1396"/>
    </row>
    <row r="170" spans="1:10" x14ac:dyDescent="0.2">
      <c r="A170" s="2"/>
      <c r="B170" s="2"/>
      <c r="C170" s="2"/>
      <c r="D170" s="2"/>
      <c r="E170" s="215"/>
      <c r="F170" s="1831"/>
      <c r="G170" s="114"/>
      <c r="H170" s="1396"/>
      <c r="I170" s="1396"/>
      <c r="J170" s="1396"/>
    </row>
    <row r="171" spans="1:10" x14ac:dyDescent="0.2">
      <c r="A171" s="2"/>
      <c r="B171" s="2"/>
      <c r="C171" s="2"/>
      <c r="D171" s="2"/>
      <c r="E171" s="215"/>
      <c r="F171" s="1831"/>
      <c r="G171" s="114"/>
      <c r="H171" s="1396"/>
      <c r="I171" s="1396"/>
      <c r="J171" s="1396"/>
    </row>
    <row r="172" spans="1:10" x14ac:dyDescent="0.2">
      <c r="A172" s="2"/>
      <c r="B172" s="2"/>
      <c r="C172" s="2"/>
      <c r="D172" s="2"/>
      <c r="E172" s="215"/>
      <c r="F172" s="1831"/>
      <c r="G172" s="114"/>
      <c r="H172" s="1396"/>
      <c r="I172" s="1396"/>
      <c r="J172" s="1396"/>
    </row>
    <row r="173" spans="1:10" x14ac:dyDescent="0.2">
      <c r="A173" s="2"/>
      <c r="B173" s="2"/>
      <c r="C173" s="2"/>
      <c r="D173" s="2"/>
      <c r="E173" s="215"/>
      <c r="F173" s="1831"/>
      <c r="G173" s="114"/>
      <c r="H173" s="1396"/>
      <c r="I173" s="1396"/>
      <c r="J173" s="1396"/>
    </row>
    <row r="174" spans="1:10" x14ac:dyDescent="0.2">
      <c r="A174" s="2"/>
      <c r="B174" s="2"/>
      <c r="C174" s="2"/>
      <c r="D174" s="2"/>
      <c r="E174" s="215"/>
      <c r="F174" s="1831"/>
      <c r="G174" s="114"/>
      <c r="H174" s="1396"/>
      <c r="I174" s="1396"/>
      <c r="J174" s="1396"/>
    </row>
    <row r="175" spans="1:10" x14ac:dyDescent="0.2">
      <c r="A175" s="2"/>
      <c r="B175" s="2"/>
      <c r="C175" s="2"/>
      <c r="D175" s="2"/>
      <c r="E175" s="215"/>
      <c r="F175" s="1831"/>
      <c r="G175" s="114"/>
      <c r="H175" s="1396"/>
      <c r="I175" s="1396"/>
      <c r="J175" s="1396"/>
    </row>
    <row r="176" spans="1:10" x14ac:dyDescent="0.2">
      <c r="A176" s="2"/>
      <c r="B176" s="2"/>
      <c r="C176" s="2"/>
      <c r="D176" s="2"/>
      <c r="E176" s="215"/>
      <c r="F176" s="1831"/>
      <c r="G176" s="114"/>
      <c r="H176" s="1396"/>
      <c r="I176" s="1396"/>
      <c r="J176" s="1396"/>
    </row>
  </sheetData>
  <mergeCells count="176">
    <mergeCell ref="I1:J1"/>
    <mergeCell ref="A2:J2"/>
    <mergeCell ref="A3:J3"/>
    <mergeCell ref="F6:F8"/>
    <mergeCell ref="I6:I8"/>
    <mergeCell ref="D27:D28"/>
    <mergeCell ref="A6:A8"/>
    <mergeCell ref="C5:J5"/>
    <mergeCell ref="C13:C14"/>
    <mergeCell ref="E13:E14"/>
    <mergeCell ref="D13:D15"/>
    <mergeCell ref="G6:G8"/>
    <mergeCell ref="H6:H8"/>
    <mergeCell ref="A9:J9"/>
    <mergeCell ref="A10:J10"/>
    <mergeCell ref="B11:J11"/>
    <mergeCell ref="C12:J12"/>
    <mergeCell ref="A24:A25"/>
    <mergeCell ref="B24:B25"/>
    <mergeCell ref="C24:C25"/>
    <mergeCell ref="D24:D25"/>
    <mergeCell ref="E24:E25"/>
    <mergeCell ref="F24:F25"/>
    <mergeCell ref="A22:A23"/>
    <mergeCell ref="B22:B23"/>
    <mergeCell ref="C22:C23"/>
    <mergeCell ref="E18:E19"/>
    <mergeCell ref="F18:F19"/>
    <mergeCell ref="A4:J4"/>
    <mergeCell ref="J6:J8"/>
    <mergeCell ref="D22:D23"/>
    <mergeCell ref="E22:E23"/>
    <mergeCell ref="F22:F23"/>
    <mergeCell ref="F20:F21"/>
    <mergeCell ref="B6:B8"/>
    <mergeCell ref="C6:C8"/>
    <mergeCell ref="D6:D8"/>
    <mergeCell ref="E6:E8"/>
    <mergeCell ref="A20:A21"/>
    <mergeCell ref="C20:C21"/>
    <mergeCell ref="D20:D21"/>
    <mergeCell ref="E20:E21"/>
    <mergeCell ref="D16:D17"/>
    <mergeCell ref="A18:A19"/>
    <mergeCell ref="C18:C19"/>
    <mergeCell ref="D18:D19"/>
    <mergeCell ref="D32:D33"/>
    <mergeCell ref="E32:E33"/>
    <mergeCell ref="F32:F33"/>
    <mergeCell ref="D29:D31"/>
    <mergeCell ref="E29:E31"/>
    <mergeCell ref="F29:F31"/>
    <mergeCell ref="D38:D39"/>
    <mergeCell ref="E38:E39"/>
    <mergeCell ref="F38:F39"/>
    <mergeCell ref="D34:D35"/>
    <mergeCell ref="E34:E35"/>
    <mergeCell ref="F34:F35"/>
    <mergeCell ref="D36:D37"/>
    <mergeCell ref="E36:E37"/>
    <mergeCell ref="F36:F37"/>
    <mergeCell ref="A143:G143"/>
    <mergeCell ref="A128:A129"/>
    <mergeCell ref="B130:B131"/>
    <mergeCell ref="E130:E131"/>
    <mergeCell ref="F130:F131"/>
    <mergeCell ref="D84:D86"/>
    <mergeCell ref="A146:G146"/>
    <mergeCell ref="D105:D106"/>
    <mergeCell ref="E105:E106"/>
    <mergeCell ref="C107:G107"/>
    <mergeCell ref="E109:E111"/>
    <mergeCell ref="F109:F111"/>
    <mergeCell ref="F96:F100"/>
    <mergeCell ref="D109:D111"/>
    <mergeCell ref="D98:D99"/>
    <mergeCell ref="A132:A133"/>
    <mergeCell ref="A130:A131"/>
    <mergeCell ref="E103:E104"/>
    <mergeCell ref="B135:G135"/>
    <mergeCell ref="B136:G136"/>
    <mergeCell ref="B132:B133"/>
    <mergeCell ref="D132:D133"/>
    <mergeCell ref="B128:B129"/>
    <mergeCell ref="E132:E133"/>
    <mergeCell ref="A151:G151"/>
    <mergeCell ref="D76:D78"/>
    <mergeCell ref="A148:G148"/>
    <mergeCell ref="A149:G149"/>
    <mergeCell ref="A144:G144"/>
    <mergeCell ref="A145:G145"/>
    <mergeCell ref="A141:G141"/>
    <mergeCell ref="A142:G142"/>
    <mergeCell ref="A139:G139"/>
    <mergeCell ref="A140:G140"/>
    <mergeCell ref="C134:G134"/>
    <mergeCell ref="D112:D113"/>
    <mergeCell ref="E112:E113"/>
    <mergeCell ref="F112:F113"/>
    <mergeCell ref="C114:G114"/>
    <mergeCell ref="E96:E100"/>
    <mergeCell ref="A147:G147"/>
    <mergeCell ref="A150:G150"/>
    <mergeCell ref="D128:D129"/>
    <mergeCell ref="E128:E129"/>
    <mergeCell ref="E82:G82"/>
    <mergeCell ref="D88:D89"/>
    <mergeCell ref="D90:D91"/>
    <mergeCell ref="A138:J138"/>
    <mergeCell ref="C40:G40"/>
    <mergeCell ref="B42:B43"/>
    <mergeCell ref="C42:C43"/>
    <mergeCell ref="D42:D43"/>
    <mergeCell ref="E42:E43"/>
    <mergeCell ref="F42:F43"/>
    <mergeCell ref="C55:C56"/>
    <mergeCell ref="C51:C52"/>
    <mergeCell ref="D51:D52"/>
    <mergeCell ref="E51:E52"/>
    <mergeCell ref="F51:F52"/>
    <mergeCell ref="C53:C54"/>
    <mergeCell ref="D53:D54"/>
    <mergeCell ref="E53:E54"/>
    <mergeCell ref="F53:F54"/>
    <mergeCell ref="B48:B50"/>
    <mergeCell ref="C48:C50"/>
    <mergeCell ref="F44:F45"/>
    <mergeCell ref="D48:D50"/>
    <mergeCell ref="C41:J41"/>
    <mergeCell ref="A48:A50"/>
    <mergeCell ref="E48:E50"/>
    <mergeCell ref="F48:F50"/>
    <mergeCell ref="A46:A47"/>
    <mergeCell ref="C46:C47"/>
    <mergeCell ref="D46:D47"/>
    <mergeCell ref="E46:E47"/>
    <mergeCell ref="F46:F47"/>
    <mergeCell ref="A44:A45"/>
    <mergeCell ref="B44:B45"/>
    <mergeCell ref="C44:C45"/>
    <mergeCell ref="D44:D45"/>
    <mergeCell ref="E44:E45"/>
    <mergeCell ref="D74:D75"/>
    <mergeCell ref="D93:D95"/>
    <mergeCell ref="E93:E94"/>
    <mergeCell ref="F93:F95"/>
    <mergeCell ref="D102:D104"/>
    <mergeCell ref="A51:A52"/>
    <mergeCell ref="C79:C81"/>
    <mergeCell ref="D79:D81"/>
    <mergeCell ref="F79:F81"/>
    <mergeCell ref="D71:D72"/>
    <mergeCell ref="B51:B52"/>
    <mergeCell ref="E73:G73"/>
    <mergeCell ref="C57:G57"/>
    <mergeCell ref="B59:J59"/>
    <mergeCell ref="C60:J60"/>
    <mergeCell ref="B58:G58"/>
    <mergeCell ref="D66:D68"/>
    <mergeCell ref="D69:D70"/>
    <mergeCell ref="A55:A56"/>
    <mergeCell ref="A53:A54"/>
    <mergeCell ref="D62:D65"/>
    <mergeCell ref="D55:D56"/>
    <mergeCell ref="E55:E56"/>
    <mergeCell ref="F55:F56"/>
    <mergeCell ref="F132:F133"/>
    <mergeCell ref="E92:G92"/>
    <mergeCell ref="F128:F129"/>
    <mergeCell ref="C115:J115"/>
    <mergeCell ref="D124:D125"/>
    <mergeCell ref="E124:E125"/>
    <mergeCell ref="F124:F125"/>
    <mergeCell ref="D126:D127"/>
    <mergeCell ref="E126:E127"/>
    <mergeCell ref="F126:F12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5" orientation="portrait" r:id="rId1"/>
  <rowBreaks count="2" manualBreakCount="2">
    <brk id="57" max="9" man="1"/>
    <brk id="107" max="9" man="1"/>
  </rowBreaks>
  <colBreaks count="1" manualBreakCount="1">
    <brk id="10" min="1" max="16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8"/>
  <sheetViews>
    <sheetView topLeftCell="A103" zoomScaleNormal="100" zoomScaleSheetLayoutView="80" workbookViewId="0">
      <selection activeCell="H130" sqref="H130"/>
    </sheetView>
  </sheetViews>
  <sheetFormatPr defaultRowHeight="12.75" x14ac:dyDescent="0.2"/>
  <cols>
    <col min="1" max="3" width="2.42578125" style="6" customWidth="1"/>
    <col min="4" max="4" width="34.7109375" style="6" customWidth="1"/>
    <col min="5" max="5" width="3.5703125" style="214" customWidth="1"/>
    <col min="6" max="6" width="3" style="61" customWidth="1"/>
    <col min="7" max="7" width="8.140625" style="1439" customWidth="1"/>
    <col min="8" max="8" width="9.85546875" style="1402" customWidth="1"/>
    <col min="9" max="9" width="9.7109375" style="1403" hidden="1" customWidth="1"/>
    <col min="10" max="10" width="8.42578125" style="1403" hidden="1" customWidth="1"/>
    <col min="11" max="11" width="8.5703125" style="1403" hidden="1" customWidth="1"/>
    <col min="12" max="12" width="7.42578125" style="1403" hidden="1" customWidth="1"/>
    <col min="13" max="14" width="9.5703125" style="1403" customWidth="1"/>
    <col min="15" max="15" width="26.42578125" style="6" customWidth="1"/>
    <col min="16" max="16" width="5.7109375" style="18" customWidth="1"/>
    <col min="17" max="17" width="6.42578125" style="61" customWidth="1"/>
    <col min="18" max="18" width="5.85546875" style="1419" customWidth="1"/>
    <col min="19" max="19" width="9.140625" style="2" customWidth="1"/>
    <col min="20" max="16384" width="9.140625" style="2"/>
  </cols>
  <sheetData>
    <row r="1" spans="1:22" x14ac:dyDescent="0.2">
      <c r="A1" s="2178" t="s">
        <v>314</v>
      </c>
      <c r="B1" s="2178"/>
      <c r="C1" s="2178"/>
      <c r="D1" s="2178"/>
      <c r="E1" s="2178"/>
      <c r="F1" s="2178"/>
      <c r="G1" s="2178"/>
      <c r="H1" s="2178"/>
      <c r="I1" s="2178"/>
      <c r="J1" s="2178"/>
      <c r="K1" s="2178"/>
      <c r="L1" s="2178"/>
      <c r="M1" s="2178"/>
      <c r="N1" s="2178"/>
      <c r="O1" s="2178"/>
      <c r="P1" s="2178"/>
      <c r="Q1" s="2178"/>
      <c r="R1" s="2178"/>
    </row>
    <row r="2" spans="1:22" x14ac:dyDescent="0.2">
      <c r="A2" s="2185" t="s">
        <v>39</v>
      </c>
      <c r="B2" s="2185"/>
      <c r="C2" s="2185"/>
      <c r="D2" s="2185"/>
      <c r="E2" s="2185"/>
      <c r="F2" s="2185"/>
      <c r="G2" s="2185"/>
      <c r="H2" s="2185"/>
      <c r="I2" s="2185"/>
      <c r="J2" s="2185"/>
      <c r="K2" s="2185"/>
      <c r="L2" s="2185"/>
      <c r="M2" s="2185"/>
      <c r="N2" s="2185"/>
      <c r="O2" s="2185"/>
      <c r="P2" s="2185"/>
      <c r="Q2" s="2185"/>
      <c r="R2" s="2185"/>
    </row>
    <row r="3" spans="1:22" x14ac:dyDescent="0.2">
      <c r="A3" s="2186" t="s">
        <v>215</v>
      </c>
      <c r="B3" s="2186"/>
      <c r="C3" s="2186"/>
      <c r="D3" s="2186"/>
      <c r="E3" s="2186"/>
      <c r="F3" s="2186"/>
      <c r="G3" s="2186"/>
      <c r="H3" s="2186"/>
      <c r="I3" s="2186"/>
      <c r="J3" s="2186"/>
      <c r="K3" s="2186"/>
      <c r="L3" s="2186"/>
      <c r="M3" s="2186"/>
      <c r="N3" s="2186"/>
      <c r="O3" s="2186"/>
      <c r="P3" s="2186"/>
      <c r="Q3" s="2186"/>
      <c r="R3" s="2186"/>
    </row>
    <row r="4" spans="1:22" ht="13.5" thickBot="1" x14ac:dyDescent="0.25">
      <c r="A4" s="1440"/>
      <c r="B4" s="1440"/>
      <c r="C4" s="2199" t="s">
        <v>280</v>
      </c>
      <c r="D4" s="2199"/>
      <c r="E4" s="2199"/>
      <c r="F4" s="2199"/>
      <c r="G4" s="2199"/>
      <c r="H4" s="2199"/>
      <c r="I4" s="2199"/>
      <c r="J4" s="2199"/>
      <c r="K4" s="2199"/>
      <c r="L4" s="2199"/>
      <c r="M4" s="2199"/>
      <c r="N4" s="2199"/>
      <c r="O4" s="2199"/>
      <c r="P4" s="2199"/>
      <c r="Q4" s="2199"/>
      <c r="R4" s="2199"/>
    </row>
    <row r="5" spans="1:22" ht="12.75" customHeight="1" x14ac:dyDescent="0.2">
      <c r="A5" s="2200" t="s">
        <v>12</v>
      </c>
      <c r="B5" s="2216" t="s">
        <v>13</v>
      </c>
      <c r="C5" s="2216" t="s">
        <v>14</v>
      </c>
      <c r="D5" s="2203" t="s">
        <v>31</v>
      </c>
      <c r="E5" s="2179" t="s">
        <v>15</v>
      </c>
      <c r="F5" s="2187" t="s">
        <v>16</v>
      </c>
      <c r="G5" s="2206" t="s">
        <v>17</v>
      </c>
      <c r="H5" s="2467" t="s">
        <v>276</v>
      </c>
      <c r="I5" s="2523" t="s">
        <v>276</v>
      </c>
      <c r="J5" s="2524"/>
      <c r="K5" s="2524"/>
      <c r="L5" s="2525"/>
      <c r="M5" s="2467" t="s">
        <v>311</v>
      </c>
      <c r="N5" s="2467" t="s">
        <v>312</v>
      </c>
      <c r="O5" s="2190" t="s">
        <v>71</v>
      </c>
      <c r="P5" s="2191"/>
      <c r="Q5" s="2191"/>
      <c r="R5" s="2192"/>
    </row>
    <row r="6" spans="1:22" ht="12.75" customHeight="1" x14ac:dyDescent="0.2">
      <c r="A6" s="2201"/>
      <c r="B6" s="2217"/>
      <c r="C6" s="2217"/>
      <c r="D6" s="2204"/>
      <c r="E6" s="2180"/>
      <c r="F6" s="2188"/>
      <c r="G6" s="2207"/>
      <c r="H6" s="2468"/>
      <c r="I6" s="2526"/>
      <c r="J6" s="2527"/>
      <c r="K6" s="2527"/>
      <c r="L6" s="2528"/>
      <c r="M6" s="2468"/>
      <c r="N6" s="2468"/>
      <c r="O6" s="2209" t="s">
        <v>31</v>
      </c>
      <c r="P6" s="2193" t="s">
        <v>281</v>
      </c>
      <c r="Q6" s="2194"/>
      <c r="R6" s="2195"/>
    </row>
    <row r="7" spans="1:22" ht="102.75" customHeight="1" thickBot="1" x14ac:dyDescent="0.25">
      <c r="A7" s="2202"/>
      <c r="B7" s="2218"/>
      <c r="C7" s="2218"/>
      <c r="D7" s="2205"/>
      <c r="E7" s="2181"/>
      <c r="F7" s="2189"/>
      <c r="G7" s="2208"/>
      <c r="H7" s="2469"/>
      <c r="I7" s="2529"/>
      <c r="J7" s="2530"/>
      <c r="K7" s="2530"/>
      <c r="L7" s="2531"/>
      <c r="M7" s="2469"/>
      <c r="N7" s="2469"/>
      <c r="O7" s="2210"/>
      <c r="P7" s="246" t="s">
        <v>74</v>
      </c>
      <c r="Q7" s="246" t="s">
        <v>105</v>
      </c>
      <c r="R7" s="247" t="s">
        <v>222</v>
      </c>
    </row>
    <row r="8" spans="1:22" ht="13.5" thickBot="1" x14ac:dyDescent="0.25">
      <c r="A8" s="2231" t="s">
        <v>41</v>
      </c>
      <c r="B8" s="2232"/>
      <c r="C8" s="2232"/>
      <c r="D8" s="2232"/>
      <c r="E8" s="2232"/>
      <c r="F8" s="2232"/>
      <c r="G8" s="2232"/>
      <c r="H8" s="2232"/>
      <c r="I8" s="2232"/>
      <c r="J8" s="2232"/>
      <c r="K8" s="2232"/>
      <c r="L8" s="2232"/>
      <c r="M8" s="2232"/>
      <c r="N8" s="2232"/>
      <c r="O8" s="2232"/>
      <c r="P8" s="2232"/>
      <c r="Q8" s="2232"/>
      <c r="R8" s="2233"/>
    </row>
    <row r="9" spans="1:22" ht="13.5" thickBot="1" x14ac:dyDescent="0.25">
      <c r="A9" s="2234" t="s">
        <v>40</v>
      </c>
      <c r="B9" s="2235"/>
      <c r="C9" s="2235"/>
      <c r="D9" s="2235"/>
      <c r="E9" s="2235"/>
      <c r="F9" s="2235"/>
      <c r="G9" s="2235"/>
      <c r="H9" s="2235"/>
      <c r="I9" s="2235"/>
      <c r="J9" s="2235"/>
      <c r="K9" s="2235"/>
      <c r="L9" s="2235"/>
      <c r="M9" s="2235"/>
      <c r="N9" s="2235"/>
      <c r="O9" s="2235"/>
      <c r="P9" s="2235"/>
      <c r="Q9" s="2235"/>
      <c r="R9" s="2236"/>
    </row>
    <row r="10" spans="1:22" ht="13.5" thickBot="1" x14ac:dyDescent="0.25">
      <c r="A10" s="123" t="s">
        <v>20</v>
      </c>
      <c r="B10" s="2242" t="s">
        <v>51</v>
      </c>
      <c r="C10" s="2243"/>
      <c r="D10" s="2243"/>
      <c r="E10" s="2243"/>
      <c r="F10" s="2243"/>
      <c r="G10" s="2243"/>
      <c r="H10" s="2243"/>
      <c r="I10" s="2243"/>
      <c r="J10" s="2243"/>
      <c r="K10" s="2243"/>
      <c r="L10" s="2243"/>
      <c r="M10" s="2243"/>
      <c r="N10" s="2243"/>
      <c r="O10" s="2243"/>
      <c r="P10" s="2243"/>
      <c r="Q10" s="2243"/>
      <c r="R10" s="2244"/>
    </row>
    <row r="11" spans="1:22" ht="13.5" thickBot="1" x14ac:dyDescent="0.25">
      <c r="A11" s="219" t="s">
        <v>20</v>
      </c>
      <c r="B11" s="98" t="s">
        <v>20</v>
      </c>
      <c r="C11" s="2384" t="s">
        <v>182</v>
      </c>
      <c r="D11" s="2247"/>
      <c r="E11" s="2247"/>
      <c r="F11" s="2247"/>
      <c r="G11" s="2247"/>
      <c r="H11" s="2247"/>
      <c r="I11" s="2247"/>
      <c r="J11" s="2247"/>
      <c r="K11" s="2247"/>
      <c r="L11" s="2247"/>
      <c r="M11" s="2247"/>
      <c r="N11" s="2247"/>
      <c r="O11" s="2247"/>
      <c r="P11" s="2247"/>
      <c r="Q11" s="2247"/>
      <c r="R11" s="2248"/>
    </row>
    <row r="12" spans="1:22" x14ac:dyDescent="0.2">
      <c r="A12" s="25" t="s">
        <v>20</v>
      </c>
      <c r="B12" s="16" t="s">
        <v>20</v>
      </c>
      <c r="C12" s="2222" t="s">
        <v>20</v>
      </c>
      <c r="D12" s="2466" t="s">
        <v>102</v>
      </c>
      <c r="E12" s="2275"/>
      <c r="F12" s="886" t="s">
        <v>43</v>
      </c>
      <c r="G12" s="117" t="s">
        <v>22</v>
      </c>
      <c r="H12" s="1143">
        <f>69824.9/3.4528*1000</f>
        <v>20222689</v>
      </c>
      <c r="I12" s="1248">
        <f t="shared" ref="I12" si="0">+J12+L12</f>
        <v>69825</v>
      </c>
      <c r="J12" s="1412">
        <v>69825</v>
      </c>
      <c r="K12" s="1412">
        <v>48274</v>
      </c>
      <c r="L12" s="1413"/>
      <c r="M12" s="1143">
        <f>69824.9/3.4528*1000</f>
        <v>20222689</v>
      </c>
      <c r="N12" s="1143">
        <f>69824.9/3.4528*1000</f>
        <v>20222689</v>
      </c>
      <c r="O12" s="1414"/>
      <c r="P12" s="377"/>
      <c r="Q12" s="1419"/>
      <c r="R12" s="622"/>
    </row>
    <row r="13" spans="1:22" x14ac:dyDescent="0.2">
      <c r="A13" s="26"/>
      <c r="B13" s="27"/>
      <c r="C13" s="2222"/>
      <c r="D13" s="2439"/>
      <c r="E13" s="2241"/>
      <c r="F13" s="886"/>
      <c r="G13" s="117" t="s">
        <v>25</v>
      </c>
      <c r="H13" s="1143">
        <f>102252.1/3.4528*1000</f>
        <v>29614255</v>
      </c>
      <c r="I13" s="1142">
        <f>J13+L13</f>
        <v>102252</v>
      </c>
      <c r="J13" s="1144">
        <v>102108</v>
      </c>
      <c r="K13" s="1144">
        <v>75677</v>
      </c>
      <c r="L13" s="1145">
        <v>144</v>
      </c>
      <c r="M13" s="1143">
        <f>102252.1/3.4528*1000</f>
        <v>29614255</v>
      </c>
      <c r="N13" s="1143">
        <f>102252.1/3.4528*1000</f>
        <v>29614255</v>
      </c>
      <c r="O13" s="1423"/>
      <c r="P13" s="377"/>
      <c r="Q13" s="1419"/>
      <c r="R13" s="622"/>
    </row>
    <row r="14" spans="1:22" x14ac:dyDescent="0.2">
      <c r="A14" s="26"/>
      <c r="B14" s="27"/>
      <c r="C14" s="1428"/>
      <c r="D14" s="890"/>
      <c r="E14" s="1486"/>
      <c r="F14" s="886"/>
      <c r="G14" s="379" t="s">
        <v>91</v>
      </c>
      <c r="H14" s="1149">
        <f>17292.6/3.4528*1000</f>
        <v>5008283</v>
      </c>
      <c r="I14" s="1146">
        <f>J14+L14</f>
        <v>17293</v>
      </c>
      <c r="J14" s="1147">
        <v>17168</v>
      </c>
      <c r="K14" s="1147">
        <v>3111</v>
      </c>
      <c r="L14" s="1148">
        <v>125</v>
      </c>
      <c r="M14" s="1149">
        <f>17292.6/3.4528*1000</f>
        <v>5008283</v>
      </c>
      <c r="N14" s="1150">
        <f>17292.6/3.4528*1000</f>
        <v>5008283</v>
      </c>
      <c r="O14" s="860"/>
      <c r="P14" s="377"/>
      <c r="Q14" s="1419"/>
      <c r="R14" s="622"/>
    </row>
    <row r="15" spans="1:22" ht="25.5" x14ac:dyDescent="0.2">
      <c r="A15" s="26"/>
      <c r="B15" s="1437"/>
      <c r="C15" s="155"/>
      <c r="D15" s="2432" t="s">
        <v>191</v>
      </c>
      <c r="E15" s="864"/>
      <c r="F15" s="886"/>
      <c r="G15" s="652"/>
      <c r="H15" s="1151"/>
      <c r="I15" s="1170"/>
      <c r="J15" s="1156"/>
      <c r="K15" s="1156"/>
      <c r="L15" s="1152"/>
      <c r="M15" s="1153"/>
      <c r="N15" s="1153"/>
      <c r="O15" s="1490" t="s">
        <v>282</v>
      </c>
      <c r="P15" s="714" t="s">
        <v>227</v>
      </c>
      <c r="Q15" s="714" t="s">
        <v>228</v>
      </c>
      <c r="R15" s="715" t="s">
        <v>229</v>
      </c>
      <c r="T15" s="157"/>
      <c r="U15" s="157"/>
      <c r="V15" s="157"/>
    </row>
    <row r="16" spans="1:22" x14ac:dyDescent="0.2">
      <c r="A16" s="26"/>
      <c r="B16" s="27"/>
      <c r="C16" s="155"/>
      <c r="D16" s="2122"/>
      <c r="E16" s="864"/>
      <c r="F16" s="886"/>
      <c r="G16" s="652"/>
      <c r="H16" s="1151"/>
      <c r="I16" s="1154"/>
      <c r="J16" s="1155"/>
      <c r="K16" s="1156"/>
      <c r="L16" s="1152"/>
      <c r="M16" s="1153"/>
      <c r="N16" s="1157"/>
      <c r="O16" s="231" t="s">
        <v>236</v>
      </c>
      <c r="P16" s="873" t="s">
        <v>230</v>
      </c>
      <c r="Q16" s="874" t="s">
        <v>231</v>
      </c>
      <c r="R16" s="875" t="s">
        <v>232</v>
      </c>
    </row>
    <row r="17" spans="1:23" x14ac:dyDescent="0.2">
      <c r="A17" s="26"/>
      <c r="B17" s="27"/>
      <c r="C17" s="155"/>
      <c r="D17" s="871"/>
      <c r="E17" s="864"/>
      <c r="F17" s="886"/>
      <c r="G17" s="652"/>
      <c r="H17" s="1151"/>
      <c r="I17" s="1170"/>
      <c r="J17" s="1182"/>
      <c r="K17" s="1182"/>
      <c r="L17" s="1183"/>
      <c r="M17" s="1158"/>
      <c r="N17" s="1158"/>
      <c r="O17" s="2433" t="s">
        <v>283</v>
      </c>
      <c r="P17" s="714" t="s">
        <v>233</v>
      </c>
      <c r="Q17" s="714" t="s">
        <v>234</v>
      </c>
      <c r="R17" s="715" t="s">
        <v>235</v>
      </c>
      <c r="T17" s="157"/>
      <c r="U17" s="157"/>
      <c r="V17" s="157"/>
      <c r="W17" s="157"/>
    </row>
    <row r="18" spans="1:23" x14ac:dyDescent="0.2">
      <c r="A18" s="26"/>
      <c r="B18" s="27"/>
      <c r="C18" s="155"/>
      <c r="D18" s="871"/>
      <c r="E18" s="864"/>
      <c r="F18" s="886"/>
      <c r="G18" s="376"/>
      <c r="H18" s="1159"/>
      <c r="I18" s="1154"/>
      <c r="J18" s="1155"/>
      <c r="K18" s="1155"/>
      <c r="L18" s="1185"/>
      <c r="M18" s="1160"/>
      <c r="N18" s="1160"/>
      <c r="O18" s="2434"/>
      <c r="P18" s="877"/>
      <c r="Q18" s="877"/>
      <c r="R18" s="878"/>
      <c r="T18" s="157"/>
      <c r="U18" s="157"/>
      <c r="V18" s="157"/>
      <c r="W18" s="157"/>
    </row>
    <row r="19" spans="1:23" x14ac:dyDescent="0.2">
      <c r="A19" s="26"/>
      <c r="B19" s="27"/>
      <c r="C19" s="1427"/>
      <c r="D19" s="872"/>
      <c r="E19" s="1486"/>
      <c r="F19" s="886"/>
      <c r="G19" s="901"/>
      <c r="H19" s="1161"/>
      <c r="I19" s="1162"/>
      <c r="J19" s="1163"/>
      <c r="K19" s="1163"/>
      <c r="L19" s="1164"/>
      <c r="M19" s="1165"/>
      <c r="N19" s="1164"/>
      <c r="O19" s="892" t="s">
        <v>237</v>
      </c>
      <c r="P19" s="1422">
        <v>244</v>
      </c>
      <c r="Q19" s="1487">
        <v>300</v>
      </c>
      <c r="R19" s="1488">
        <v>340</v>
      </c>
      <c r="U19" s="889"/>
      <c r="V19" s="889"/>
    </row>
    <row r="20" spans="1:23" x14ac:dyDescent="0.2">
      <c r="A20" s="2153"/>
      <c r="B20" s="27"/>
      <c r="C20" s="2226"/>
      <c r="D20" s="2237" t="s">
        <v>267</v>
      </c>
      <c r="E20" s="2275"/>
      <c r="F20" s="2465"/>
      <c r="G20" s="652"/>
      <c r="H20" s="1151"/>
      <c r="I20" s="1166"/>
      <c r="J20" s="1167"/>
      <c r="K20" s="1167"/>
      <c r="L20" s="1157"/>
      <c r="M20" s="1168"/>
      <c r="N20" s="1153"/>
      <c r="O20" s="2436" t="s">
        <v>284</v>
      </c>
      <c r="P20" s="2428">
        <v>8</v>
      </c>
      <c r="Q20" s="2428">
        <v>7</v>
      </c>
      <c r="R20" s="2430">
        <v>6</v>
      </c>
    </row>
    <row r="21" spans="1:23" x14ac:dyDescent="0.2">
      <c r="A21" s="2153"/>
      <c r="B21" s="27"/>
      <c r="C21" s="2226"/>
      <c r="D21" s="2237"/>
      <c r="E21" s="2229"/>
      <c r="F21" s="2435"/>
      <c r="G21" s="891"/>
      <c r="H21" s="1169"/>
      <c r="I21" s="1170"/>
      <c r="J21" s="1171"/>
      <c r="K21" s="1172"/>
      <c r="L21" s="1152"/>
      <c r="M21" s="1173"/>
      <c r="N21" s="1174"/>
      <c r="O21" s="2437"/>
      <c r="P21" s="2429"/>
      <c r="Q21" s="2429"/>
      <c r="R21" s="2431"/>
    </row>
    <row r="22" spans="1:23" x14ac:dyDescent="0.2">
      <c r="A22" s="2153"/>
      <c r="B22" s="27"/>
      <c r="C22" s="2222"/>
      <c r="D22" s="2432"/>
      <c r="E22" s="2241"/>
      <c r="F22" s="2251"/>
      <c r="G22" s="376"/>
      <c r="H22" s="1159"/>
      <c r="I22" s="1154"/>
      <c r="J22" s="1155"/>
      <c r="K22" s="1155"/>
      <c r="L22" s="1175"/>
      <c r="M22" s="1153"/>
      <c r="N22" s="1153"/>
      <c r="O22" s="1489" t="s">
        <v>285</v>
      </c>
      <c r="P22" s="718">
        <v>2119</v>
      </c>
      <c r="Q22" s="718">
        <v>2200</v>
      </c>
      <c r="R22" s="719">
        <v>2200</v>
      </c>
    </row>
    <row r="23" spans="1:23" x14ac:dyDescent="0.2">
      <c r="A23" s="1435"/>
      <c r="B23" s="27"/>
      <c r="C23" s="1436"/>
      <c r="D23" s="1447"/>
      <c r="E23" s="1486"/>
      <c r="F23" s="886"/>
      <c r="G23" s="901"/>
      <c r="H23" s="1161"/>
      <c r="I23" s="1162"/>
      <c r="J23" s="1176"/>
      <c r="K23" s="1177"/>
      <c r="L23" s="1164"/>
      <c r="M23" s="1165"/>
      <c r="N23" s="1164"/>
      <c r="O23" s="893" t="s">
        <v>238</v>
      </c>
      <c r="P23" s="894">
        <v>1060</v>
      </c>
      <c r="Q23" s="895">
        <v>1040</v>
      </c>
      <c r="R23" s="896">
        <v>1020</v>
      </c>
    </row>
    <row r="24" spans="1:23" x14ac:dyDescent="0.2">
      <c r="A24" s="2154"/>
      <c r="B24" s="1437"/>
      <c r="C24" s="2164"/>
      <c r="D24" s="2237" t="s">
        <v>268</v>
      </c>
      <c r="E24" s="2275"/>
      <c r="F24" s="2424"/>
      <c r="G24" s="652"/>
      <c r="H24" s="1151"/>
      <c r="I24" s="1170"/>
      <c r="J24" s="1172"/>
      <c r="K24" s="1172"/>
      <c r="L24" s="1178"/>
      <c r="M24" s="1160"/>
      <c r="N24" s="1160"/>
      <c r="O24" s="756" t="s">
        <v>239</v>
      </c>
      <c r="P24" s="757">
        <v>36</v>
      </c>
      <c r="Q24" s="757">
        <v>35</v>
      </c>
      <c r="R24" s="758">
        <v>35</v>
      </c>
    </row>
    <row r="25" spans="1:23" x14ac:dyDescent="0.2">
      <c r="A25" s="2154"/>
      <c r="B25" s="1437"/>
      <c r="C25" s="2164"/>
      <c r="D25" s="2237"/>
      <c r="E25" s="2229"/>
      <c r="F25" s="2423"/>
      <c r="G25" s="652"/>
      <c r="H25" s="1151"/>
      <c r="I25" s="1170"/>
      <c r="J25" s="1172"/>
      <c r="K25" s="1172"/>
      <c r="L25" s="1175"/>
      <c r="M25" s="1179"/>
      <c r="N25" s="1180"/>
      <c r="O25" s="723" t="s">
        <v>240</v>
      </c>
      <c r="P25" s="1502">
        <v>16960</v>
      </c>
      <c r="Q25" s="1502">
        <v>17000</v>
      </c>
      <c r="R25" s="1503">
        <v>17000</v>
      </c>
    </row>
    <row r="26" spans="1:23" x14ac:dyDescent="0.2">
      <c r="A26" s="2154"/>
      <c r="B26" s="1437"/>
      <c r="C26" s="2164"/>
      <c r="D26" s="2237"/>
      <c r="E26" s="2241"/>
      <c r="F26" s="2471"/>
      <c r="G26" s="652"/>
      <c r="H26" s="1151"/>
      <c r="I26" s="1170"/>
      <c r="J26" s="1172"/>
      <c r="K26" s="1172"/>
      <c r="L26" s="1178"/>
      <c r="M26" s="1160"/>
      <c r="N26" s="1178"/>
      <c r="O26" s="720"/>
      <c r="P26" s="721"/>
      <c r="Q26" s="721"/>
      <c r="R26" s="722"/>
    </row>
    <row r="27" spans="1:23" x14ac:dyDescent="0.2">
      <c r="A27" s="2219"/>
      <c r="B27" s="2220"/>
      <c r="C27" s="2222"/>
      <c r="D27" s="2237" t="s">
        <v>241</v>
      </c>
      <c r="E27" s="2284"/>
      <c r="F27" s="2427"/>
      <c r="G27" s="652"/>
      <c r="H27" s="1151"/>
      <c r="I27" s="1181"/>
      <c r="J27" s="1167"/>
      <c r="K27" s="1167"/>
      <c r="L27" s="1157"/>
      <c r="M27" s="1153"/>
      <c r="N27" s="1157"/>
      <c r="O27" s="723" t="s">
        <v>65</v>
      </c>
      <c r="P27" s="1502">
        <v>6</v>
      </c>
      <c r="Q27" s="1502">
        <v>6</v>
      </c>
      <c r="R27" s="1503">
        <v>6</v>
      </c>
    </row>
    <row r="28" spans="1:23" x14ac:dyDescent="0.2">
      <c r="A28" s="2154"/>
      <c r="B28" s="2221"/>
      <c r="C28" s="2222"/>
      <c r="D28" s="2254"/>
      <c r="E28" s="2470"/>
      <c r="F28" s="2047"/>
      <c r="G28" s="376"/>
      <c r="H28" s="1159"/>
      <c r="I28" s="1170"/>
      <c r="J28" s="1182"/>
      <c r="K28" s="1182"/>
      <c r="L28" s="1183"/>
      <c r="M28" s="1158"/>
      <c r="N28" s="1184"/>
      <c r="O28" s="1469" t="s">
        <v>242</v>
      </c>
      <c r="P28" s="1502">
        <v>5049</v>
      </c>
      <c r="Q28" s="1502">
        <v>5050</v>
      </c>
      <c r="R28" s="1503">
        <v>5100</v>
      </c>
      <c r="S28" s="109"/>
    </row>
    <row r="29" spans="1:23" x14ac:dyDescent="0.2">
      <c r="A29" s="2154"/>
      <c r="B29" s="2221"/>
      <c r="C29" s="2222"/>
      <c r="D29" s="2223" t="s">
        <v>141</v>
      </c>
      <c r="E29" s="2473"/>
      <c r="F29" s="2427"/>
      <c r="G29" s="652"/>
      <c r="H29" s="1151"/>
      <c r="I29" s="1170"/>
      <c r="J29" s="1172"/>
      <c r="K29" s="1172"/>
      <c r="L29" s="1175"/>
      <c r="M29" s="1160"/>
      <c r="N29" s="1178"/>
      <c r="O29" s="2271" t="s">
        <v>80</v>
      </c>
      <c r="P29" s="2269">
        <v>4</v>
      </c>
      <c r="Q29" s="2269">
        <v>4.5</v>
      </c>
      <c r="R29" s="2256">
        <v>5</v>
      </c>
    </row>
    <row r="30" spans="1:23" x14ac:dyDescent="0.2">
      <c r="A30" s="2154"/>
      <c r="B30" s="2221"/>
      <c r="C30" s="2222"/>
      <c r="D30" s="2223"/>
      <c r="E30" s="2012"/>
      <c r="F30" s="1994"/>
      <c r="G30" s="376"/>
      <c r="H30" s="1159"/>
      <c r="I30" s="1170"/>
      <c r="J30" s="1172"/>
      <c r="K30" s="1172"/>
      <c r="L30" s="1185"/>
      <c r="M30" s="1160"/>
      <c r="N30" s="1178"/>
      <c r="O30" s="2083"/>
      <c r="P30" s="2270"/>
      <c r="Q30" s="2270"/>
      <c r="R30" s="2257"/>
    </row>
    <row r="31" spans="1:23" x14ac:dyDescent="0.2">
      <c r="A31" s="185"/>
      <c r="B31" s="27"/>
      <c r="C31" s="186"/>
      <c r="D31" s="2223" t="s">
        <v>142</v>
      </c>
      <c r="E31" s="2277"/>
      <c r="F31" s="2424"/>
      <c r="G31" s="652"/>
      <c r="H31" s="1151"/>
      <c r="I31" s="1154"/>
      <c r="J31" s="1155"/>
      <c r="K31" s="1155"/>
      <c r="L31" s="1180"/>
      <c r="M31" s="1179"/>
      <c r="N31" s="1179"/>
      <c r="O31" s="187" t="s">
        <v>114</v>
      </c>
      <c r="P31" s="1502">
        <v>92</v>
      </c>
      <c r="Q31" s="1502">
        <v>130</v>
      </c>
      <c r="R31" s="1503">
        <v>145</v>
      </c>
    </row>
    <row r="32" spans="1:23" x14ac:dyDescent="0.2">
      <c r="A32" s="185"/>
      <c r="B32" s="27"/>
      <c r="C32" s="186"/>
      <c r="D32" s="2280"/>
      <c r="E32" s="2362"/>
      <c r="F32" s="2472"/>
      <c r="G32" s="891"/>
      <c r="H32" s="1169"/>
      <c r="I32" s="1154"/>
      <c r="J32" s="1155"/>
      <c r="K32" s="1155"/>
      <c r="L32" s="1180"/>
      <c r="M32" s="1179"/>
      <c r="N32" s="1179"/>
      <c r="O32" s="897"/>
      <c r="P32" s="898"/>
      <c r="Q32" s="899"/>
      <c r="R32" s="900"/>
    </row>
    <row r="33" spans="1:20" x14ac:dyDescent="0.2">
      <c r="A33" s="185"/>
      <c r="B33" s="27"/>
      <c r="C33" s="155"/>
      <c r="D33" s="2239" t="s">
        <v>183</v>
      </c>
      <c r="E33" s="2473"/>
      <c r="F33" s="2427"/>
      <c r="G33" s="652"/>
      <c r="H33" s="1151"/>
      <c r="I33" s="1170"/>
      <c r="J33" s="1172"/>
      <c r="K33" s="1172"/>
      <c r="L33" s="1185"/>
      <c r="M33" s="1160"/>
      <c r="N33" s="1160"/>
      <c r="O33" s="2418" t="s">
        <v>115</v>
      </c>
      <c r="P33" s="728">
        <v>250</v>
      </c>
      <c r="Q33" s="728">
        <v>255</v>
      </c>
      <c r="R33" s="716">
        <v>260</v>
      </c>
      <c r="T33" s="157"/>
    </row>
    <row r="34" spans="1:20" x14ac:dyDescent="0.2">
      <c r="A34" s="185"/>
      <c r="B34" s="27"/>
      <c r="C34" s="155"/>
      <c r="D34" s="2261"/>
      <c r="E34" s="2012"/>
      <c r="F34" s="1994"/>
      <c r="G34" s="652"/>
      <c r="H34" s="1151"/>
      <c r="I34" s="1170"/>
      <c r="J34" s="1172"/>
      <c r="K34" s="1172"/>
      <c r="L34" s="1185"/>
      <c r="M34" s="1160"/>
      <c r="N34" s="1178"/>
      <c r="O34" s="2418"/>
      <c r="P34" s="728"/>
      <c r="Q34" s="728"/>
      <c r="R34" s="716"/>
      <c r="T34" s="157"/>
    </row>
    <row r="35" spans="1:20" x14ac:dyDescent="0.2">
      <c r="A35" s="185"/>
      <c r="B35" s="27"/>
      <c r="C35" s="155"/>
      <c r="D35" s="2030" t="s">
        <v>244</v>
      </c>
      <c r="E35" s="1454"/>
      <c r="F35" s="1463"/>
      <c r="G35" s="652"/>
      <c r="H35" s="1151"/>
      <c r="I35" s="1154"/>
      <c r="J35" s="1186"/>
      <c r="K35" s="1187"/>
      <c r="L35" s="1185"/>
      <c r="M35" s="1153"/>
      <c r="N35" s="1157"/>
      <c r="O35" s="786" t="s">
        <v>243</v>
      </c>
      <c r="P35" s="1487">
        <v>9</v>
      </c>
      <c r="Q35" s="728"/>
      <c r="R35" s="716"/>
      <c r="T35" s="157"/>
    </row>
    <row r="36" spans="1:20" x14ac:dyDescent="0.2">
      <c r="A36" s="185"/>
      <c r="B36" s="27"/>
      <c r="C36" s="155"/>
      <c r="D36" s="2030"/>
      <c r="E36" s="1454"/>
      <c r="F36" s="1463"/>
      <c r="G36" s="901"/>
      <c r="H36" s="1161"/>
      <c r="I36" s="1162"/>
      <c r="J36" s="1176"/>
      <c r="K36" s="1177"/>
      <c r="L36" s="1164"/>
      <c r="M36" s="1165"/>
      <c r="N36" s="1164"/>
      <c r="O36" s="763"/>
      <c r="P36" s="761"/>
      <c r="Q36" s="761"/>
      <c r="R36" s="762"/>
    </row>
    <row r="37" spans="1:20" ht="14.25" customHeight="1" x14ac:dyDescent="0.2">
      <c r="A37" s="1452"/>
      <c r="B37" s="1456"/>
      <c r="C37" s="1464"/>
      <c r="D37" s="2411" t="s">
        <v>263</v>
      </c>
      <c r="E37" s="1976"/>
      <c r="F37" s="2043"/>
      <c r="G37" s="1095"/>
      <c r="H37" s="1188"/>
      <c r="I37" s="1170"/>
      <c r="J37" s="1172"/>
      <c r="K37" s="1189"/>
      <c r="L37" s="1190"/>
      <c r="M37" s="1160"/>
      <c r="N37" s="1178"/>
      <c r="O37" s="882" t="s">
        <v>65</v>
      </c>
      <c r="P37" s="1425">
        <v>92</v>
      </c>
      <c r="Q37" s="115">
        <v>92</v>
      </c>
      <c r="R37" s="99">
        <v>92</v>
      </c>
    </row>
    <row r="38" spans="1:20" ht="13.5" thickBot="1" x14ac:dyDescent="0.25">
      <c r="A38" s="536"/>
      <c r="B38" s="28"/>
      <c r="C38" s="784"/>
      <c r="D38" s="2412"/>
      <c r="E38" s="2414"/>
      <c r="F38" s="2343"/>
      <c r="G38" s="299" t="s">
        <v>23</v>
      </c>
      <c r="H38" s="1191">
        <f t="shared" ref="H38:N38" si="1">SUM(H12:H37)</f>
        <v>54845227</v>
      </c>
      <c r="I38" s="1192">
        <f t="shared" si="1"/>
        <v>189370</v>
      </c>
      <c r="J38" s="1192">
        <f t="shared" si="1"/>
        <v>189101</v>
      </c>
      <c r="K38" s="1192">
        <f t="shared" si="1"/>
        <v>127062</v>
      </c>
      <c r="L38" s="1192">
        <f t="shared" si="1"/>
        <v>269</v>
      </c>
      <c r="M38" s="1192">
        <f t="shared" si="1"/>
        <v>54845227</v>
      </c>
      <c r="N38" s="1192">
        <f t="shared" si="1"/>
        <v>54845227</v>
      </c>
      <c r="O38" s="881"/>
      <c r="P38" s="619"/>
      <c r="Q38" s="619"/>
      <c r="R38" s="189"/>
      <c r="T38" s="211"/>
    </row>
    <row r="39" spans="1:20" ht="28.5" customHeight="1" x14ac:dyDescent="0.2">
      <c r="A39" s="1460" t="s">
        <v>20</v>
      </c>
      <c r="B39" s="220" t="s">
        <v>20</v>
      </c>
      <c r="C39" s="1416" t="s">
        <v>24</v>
      </c>
      <c r="D39" s="2276" t="s">
        <v>197</v>
      </c>
      <c r="E39" s="2415" t="s">
        <v>127</v>
      </c>
      <c r="F39" s="1993">
        <v>2</v>
      </c>
      <c r="G39" s="117" t="s">
        <v>25</v>
      </c>
      <c r="H39" s="1143">
        <f>50.9/3.4528*1000</f>
        <v>14742</v>
      </c>
      <c r="I39" s="1193">
        <f>J39+L39</f>
        <v>51</v>
      </c>
      <c r="J39" s="1194">
        <v>51</v>
      </c>
      <c r="K39" s="1194">
        <v>39</v>
      </c>
      <c r="L39" s="1195"/>
      <c r="M39" s="1196">
        <f>50.9/3.4528*1000</f>
        <v>14742</v>
      </c>
      <c r="N39" s="1197">
        <f>50.9/3.4528*1000</f>
        <v>14742</v>
      </c>
      <c r="O39" s="2407" t="s">
        <v>245</v>
      </c>
      <c r="P39" s="2294">
        <v>1</v>
      </c>
      <c r="Q39" s="2294">
        <v>1</v>
      </c>
      <c r="R39" s="2291">
        <v>1</v>
      </c>
      <c r="T39" s="210"/>
    </row>
    <row r="40" spans="1:20" ht="13.5" thickBot="1" x14ac:dyDescent="0.25">
      <c r="A40" s="1438"/>
      <c r="B40" s="28"/>
      <c r="C40" s="1417"/>
      <c r="D40" s="2167"/>
      <c r="E40" s="2416"/>
      <c r="F40" s="2402"/>
      <c r="G40" s="299" t="s">
        <v>23</v>
      </c>
      <c r="H40" s="1191">
        <f>H39</f>
        <v>14742</v>
      </c>
      <c r="I40" s="1192">
        <f t="shared" ref="I40:K40" si="2">SUM(I39:I39)</f>
        <v>51</v>
      </c>
      <c r="J40" s="1198">
        <f t="shared" si="2"/>
        <v>51</v>
      </c>
      <c r="K40" s="1199">
        <f t="shared" si="2"/>
        <v>39</v>
      </c>
      <c r="L40" s="1200"/>
      <c r="M40" s="1201">
        <f>SUM(M39:M39)</f>
        <v>14742</v>
      </c>
      <c r="N40" s="1200">
        <f>SUM(N39:N39)</f>
        <v>14742</v>
      </c>
      <c r="O40" s="2408"/>
      <c r="P40" s="2409"/>
      <c r="Q40" s="2409"/>
      <c r="R40" s="2410"/>
    </row>
    <row r="41" spans="1:20" ht="20.25" customHeight="1" x14ac:dyDescent="0.2">
      <c r="A41" s="1451" t="s">
        <v>20</v>
      </c>
      <c r="B41" s="1455" t="s">
        <v>20</v>
      </c>
      <c r="C41" s="1465" t="s">
        <v>26</v>
      </c>
      <c r="D41" s="2276" t="s">
        <v>149</v>
      </c>
      <c r="E41" s="1995"/>
      <c r="F41" s="1993">
        <v>2</v>
      </c>
      <c r="G41" s="116" t="s">
        <v>25</v>
      </c>
      <c r="H41" s="1151">
        <f>141.1/3.4528*1000</f>
        <v>40865</v>
      </c>
      <c r="I41" s="1170">
        <f>J41+L41</f>
        <v>141</v>
      </c>
      <c r="J41" s="1202">
        <v>141</v>
      </c>
      <c r="K41" s="1144">
        <v>108</v>
      </c>
      <c r="L41" s="1195"/>
      <c r="M41" s="1203">
        <f>141.1/3.4528*1000</f>
        <v>40865</v>
      </c>
      <c r="N41" s="1204">
        <f>141.1/3.4528*1000</f>
        <v>40865</v>
      </c>
      <c r="O41" s="2263" t="s">
        <v>286</v>
      </c>
      <c r="P41" s="2258">
        <v>5</v>
      </c>
      <c r="Q41" s="2258">
        <v>5</v>
      </c>
      <c r="R41" s="2267">
        <v>5</v>
      </c>
    </row>
    <row r="42" spans="1:20" ht="13.5" thickBot="1" x14ac:dyDescent="0.25">
      <c r="A42" s="1453"/>
      <c r="B42" s="28"/>
      <c r="C42" s="1466"/>
      <c r="D42" s="2167"/>
      <c r="E42" s="1997"/>
      <c r="F42" s="2402"/>
      <c r="G42" s="299" t="s">
        <v>23</v>
      </c>
      <c r="H42" s="1191">
        <f>H41</f>
        <v>40865</v>
      </c>
      <c r="I42" s="1192">
        <f t="shared" ref="I42:K42" si="3">SUM(I41:I41)</f>
        <v>141</v>
      </c>
      <c r="J42" s="1198">
        <f t="shared" si="3"/>
        <v>141</v>
      </c>
      <c r="K42" s="1199">
        <f t="shared" si="3"/>
        <v>108</v>
      </c>
      <c r="L42" s="1200"/>
      <c r="M42" s="1205">
        <f>SUM(M41:M41)</f>
        <v>40865</v>
      </c>
      <c r="N42" s="1206">
        <f>SUM(N41:N41)</f>
        <v>40865</v>
      </c>
      <c r="O42" s="2264"/>
      <c r="P42" s="2259"/>
      <c r="Q42" s="2259"/>
      <c r="R42" s="2268"/>
    </row>
    <row r="43" spans="1:20" ht="18" customHeight="1" x14ac:dyDescent="0.2">
      <c r="A43" s="1448" t="s">
        <v>20</v>
      </c>
      <c r="B43" s="1455" t="s">
        <v>20</v>
      </c>
      <c r="C43" s="753" t="s">
        <v>28</v>
      </c>
      <c r="D43" s="2165" t="s">
        <v>254</v>
      </c>
      <c r="E43" s="1995"/>
      <c r="F43" s="1993">
        <v>2</v>
      </c>
      <c r="G43" s="116" t="s">
        <v>25</v>
      </c>
      <c r="H43" s="1207">
        <f>282.4/3.4528*1000</f>
        <v>81789</v>
      </c>
      <c r="I43" s="1208">
        <f>J43+L43</f>
        <v>282</v>
      </c>
      <c r="J43" s="1194">
        <v>282</v>
      </c>
      <c r="K43" s="1209">
        <v>150</v>
      </c>
      <c r="L43" s="1195"/>
      <c r="M43" s="1210">
        <f>300/3.4528*1000</f>
        <v>86886</v>
      </c>
      <c r="N43" s="1211">
        <f>300/3.4528*1000</f>
        <v>86886</v>
      </c>
      <c r="O43" s="2405" t="s">
        <v>255</v>
      </c>
      <c r="P43" s="1421">
        <v>25</v>
      </c>
      <c r="Q43" s="1421">
        <v>30</v>
      </c>
      <c r="R43" s="1420">
        <v>30</v>
      </c>
    </row>
    <row r="44" spans="1:20" ht="13.5" thickBot="1" x14ac:dyDescent="0.25">
      <c r="A44" s="1453"/>
      <c r="B44" s="28"/>
      <c r="C44" s="1466"/>
      <c r="D44" s="2167"/>
      <c r="E44" s="1997"/>
      <c r="F44" s="2402"/>
      <c r="G44" s="299" t="s">
        <v>23</v>
      </c>
      <c r="H44" s="1191">
        <f>H43</f>
        <v>81789</v>
      </c>
      <c r="I44" s="1192">
        <f t="shared" ref="I44:K44" si="4">SUM(I43:I43)</f>
        <v>282</v>
      </c>
      <c r="J44" s="1198">
        <f t="shared" si="4"/>
        <v>282</v>
      </c>
      <c r="K44" s="1199">
        <f t="shared" si="4"/>
        <v>150</v>
      </c>
      <c r="L44" s="1200"/>
      <c r="M44" s="1201">
        <f>SUM(M43:M43)</f>
        <v>86886</v>
      </c>
      <c r="N44" s="1200">
        <f>SUM(N43:N43)</f>
        <v>86886</v>
      </c>
      <c r="O44" s="2406"/>
      <c r="P44" s="752"/>
      <c r="Q44" s="129"/>
      <c r="R44" s="203"/>
    </row>
    <row r="45" spans="1:20" ht="12.75" customHeight="1" x14ac:dyDescent="0.2">
      <c r="A45" s="1451" t="s">
        <v>20</v>
      </c>
      <c r="B45" s="1455" t="s">
        <v>20</v>
      </c>
      <c r="C45" s="1465" t="s">
        <v>29</v>
      </c>
      <c r="D45" s="2400" t="s">
        <v>246</v>
      </c>
      <c r="E45" s="1995"/>
      <c r="F45" s="1993">
        <v>2</v>
      </c>
      <c r="G45" s="116" t="s">
        <v>22</v>
      </c>
      <c r="H45" s="1207">
        <f>10/3.4528*1000</f>
        <v>2896</v>
      </c>
      <c r="I45" s="1208">
        <f>J45+L45</f>
        <v>10</v>
      </c>
      <c r="J45" s="1194">
        <v>10</v>
      </c>
      <c r="K45" s="1209"/>
      <c r="L45" s="1195"/>
      <c r="M45" s="1210">
        <f>10/3.4528*1000</f>
        <v>2896</v>
      </c>
      <c r="N45" s="1211">
        <f>10/3.4528*1000</f>
        <v>2896</v>
      </c>
      <c r="O45" s="1441" t="s">
        <v>247</v>
      </c>
      <c r="P45" s="726">
        <v>30</v>
      </c>
      <c r="Q45" s="726">
        <v>35</v>
      </c>
      <c r="R45" s="737">
        <v>35</v>
      </c>
    </row>
    <row r="46" spans="1:20" ht="13.5" thickBot="1" x14ac:dyDescent="0.25">
      <c r="A46" s="1453"/>
      <c r="B46" s="28"/>
      <c r="C46" s="1466"/>
      <c r="D46" s="2401"/>
      <c r="E46" s="1997"/>
      <c r="F46" s="2402"/>
      <c r="G46" s="299" t="s">
        <v>23</v>
      </c>
      <c r="H46" s="1191">
        <f>H45</f>
        <v>2896</v>
      </c>
      <c r="I46" s="1192">
        <f>SUM(I45:I45)</f>
        <v>10</v>
      </c>
      <c r="J46" s="1198">
        <f>SUM(J45:J45)</f>
        <v>10</v>
      </c>
      <c r="K46" s="1199"/>
      <c r="L46" s="1200"/>
      <c r="M46" s="1201">
        <f>SUM(M45:M45)</f>
        <v>2896</v>
      </c>
      <c r="N46" s="1200">
        <f>SUM(N45:N45)</f>
        <v>2896</v>
      </c>
      <c r="O46" s="1442"/>
      <c r="P46" s="735"/>
      <c r="Q46" s="735"/>
      <c r="R46" s="736"/>
    </row>
    <row r="47" spans="1:20" ht="12.75" customHeight="1" x14ac:dyDescent="0.2">
      <c r="A47" s="1451" t="s">
        <v>20</v>
      </c>
      <c r="B47" s="1455" t="s">
        <v>20</v>
      </c>
      <c r="C47" s="1465" t="s">
        <v>30</v>
      </c>
      <c r="D47" s="2400" t="s">
        <v>248</v>
      </c>
      <c r="E47" s="1995"/>
      <c r="F47" s="1993">
        <v>2</v>
      </c>
      <c r="G47" s="116" t="s">
        <v>22</v>
      </c>
      <c r="H47" s="1207">
        <f>50/3.4528*1000</f>
        <v>14481</v>
      </c>
      <c r="I47" s="1208">
        <f>J47+L47</f>
        <v>50</v>
      </c>
      <c r="J47" s="1194">
        <v>50</v>
      </c>
      <c r="K47" s="1209"/>
      <c r="L47" s="1195"/>
      <c r="M47" s="1210">
        <f>50/3.4528*1000</f>
        <v>14481</v>
      </c>
      <c r="N47" s="1211">
        <f>50/3.4528*1000</f>
        <v>14481</v>
      </c>
      <c r="O47" s="2155" t="s">
        <v>249</v>
      </c>
      <c r="P47" s="2403">
        <v>1.5</v>
      </c>
      <c r="Q47" s="2403">
        <v>1.5</v>
      </c>
      <c r="R47" s="2396">
        <v>1.5</v>
      </c>
    </row>
    <row r="48" spans="1:20" ht="13.5" thickBot="1" x14ac:dyDescent="0.25">
      <c r="A48" s="1453"/>
      <c r="B48" s="28"/>
      <c r="C48" s="1466"/>
      <c r="D48" s="2401"/>
      <c r="E48" s="1997"/>
      <c r="F48" s="2402"/>
      <c r="G48" s="299" t="s">
        <v>23</v>
      </c>
      <c r="H48" s="1191">
        <f>H47</f>
        <v>14481</v>
      </c>
      <c r="I48" s="1192">
        <f>SUM(I47:I47)</f>
        <v>50</v>
      </c>
      <c r="J48" s="1198">
        <f>SUM(J47:J47)</f>
        <v>50</v>
      </c>
      <c r="K48" s="1199"/>
      <c r="L48" s="1200"/>
      <c r="M48" s="1201">
        <f>SUM(M47:M47)</f>
        <v>14481</v>
      </c>
      <c r="N48" s="1200">
        <f>SUM(N47:N47)</f>
        <v>14481</v>
      </c>
      <c r="O48" s="2156"/>
      <c r="P48" s="2404"/>
      <c r="Q48" s="2404"/>
      <c r="R48" s="2397"/>
    </row>
    <row r="49" spans="1:18" ht="13.5" thickBot="1" x14ac:dyDescent="0.25">
      <c r="A49" s="1453" t="s">
        <v>20</v>
      </c>
      <c r="B49" s="1457" t="s">
        <v>20</v>
      </c>
      <c r="C49" s="2157" t="s">
        <v>27</v>
      </c>
      <c r="D49" s="2157"/>
      <c r="E49" s="2157"/>
      <c r="F49" s="2157"/>
      <c r="G49" s="2074"/>
      <c r="H49" s="1212">
        <f>H48+H46+H44+H42+H40+H38</f>
        <v>55000000</v>
      </c>
      <c r="I49" s="1213">
        <f t="shared" ref="I49:N49" si="5">I44+I42+I40+I38+I46+I48</f>
        <v>189904</v>
      </c>
      <c r="J49" s="1213">
        <f t="shared" si="5"/>
        <v>189635</v>
      </c>
      <c r="K49" s="1213">
        <f t="shared" si="5"/>
        <v>127359</v>
      </c>
      <c r="L49" s="1213">
        <f t="shared" si="5"/>
        <v>269</v>
      </c>
      <c r="M49" s="1213">
        <f t="shared" si="5"/>
        <v>55005097</v>
      </c>
      <c r="N49" s="1213">
        <f t="shared" si="5"/>
        <v>55005097</v>
      </c>
      <c r="O49" s="2014"/>
      <c r="P49" s="2015"/>
      <c r="Q49" s="2015"/>
      <c r="R49" s="2016"/>
    </row>
    <row r="50" spans="1:18" ht="13.5" thickBot="1" x14ac:dyDescent="0.25">
      <c r="A50" s="15" t="s">
        <v>20</v>
      </c>
      <c r="B50" s="17" t="s">
        <v>24</v>
      </c>
      <c r="C50" s="2007" t="s">
        <v>113</v>
      </c>
      <c r="D50" s="2008"/>
      <c r="E50" s="2008"/>
      <c r="F50" s="2008"/>
      <c r="G50" s="2008"/>
      <c r="H50" s="2008"/>
      <c r="I50" s="2008"/>
      <c r="J50" s="2008"/>
      <c r="K50" s="2008"/>
      <c r="L50" s="2008"/>
      <c r="M50" s="2008"/>
      <c r="N50" s="2008"/>
      <c r="O50" s="2008"/>
      <c r="P50" s="2008"/>
      <c r="Q50" s="2008"/>
      <c r="R50" s="2009"/>
    </row>
    <row r="51" spans="1:18" ht="27" customHeight="1" x14ac:dyDescent="0.2">
      <c r="A51" s="219" t="s">
        <v>20</v>
      </c>
      <c r="B51" s="1959" t="s">
        <v>24</v>
      </c>
      <c r="C51" s="2163" t="s">
        <v>20</v>
      </c>
      <c r="D51" s="1991" t="s">
        <v>116</v>
      </c>
      <c r="E51" s="2011"/>
      <c r="F51" s="2001">
        <v>2</v>
      </c>
      <c r="G51" s="1495" t="s">
        <v>22</v>
      </c>
      <c r="H51" s="1214">
        <f>65.4/3.4528*1000</f>
        <v>18941</v>
      </c>
      <c r="I51" s="1215">
        <f>J51+L51</f>
        <v>65</v>
      </c>
      <c r="J51" s="1216">
        <v>65</v>
      </c>
      <c r="K51" s="1216"/>
      <c r="L51" s="1217"/>
      <c r="M51" s="1218">
        <f>65.4/3.4528*1000</f>
        <v>18941</v>
      </c>
      <c r="N51" s="1218">
        <f>65.4/3.4528*1000</f>
        <v>18941</v>
      </c>
      <c r="O51" s="191" t="s">
        <v>250</v>
      </c>
      <c r="P51" s="192">
        <v>20</v>
      </c>
      <c r="Q51" s="192">
        <v>20</v>
      </c>
      <c r="R51" s="193">
        <v>20</v>
      </c>
    </row>
    <row r="52" spans="1:18" ht="15.75" customHeight="1" thickBot="1" x14ac:dyDescent="0.25">
      <c r="A52" s="1438"/>
      <c r="B52" s="1961"/>
      <c r="C52" s="2299"/>
      <c r="D52" s="2377"/>
      <c r="E52" s="2398"/>
      <c r="F52" s="2399"/>
      <c r="G52" s="807" t="s">
        <v>23</v>
      </c>
      <c r="H52" s="1219">
        <f>H51</f>
        <v>18941</v>
      </c>
      <c r="I52" s="1220">
        <f>SUM(I51)</f>
        <v>65</v>
      </c>
      <c r="J52" s="1221">
        <f>SUM(J51)</f>
        <v>65</v>
      </c>
      <c r="K52" s="1222"/>
      <c r="L52" s="1223"/>
      <c r="M52" s="1224">
        <f>SUM(M51)</f>
        <v>18941</v>
      </c>
      <c r="N52" s="1224">
        <f>SUM(N51)</f>
        <v>18941</v>
      </c>
      <c r="O52" s="194" t="s">
        <v>117</v>
      </c>
      <c r="P52" s="195">
        <v>36</v>
      </c>
      <c r="Q52" s="195">
        <v>36</v>
      </c>
      <c r="R52" s="196">
        <v>36</v>
      </c>
    </row>
    <row r="53" spans="1:18" ht="12.75" customHeight="1" x14ac:dyDescent="0.2">
      <c r="A53" s="1988" t="s">
        <v>20</v>
      </c>
      <c r="B53" s="1959" t="s">
        <v>24</v>
      </c>
      <c r="C53" s="1986" t="s">
        <v>24</v>
      </c>
      <c r="D53" s="2168" t="s">
        <v>252</v>
      </c>
      <c r="E53" s="2011"/>
      <c r="F53" s="1993">
        <v>2</v>
      </c>
      <c r="G53" s="652" t="s">
        <v>25</v>
      </c>
      <c r="H53" s="1151">
        <f>104.8/3.4528*1000</f>
        <v>30352</v>
      </c>
      <c r="I53" s="1215">
        <f>J53+L53</f>
        <v>105</v>
      </c>
      <c r="J53" s="1225">
        <v>105</v>
      </c>
      <c r="K53" s="1226">
        <v>80</v>
      </c>
      <c r="L53" s="1185"/>
      <c r="M53" s="1179">
        <f>105/3.4528*1000</f>
        <v>30410</v>
      </c>
      <c r="N53" s="1227">
        <f>105/3.4528*1000</f>
        <v>30410</v>
      </c>
      <c r="O53" s="2155" t="s">
        <v>287</v>
      </c>
      <c r="P53" s="139">
        <v>17</v>
      </c>
      <c r="Q53" s="139">
        <v>17</v>
      </c>
      <c r="R53" s="138">
        <v>17</v>
      </c>
    </row>
    <row r="54" spans="1:18" ht="13.5" thickBot="1" x14ac:dyDescent="0.25">
      <c r="A54" s="1989"/>
      <c r="B54" s="2010"/>
      <c r="C54" s="1987"/>
      <c r="D54" s="2169"/>
      <c r="E54" s="2012"/>
      <c r="F54" s="1994"/>
      <c r="G54" s="299" t="s">
        <v>23</v>
      </c>
      <c r="H54" s="1228">
        <f>H53</f>
        <v>30352</v>
      </c>
      <c r="I54" s="1229">
        <f>SUM(I53)</f>
        <v>105</v>
      </c>
      <c r="J54" s="1198">
        <f>SUM(J53)</f>
        <v>105</v>
      </c>
      <c r="K54" s="1230">
        <f>SUM(K53)</f>
        <v>80</v>
      </c>
      <c r="L54" s="1231"/>
      <c r="M54" s="1201">
        <f>SUM(M53)</f>
        <v>30410</v>
      </c>
      <c r="N54" s="1230">
        <f>SUM(N53)</f>
        <v>30410</v>
      </c>
      <c r="O54" s="2156"/>
      <c r="P54" s="764"/>
      <c r="Q54" s="764"/>
      <c r="R54" s="765"/>
    </row>
    <row r="55" spans="1:18" ht="30" customHeight="1" x14ac:dyDescent="0.2">
      <c r="A55" s="1984" t="s">
        <v>20</v>
      </c>
      <c r="B55" s="1455" t="s">
        <v>24</v>
      </c>
      <c r="C55" s="1978" t="s">
        <v>26</v>
      </c>
      <c r="D55" s="1970" t="s">
        <v>45</v>
      </c>
      <c r="E55" s="1975"/>
      <c r="F55" s="1998">
        <v>2</v>
      </c>
      <c r="G55" s="750" t="s">
        <v>22</v>
      </c>
      <c r="H55" s="1232">
        <f>136.7/3.4528*1000</f>
        <v>39591</v>
      </c>
      <c r="I55" s="1233">
        <f>J55+L55</f>
        <v>137</v>
      </c>
      <c r="J55" s="1234">
        <v>137</v>
      </c>
      <c r="K55" s="1234"/>
      <c r="L55" s="1235"/>
      <c r="M55" s="1218">
        <f>140/3.4528*1000</f>
        <v>40547</v>
      </c>
      <c r="N55" s="1226">
        <f>140/3.4528*1000</f>
        <v>40547</v>
      </c>
      <c r="O55" s="766" t="s">
        <v>288</v>
      </c>
      <c r="P55" s="761">
        <v>180</v>
      </c>
      <c r="Q55" s="1445">
        <v>180</v>
      </c>
      <c r="R55" s="672">
        <v>180</v>
      </c>
    </row>
    <row r="56" spans="1:18" ht="13.5" thickBot="1" x14ac:dyDescent="0.25">
      <c r="A56" s="1985"/>
      <c r="B56" s="1457"/>
      <c r="C56" s="1979"/>
      <c r="D56" s="1971"/>
      <c r="E56" s="1977"/>
      <c r="F56" s="1999"/>
      <c r="G56" s="1418" t="s">
        <v>23</v>
      </c>
      <c r="H56" s="1228">
        <f>H55</f>
        <v>39591</v>
      </c>
      <c r="I56" s="1236">
        <f>SUM(I55)</f>
        <v>137</v>
      </c>
      <c r="J56" s="1237">
        <f>SUM(J55)</f>
        <v>137</v>
      </c>
      <c r="K56" s="1238"/>
      <c r="L56" s="1239"/>
      <c r="M56" s="1201">
        <f>SUM(M55)</f>
        <v>40547</v>
      </c>
      <c r="N56" s="1200">
        <f>SUM(N55)</f>
        <v>40547</v>
      </c>
      <c r="O56" s="767"/>
      <c r="P56" s="768"/>
      <c r="Q56" s="748"/>
      <c r="R56" s="1432"/>
    </row>
    <row r="57" spans="1:18" ht="20.25" customHeight="1" x14ac:dyDescent="0.2">
      <c r="A57" s="1988" t="s">
        <v>20</v>
      </c>
      <c r="B57" s="1959" t="s">
        <v>24</v>
      </c>
      <c r="C57" s="1986" t="s">
        <v>28</v>
      </c>
      <c r="D57" s="1970" t="s">
        <v>298</v>
      </c>
      <c r="E57" s="2392" t="s">
        <v>121</v>
      </c>
      <c r="F57" s="2042">
        <v>2</v>
      </c>
      <c r="G57" s="647" t="s">
        <v>25</v>
      </c>
      <c r="H57" s="1207">
        <f>133.5/3.4528*1000</f>
        <v>38664</v>
      </c>
      <c r="I57" s="1215">
        <f>J57+L57</f>
        <v>134</v>
      </c>
      <c r="J57" s="1240">
        <v>103</v>
      </c>
      <c r="K57" s="1240">
        <v>78</v>
      </c>
      <c r="L57" s="1241">
        <v>31</v>
      </c>
      <c r="M57" s="1242">
        <f>102.5/3.4528*1000</f>
        <v>29686</v>
      </c>
      <c r="N57" s="1241"/>
      <c r="O57" s="197" t="s">
        <v>65</v>
      </c>
      <c r="P57" s="139">
        <v>2</v>
      </c>
      <c r="Q57" s="139">
        <v>1</v>
      </c>
      <c r="R57" s="747"/>
    </row>
    <row r="58" spans="1:18" ht="20.25" customHeight="1" x14ac:dyDescent="0.2">
      <c r="A58" s="1990"/>
      <c r="B58" s="1960"/>
      <c r="C58" s="2000"/>
      <c r="D58" s="1980"/>
      <c r="E58" s="2324"/>
      <c r="F58" s="2043"/>
      <c r="G58" s="117"/>
      <c r="H58" s="1143"/>
      <c r="I58" s="1243"/>
      <c r="J58" s="1244"/>
      <c r="K58" s="1244"/>
      <c r="L58" s="1174"/>
      <c r="M58" s="1245"/>
      <c r="N58" s="1246"/>
      <c r="O58" s="769"/>
      <c r="P58" s="176"/>
      <c r="Q58" s="176"/>
      <c r="R58" s="672"/>
    </row>
    <row r="59" spans="1:18" ht="13.5" thickBot="1" x14ac:dyDescent="0.25">
      <c r="A59" s="1989"/>
      <c r="B59" s="2010"/>
      <c r="C59" s="1987"/>
      <c r="D59" s="2394"/>
      <c r="E59" s="2359"/>
      <c r="F59" s="2395"/>
      <c r="G59" s="299" t="s">
        <v>23</v>
      </c>
      <c r="H59" s="1191">
        <f>H57</f>
        <v>38664</v>
      </c>
      <c r="I59" s="1236">
        <f t="shared" ref="I59:N59" si="6">I57</f>
        <v>134</v>
      </c>
      <c r="J59" s="1247">
        <f t="shared" si="6"/>
        <v>103</v>
      </c>
      <c r="K59" s="1247">
        <f t="shared" si="6"/>
        <v>78</v>
      </c>
      <c r="L59" s="1239">
        <f t="shared" si="6"/>
        <v>31</v>
      </c>
      <c r="M59" s="1205">
        <f t="shared" si="6"/>
        <v>29686</v>
      </c>
      <c r="N59" s="1238">
        <f t="shared" si="6"/>
        <v>0</v>
      </c>
      <c r="O59" s="1430"/>
      <c r="P59" s="764"/>
      <c r="Q59" s="764"/>
      <c r="R59" s="765"/>
    </row>
    <row r="60" spans="1:18" ht="16.5" customHeight="1" x14ac:dyDescent="0.2">
      <c r="A60" s="1988" t="s">
        <v>20</v>
      </c>
      <c r="B60" s="1959" t="s">
        <v>24</v>
      </c>
      <c r="C60" s="1986" t="s">
        <v>29</v>
      </c>
      <c r="D60" s="1970" t="s">
        <v>122</v>
      </c>
      <c r="E60" s="2392"/>
      <c r="F60" s="2042">
        <v>2</v>
      </c>
      <c r="G60" s="652" t="s">
        <v>25</v>
      </c>
      <c r="H60" s="1151">
        <f>1279.8/3.4528*1000</f>
        <v>370656</v>
      </c>
      <c r="I60" s="1248">
        <f>J60+L60</f>
        <v>1280</v>
      </c>
      <c r="J60" s="1171">
        <v>1280</v>
      </c>
      <c r="K60" s="1172">
        <v>977</v>
      </c>
      <c r="L60" s="1178"/>
      <c r="M60" s="1249">
        <f>1313.3/3.4528*1000</f>
        <v>380358</v>
      </c>
      <c r="N60" s="1250">
        <f>1313.3/3.4528*1000</f>
        <v>380358</v>
      </c>
      <c r="O60" s="745" t="s">
        <v>65</v>
      </c>
      <c r="P60" s="746">
        <v>34</v>
      </c>
      <c r="Q60" s="746">
        <v>34</v>
      </c>
      <c r="R60" s="747">
        <v>34</v>
      </c>
    </row>
    <row r="61" spans="1:18" ht="35.25" customHeight="1" thickBot="1" x14ac:dyDescent="0.25">
      <c r="A61" s="1989"/>
      <c r="B61" s="2010"/>
      <c r="C61" s="1987"/>
      <c r="D61" s="2394"/>
      <c r="E61" s="2359"/>
      <c r="F61" s="2395"/>
      <c r="G61" s="299" t="s">
        <v>23</v>
      </c>
      <c r="H61" s="1228">
        <f>H60</f>
        <v>370656</v>
      </c>
      <c r="I61" s="1247">
        <f>SUM(I60)</f>
        <v>1280</v>
      </c>
      <c r="J61" s="1237">
        <f>SUM(J60)</f>
        <v>1280</v>
      </c>
      <c r="K61" s="1238">
        <f>K60</f>
        <v>977</v>
      </c>
      <c r="L61" s="1239"/>
      <c r="M61" s="1201">
        <f>SUM(M60)</f>
        <v>380358</v>
      </c>
      <c r="N61" s="1230">
        <f>SUM(N60)</f>
        <v>380358</v>
      </c>
      <c r="O61" s="1430"/>
      <c r="P61" s="764"/>
      <c r="Q61" s="764"/>
      <c r="R61" s="765"/>
    </row>
    <row r="62" spans="1:18" ht="16.5" customHeight="1" x14ac:dyDescent="0.2">
      <c r="A62" s="1984" t="s">
        <v>20</v>
      </c>
      <c r="B62" s="1455" t="s">
        <v>24</v>
      </c>
      <c r="C62" s="1978" t="s">
        <v>30</v>
      </c>
      <c r="D62" s="1970" t="s">
        <v>251</v>
      </c>
      <c r="E62" s="2392"/>
      <c r="F62" s="1998">
        <v>2</v>
      </c>
      <c r="G62" s="750" t="s">
        <v>22</v>
      </c>
      <c r="H62" s="1232">
        <f>30/3.4528*1000</f>
        <v>8689</v>
      </c>
      <c r="I62" s="1233">
        <f>J62+L62</f>
        <v>30</v>
      </c>
      <c r="J62" s="1234">
        <v>30</v>
      </c>
      <c r="K62" s="1234"/>
      <c r="L62" s="1235"/>
      <c r="M62" s="1218">
        <f>30/3.4528*1000</f>
        <v>8689</v>
      </c>
      <c r="N62" s="1226">
        <f>30/3.4528*1000</f>
        <v>8689</v>
      </c>
      <c r="O62" s="766" t="s">
        <v>138</v>
      </c>
      <c r="P62" s="678">
        <v>5000</v>
      </c>
      <c r="Q62" s="770">
        <v>5000</v>
      </c>
      <c r="R62" s="806">
        <v>5000</v>
      </c>
    </row>
    <row r="63" spans="1:18" ht="13.5" thickBot="1" x14ac:dyDescent="0.25">
      <c r="A63" s="1985"/>
      <c r="B63" s="1457"/>
      <c r="C63" s="1979"/>
      <c r="D63" s="1971"/>
      <c r="E63" s="2393"/>
      <c r="F63" s="1999"/>
      <c r="G63" s="1418" t="s">
        <v>23</v>
      </c>
      <c r="H63" s="1228">
        <f>H62</f>
        <v>8689</v>
      </c>
      <c r="I63" s="1236">
        <f>SUM(I62)</f>
        <v>30</v>
      </c>
      <c r="J63" s="1237">
        <f>SUM(J62)</f>
        <v>30</v>
      </c>
      <c r="K63" s="1238"/>
      <c r="L63" s="1239"/>
      <c r="M63" s="1201">
        <f>SUM(M62)</f>
        <v>8689</v>
      </c>
      <c r="N63" s="1200">
        <f>SUM(N62)</f>
        <v>8689</v>
      </c>
      <c r="O63" s="767"/>
      <c r="P63" s="768"/>
      <c r="Q63" s="748"/>
      <c r="R63" s="1432"/>
    </row>
    <row r="64" spans="1:18" ht="29.25" customHeight="1" x14ac:dyDescent="0.2">
      <c r="A64" s="1984" t="s">
        <v>20</v>
      </c>
      <c r="B64" s="1455" t="s">
        <v>24</v>
      </c>
      <c r="C64" s="1978" t="s">
        <v>55</v>
      </c>
      <c r="D64" s="1970" t="s">
        <v>260</v>
      </c>
      <c r="E64" s="2392" t="s">
        <v>131</v>
      </c>
      <c r="F64" s="1998">
        <v>2</v>
      </c>
      <c r="G64" s="750" t="s">
        <v>22</v>
      </c>
      <c r="H64" s="1407">
        <f>438.6/3.4528*1000</f>
        <v>127027</v>
      </c>
      <c r="I64" s="1233">
        <f>J64+L64</f>
        <v>439</v>
      </c>
      <c r="J64" s="1234">
        <v>439</v>
      </c>
      <c r="K64" s="1234"/>
      <c r="L64" s="1235"/>
      <c r="M64" s="1218">
        <f>295.5/3.4528*1000</f>
        <v>85583</v>
      </c>
      <c r="N64" s="1226"/>
      <c r="O64" s="2265" t="s">
        <v>206</v>
      </c>
      <c r="P64" s="761">
        <f>24+29</f>
        <v>53</v>
      </c>
      <c r="Q64" s="1445">
        <v>25</v>
      </c>
      <c r="R64" s="672"/>
    </row>
    <row r="65" spans="1:20" ht="23.25" customHeight="1" thickBot="1" x14ac:dyDescent="0.25">
      <c r="A65" s="1985"/>
      <c r="B65" s="1457"/>
      <c r="C65" s="1979"/>
      <c r="D65" s="1971"/>
      <c r="E65" s="2393"/>
      <c r="F65" s="1999"/>
      <c r="G65" s="1418" t="s">
        <v>23</v>
      </c>
      <c r="H65" s="1228">
        <f>H64</f>
        <v>127027</v>
      </c>
      <c r="I65" s="1236">
        <f>SUM(I64)</f>
        <v>439</v>
      </c>
      <c r="J65" s="1237">
        <f>SUM(J64)</f>
        <v>439</v>
      </c>
      <c r="K65" s="1238"/>
      <c r="L65" s="1239"/>
      <c r="M65" s="1201">
        <f>SUM(M64)</f>
        <v>85583</v>
      </c>
      <c r="N65" s="1200"/>
      <c r="O65" s="2266"/>
      <c r="P65" s="768"/>
      <c r="Q65" s="748"/>
      <c r="R65" s="1432"/>
    </row>
    <row r="66" spans="1:20" ht="13.5" thickBot="1" x14ac:dyDescent="0.25">
      <c r="A66" s="15" t="s">
        <v>20</v>
      </c>
      <c r="B66" s="14" t="s">
        <v>24</v>
      </c>
      <c r="C66" s="2029" t="s">
        <v>27</v>
      </c>
      <c r="D66" s="2029"/>
      <c r="E66" s="2029"/>
      <c r="F66" s="2029"/>
      <c r="G66" s="2029"/>
      <c r="H66" s="1212">
        <f>H65+H63+H61+H59+H56+H54+H52</f>
        <v>633920</v>
      </c>
      <c r="I66" s="1213">
        <f>J66+L66</f>
        <v>2190</v>
      </c>
      <c r="J66" s="1213">
        <f t="shared" ref="J66:N66" si="7">J56+J61+J59+J54+J52+J63+J65</f>
        <v>2159</v>
      </c>
      <c r="K66" s="1213">
        <f t="shared" si="7"/>
        <v>1135</v>
      </c>
      <c r="L66" s="1213">
        <f t="shared" si="7"/>
        <v>31</v>
      </c>
      <c r="M66" s="1251">
        <f>M56+M61+M59+M54+M52+M63+M65</f>
        <v>594214</v>
      </c>
      <c r="N66" s="1252">
        <f t="shared" si="7"/>
        <v>478945</v>
      </c>
      <c r="O66" s="1461"/>
      <c r="P66" s="2386"/>
      <c r="Q66" s="2386"/>
      <c r="R66" s="2387"/>
    </row>
    <row r="67" spans="1:20" ht="13.5" thickBot="1" x14ac:dyDescent="0.25">
      <c r="A67" s="15" t="s">
        <v>20</v>
      </c>
      <c r="B67" s="2388" t="s">
        <v>10</v>
      </c>
      <c r="C67" s="2131"/>
      <c r="D67" s="2131"/>
      <c r="E67" s="2131"/>
      <c r="F67" s="2131"/>
      <c r="G67" s="2131"/>
      <c r="H67" s="1253">
        <f>H66+H49</f>
        <v>55633920</v>
      </c>
      <c r="I67" s="1254">
        <f>J67+L67</f>
        <v>192094</v>
      </c>
      <c r="J67" s="1254">
        <f t="shared" ref="J67:N67" si="8">J66+J49</f>
        <v>191794</v>
      </c>
      <c r="K67" s="1254">
        <f t="shared" si="8"/>
        <v>128494</v>
      </c>
      <c r="L67" s="1254">
        <f t="shared" si="8"/>
        <v>300</v>
      </c>
      <c r="M67" s="1255">
        <f t="shared" si="8"/>
        <v>55599311</v>
      </c>
      <c r="N67" s="1256">
        <f t="shared" si="8"/>
        <v>55484042</v>
      </c>
      <c r="O67" s="2389"/>
      <c r="P67" s="2390"/>
      <c r="Q67" s="2390"/>
      <c r="R67" s="2391"/>
    </row>
    <row r="68" spans="1:20" ht="13.5" thickBot="1" x14ac:dyDescent="0.25">
      <c r="A68" s="1451" t="s">
        <v>24</v>
      </c>
      <c r="B68" s="1964" t="s">
        <v>56</v>
      </c>
      <c r="C68" s="1965"/>
      <c r="D68" s="1965"/>
      <c r="E68" s="1965"/>
      <c r="F68" s="1965"/>
      <c r="G68" s="1965"/>
      <c r="H68" s="1965"/>
      <c r="I68" s="1965"/>
      <c r="J68" s="1965"/>
      <c r="K68" s="1965"/>
      <c r="L68" s="1965"/>
      <c r="M68" s="1965"/>
      <c r="N68" s="1965"/>
      <c r="O68" s="1965"/>
      <c r="P68" s="1965"/>
      <c r="Q68" s="1965"/>
      <c r="R68" s="1966"/>
    </row>
    <row r="69" spans="1:20" ht="13.5" thickBot="1" x14ac:dyDescent="0.25">
      <c r="A69" s="23" t="s">
        <v>24</v>
      </c>
      <c r="B69" s="17" t="s">
        <v>20</v>
      </c>
      <c r="C69" s="2384" t="s">
        <v>47</v>
      </c>
      <c r="D69" s="2247"/>
      <c r="E69" s="2247"/>
      <c r="F69" s="2247"/>
      <c r="G69" s="2247"/>
      <c r="H69" s="2247"/>
      <c r="I69" s="2247"/>
      <c r="J69" s="2247"/>
      <c r="K69" s="2247"/>
      <c r="L69" s="2247"/>
      <c r="M69" s="2247"/>
      <c r="N69" s="2247"/>
      <c r="O69" s="2247"/>
      <c r="P69" s="2247"/>
      <c r="Q69" s="2247"/>
      <c r="R69" s="2248"/>
    </row>
    <row r="70" spans="1:20" ht="25.5" x14ac:dyDescent="0.2">
      <c r="A70" s="1448" t="s">
        <v>24</v>
      </c>
      <c r="B70" s="1455" t="s">
        <v>20</v>
      </c>
      <c r="C70" s="1434" t="s">
        <v>20</v>
      </c>
      <c r="D70" s="127" t="s">
        <v>57</v>
      </c>
      <c r="E70" s="249"/>
      <c r="F70" s="125"/>
      <c r="G70" s="1495"/>
      <c r="H70" s="1214"/>
      <c r="I70" s="1215"/>
      <c r="J70" s="1216"/>
      <c r="K70" s="1216"/>
      <c r="L70" s="1217"/>
      <c r="M70" s="1218"/>
      <c r="N70" s="1257"/>
      <c r="O70" s="67"/>
      <c r="P70" s="674"/>
      <c r="Q70" s="87"/>
      <c r="R70" s="675"/>
    </row>
    <row r="71" spans="1:20" s="4" customFormat="1" ht="12.75" customHeight="1" x14ac:dyDescent="0.2">
      <c r="A71" s="1449"/>
      <c r="B71" s="1456"/>
      <c r="C71" s="1464"/>
      <c r="D71" s="1957" t="s">
        <v>223</v>
      </c>
      <c r="E71" s="1433" t="s">
        <v>4</v>
      </c>
      <c r="F71" s="222">
        <v>5</v>
      </c>
      <c r="G71" s="24" t="s">
        <v>22</v>
      </c>
      <c r="H71" s="1258">
        <f>921.4/3.4528*1000</f>
        <v>266856</v>
      </c>
      <c r="I71" s="1259">
        <f>J71+L71</f>
        <v>921</v>
      </c>
      <c r="J71" s="1260"/>
      <c r="K71" s="1260"/>
      <c r="L71" s="1261">
        <f>108.4+813</f>
        <v>921</v>
      </c>
      <c r="M71" s="1262"/>
      <c r="N71" s="1263"/>
      <c r="O71" s="1951" t="s">
        <v>101</v>
      </c>
      <c r="P71" s="149"/>
      <c r="Q71" s="88"/>
      <c r="R71" s="101"/>
    </row>
    <row r="72" spans="1:20" s="4" customFormat="1" x14ac:dyDescent="0.2">
      <c r="A72" s="1449"/>
      <c r="B72" s="1456"/>
      <c r="C72" s="1464"/>
      <c r="D72" s="1955"/>
      <c r="E72" s="1486"/>
      <c r="F72" s="223"/>
      <c r="G72" s="379" t="s">
        <v>6</v>
      </c>
      <c r="H72" s="1149">
        <f>1102.9/3.4528*1000</f>
        <v>319422</v>
      </c>
      <c r="I72" s="1264">
        <f>J72+L72</f>
        <v>1103</v>
      </c>
      <c r="J72" s="1265">
        <v>17</v>
      </c>
      <c r="K72" s="1265">
        <v>13</v>
      </c>
      <c r="L72" s="1266">
        <v>1086</v>
      </c>
      <c r="M72" s="1262"/>
      <c r="N72" s="1263"/>
      <c r="O72" s="2064"/>
      <c r="P72" s="676"/>
      <c r="Q72" s="89"/>
      <c r="R72" s="102"/>
    </row>
    <row r="73" spans="1:20" s="4" customFormat="1" x14ac:dyDescent="0.2">
      <c r="A73" s="1449"/>
      <c r="B73" s="1456"/>
      <c r="C73" s="1464"/>
      <c r="D73" s="1955"/>
      <c r="E73" s="1486"/>
      <c r="F73" s="223"/>
      <c r="G73" s="380"/>
      <c r="H73" s="1267"/>
      <c r="I73" s="1243"/>
      <c r="J73" s="1268"/>
      <c r="K73" s="1268"/>
      <c r="L73" s="1269"/>
      <c r="M73" s="1270"/>
      <c r="N73" s="1250"/>
      <c r="O73" s="2064"/>
      <c r="P73" s="772">
        <v>100</v>
      </c>
      <c r="Q73" s="773"/>
      <c r="R73" s="102"/>
    </row>
    <row r="74" spans="1:20" s="4" customFormat="1" ht="13.5" thickBot="1" x14ac:dyDescent="0.25">
      <c r="A74" s="1449"/>
      <c r="B74" s="1456"/>
      <c r="C74" s="1464"/>
      <c r="D74" s="1956"/>
      <c r="E74" s="1429"/>
      <c r="F74" s="156"/>
      <c r="G74" s="363" t="s">
        <v>23</v>
      </c>
      <c r="H74" s="1271">
        <f>SUM(H71:H73)</f>
        <v>586278</v>
      </c>
      <c r="I74" s="1271">
        <f>J74+L74</f>
        <v>2024</v>
      </c>
      <c r="J74" s="1272">
        <f t="shared" ref="J74:L74" si="9">SUM(J71:J73)</f>
        <v>17</v>
      </c>
      <c r="K74" s="1272">
        <f t="shared" si="9"/>
        <v>13</v>
      </c>
      <c r="L74" s="1273">
        <f t="shared" si="9"/>
        <v>2007</v>
      </c>
      <c r="M74" s="1274"/>
      <c r="N74" s="1273"/>
      <c r="O74" s="68"/>
      <c r="P74" s="90"/>
      <c r="Q74" s="91"/>
      <c r="R74" s="103"/>
    </row>
    <row r="75" spans="1:20" ht="25.5" x14ac:dyDescent="0.2">
      <c r="A75" s="1448" t="s">
        <v>24</v>
      </c>
      <c r="B75" s="1455" t="s">
        <v>20</v>
      </c>
      <c r="C75" s="1434" t="s">
        <v>24</v>
      </c>
      <c r="D75" s="870" t="s">
        <v>224</v>
      </c>
      <c r="E75" s="863" t="s">
        <v>58</v>
      </c>
      <c r="F75" s="125">
        <v>5</v>
      </c>
      <c r="G75" s="1495"/>
      <c r="H75" s="1214"/>
      <c r="I75" s="1215"/>
      <c r="J75" s="1216"/>
      <c r="K75" s="1216"/>
      <c r="L75" s="1217"/>
      <c r="M75" s="1218"/>
      <c r="N75" s="1257"/>
      <c r="O75" s="67"/>
      <c r="P75" s="674"/>
      <c r="Q75" s="87"/>
      <c r="R75" s="675"/>
    </row>
    <row r="76" spans="1:20" ht="18" customHeight="1" x14ac:dyDescent="0.2">
      <c r="A76" s="1449"/>
      <c r="B76" s="1456"/>
      <c r="C76" s="1436"/>
      <c r="D76" s="2536" t="s">
        <v>317</v>
      </c>
      <c r="E76" s="1486"/>
      <c r="F76" s="223"/>
      <c r="G76" s="1514" t="s">
        <v>22</v>
      </c>
      <c r="H76" s="1515">
        <v>8689</v>
      </c>
      <c r="I76" s="1516"/>
      <c r="J76" s="1517"/>
      <c r="K76" s="1517"/>
      <c r="L76" s="1518"/>
      <c r="M76" s="1519">
        <v>169022</v>
      </c>
      <c r="N76" s="1250"/>
      <c r="O76" s="1521" t="s">
        <v>315</v>
      </c>
      <c r="P76" s="1522">
        <v>5</v>
      </c>
      <c r="Q76" s="1522"/>
      <c r="R76" s="1523"/>
    </row>
    <row r="77" spans="1:20" ht="18" customHeight="1" x14ac:dyDescent="0.2">
      <c r="A77" s="1449"/>
      <c r="B77" s="1456"/>
      <c r="C77" s="1436"/>
      <c r="D77" s="2536"/>
      <c r="E77" s="1486"/>
      <c r="F77" s="223"/>
      <c r="G77" s="1514" t="s">
        <v>53</v>
      </c>
      <c r="H77" s="1515"/>
      <c r="I77" s="1516"/>
      <c r="J77" s="1517"/>
      <c r="K77" s="1517"/>
      <c r="L77" s="1518"/>
      <c r="M77" s="1519">
        <v>43443</v>
      </c>
      <c r="N77" s="1250"/>
      <c r="O77" s="1521" t="s">
        <v>274</v>
      </c>
      <c r="P77" s="1522"/>
      <c r="Q77" s="1522">
        <v>5</v>
      </c>
      <c r="R77" s="1523"/>
    </row>
    <row r="78" spans="1:20" ht="18" customHeight="1" x14ac:dyDescent="0.2">
      <c r="A78" s="1449"/>
      <c r="B78" s="1456"/>
      <c r="C78" s="1436"/>
      <c r="D78" s="2537"/>
      <c r="E78" s="1486"/>
      <c r="F78" s="223"/>
      <c r="G78" s="1514" t="s">
        <v>6</v>
      </c>
      <c r="H78" s="1515"/>
      <c r="I78" s="1516"/>
      <c r="J78" s="1517"/>
      <c r="K78" s="1517"/>
      <c r="L78" s="1518"/>
      <c r="M78" s="1519"/>
      <c r="N78" s="1520">
        <v>3005503</v>
      </c>
      <c r="O78" s="1521" t="s">
        <v>316</v>
      </c>
      <c r="P78" s="1522"/>
      <c r="Q78" s="1522"/>
      <c r="R78" s="1523">
        <v>75</v>
      </c>
    </row>
    <row r="79" spans="1:20" ht="18" customHeight="1" x14ac:dyDescent="0.2">
      <c r="A79" s="1449"/>
      <c r="B79" s="1456"/>
      <c r="C79" s="1436"/>
      <c r="D79" s="2532" t="s">
        <v>303</v>
      </c>
      <c r="E79" s="1524"/>
      <c r="F79" s="1525"/>
      <c r="G79" s="1526" t="s">
        <v>318</v>
      </c>
      <c r="H79" s="1527">
        <f>6/3.4528*1000</f>
        <v>1738</v>
      </c>
      <c r="I79" s="1528">
        <f>J79+L79</f>
        <v>6</v>
      </c>
      <c r="J79" s="1529"/>
      <c r="K79" s="1529"/>
      <c r="L79" s="1530">
        <v>6</v>
      </c>
      <c r="M79" s="1531">
        <f>145.9/3.4528*1000</f>
        <v>42256</v>
      </c>
      <c r="N79" s="1532"/>
      <c r="O79" s="1510" t="s">
        <v>269</v>
      </c>
      <c r="P79" s="1511">
        <v>1</v>
      </c>
      <c r="Q79" s="1511"/>
      <c r="R79" s="1512"/>
      <c r="S79" s="1400"/>
      <c r="T79" s="1400"/>
    </row>
    <row r="80" spans="1:20" x14ac:dyDescent="0.2">
      <c r="A80" s="1449"/>
      <c r="B80" s="1456"/>
      <c r="C80" s="1436"/>
      <c r="D80" s="2533"/>
      <c r="E80" s="1533"/>
      <c r="F80" s="1534"/>
      <c r="G80" s="1535" t="s">
        <v>319</v>
      </c>
      <c r="H80" s="1527"/>
      <c r="I80" s="1528"/>
      <c r="J80" s="1529"/>
      <c r="K80" s="1529"/>
      <c r="L80" s="1536"/>
      <c r="M80" s="1537"/>
      <c r="N80" s="1538">
        <f>2061.1/3.4528*1000</f>
        <v>596936</v>
      </c>
      <c r="O80" s="1504" t="s">
        <v>274</v>
      </c>
      <c r="P80" s="1505"/>
      <c r="Q80" s="1505">
        <v>1</v>
      </c>
      <c r="R80" s="1506"/>
      <c r="S80" s="1400"/>
    </row>
    <row r="81" spans="1:18" ht="17.25" customHeight="1" x14ac:dyDescent="0.2">
      <c r="A81" s="1449"/>
      <c r="B81" s="1456"/>
      <c r="C81" s="1436"/>
      <c r="D81" s="2533"/>
      <c r="E81" s="1533"/>
      <c r="F81" s="1534"/>
      <c r="G81" s="1539"/>
      <c r="H81" s="1540"/>
      <c r="I81" s="1541"/>
      <c r="J81" s="1542"/>
      <c r="K81" s="1542"/>
      <c r="L81" s="1543"/>
      <c r="M81" s="1544"/>
      <c r="N81" s="1545"/>
      <c r="O81" s="1504" t="s">
        <v>273</v>
      </c>
      <c r="P81" s="1505"/>
      <c r="Q81" s="1505"/>
      <c r="R81" s="1506">
        <v>75</v>
      </c>
    </row>
    <row r="82" spans="1:18" ht="16.5" customHeight="1" x14ac:dyDescent="0.2">
      <c r="A82" s="1449"/>
      <c r="B82" s="1456"/>
      <c r="C82" s="1436"/>
      <c r="D82" s="2532" t="s">
        <v>302</v>
      </c>
      <c r="E82" s="1546"/>
      <c r="F82" s="1547"/>
      <c r="G82" s="1526" t="s">
        <v>318</v>
      </c>
      <c r="H82" s="1527">
        <f>6/3.4528*1000</f>
        <v>1738</v>
      </c>
      <c r="I82" s="1528">
        <f>J82+L82</f>
        <v>6</v>
      </c>
      <c r="J82" s="1529"/>
      <c r="K82" s="1529"/>
      <c r="L82" s="1530">
        <v>6</v>
      </c>
      <c r="M82" s="1531">
        <f>145.9/3.4528*1000</f>
        <v>42256</v>
      </c>
      <c r="N82" s="1532"/>
      <c r="O82" s="1510" t="s">
        <v>269</v>
      </c>
      <c r="P82" s="1511">
        <v>1</v>
      </c>
      <c r="Q82" s="1511"/>
      <c r="R82" s="1512"/>
    </row>
    <row r="83" spans="1:18" ht="17.25" customHeight="1" x14ac:dyDescent="0.2">
      <c r="A83" s="1449"/>
      <c r="B83" s="1456"/>
      <c r="C83" s="1436"/>
      <c r="D83" s="2533"/>
      <c r="E83" s="1558"/>
      <c r="F83" s="1534"/>
      <c r="G83" s="1535" t="s">
        <v>319</v>
      </c>
      <c r="H83" s="1527"/>
      <c r="I83" s="1528"/>
      <c r="J83" s="1529"/>
      <c r="K83" s="1529"/>
      <c r="L83" s="1536"/>
      <c r="M83" s="1537"/>
      <c r="N83" s="1538">
        <f>2061.1/3.4528*1000</f>
        <v>596936</v>
      </c>
      <c r="O83" s="1504" t="s">
        <v>226</v>
      </c>
      <c r="P83" s="1505"/>
      <c r="Q83" s="1505">
        <v>1</v>
      </c>
      <c r="R83" s="1506"/>
    </row>
    <row r="84" spans="1:18" ht="16.5" customHeight="1" x14ac:dyDescent="0.2">
      <c r="A84" s="1449"/>
      <c r="B84" s="1456"/>
      <c r="C84" s="1436"/>
      <c r="D84" s="2533"/>
      <c r="E84" s="1558"/>
      <c r="F84" s="1534"/>
      <c r="G84" s="1548"/>
      <c r="H84" s="1549"/>
      <c r="I84" s="1550"/>
      <c r="J84" s="1551"/>
      <c r="K84" s="1551"/>
      <c r="L84" s="1552"/>
      <c r="M84" s="1553"/>
      <c r="N84" s="1554"/>
      <c r="O84" s="1507" t="s">
        <v>273</v>
      </c>
      <c r="P84" s="1508"/>
      <c r="Q84" s="1508"/>
      <c r="R84" s="1509">
        <v>75</v>
      </c>
    </row>
    <row r="85" spans="1:18" ht="15" customHeight="1" x14ac:dyDescent="0.2">
      <c r="A85" s="1449"/>
      <c r="B85" s="1456"/>
      <c r="C85" s="1436"/>
      <c r="D85" s="2532" t="s">
        <v>301</v>
      </c>
      <c r="E85" s="1546"/>
      <c r="F85" s="1547"/>
      <c r="G85" s="1526" t="s">
        <v>318</v>
      </c>
      <c r="H85" s="1527">
        <f>6/3.4528*1000</f>
        <v>1738</v>
      </c>
      <c r="I85" s="1528">
        <f>J85+L85</f>
        <v>6</v>
      </c>
      <c r="J85" s="1529"/>
      <c r="K85" s="1529"/>
      <c r="L85" s="1530">
        <v>6</v>
      </c>
      <c r="M85" s="1531">
        <f>145.9/3.4528*1000</f>
        <v>42256</v>
      </c>
      <c r="N85" s="1532"/>
      <c r="O85" s="1510" t="s">
        <v>269</v>
      </c>
      <c r="P85" s="1511">
        <v>1</v>
      </c>
      <c r="Q85" s="1511"/>
      <c r="R85" s="1512"/>
    </row>
    <row r="86" spans="1:18" ht="15" customHeight="1" x14ac:dyDescent="0.2">
      <c r="A86" s="1449"/>
      <c r="B86" s="1456"/>
      <c r="C86" s="1436"/>
      <c r="D86" s="2533"/>
      <c r="E86" s="1555"/>
      <c r="F86" s="1534"/>
      <c r="G86" s="1535" t="s">
        <v>319</v>
      </c>
      <c r="H86" s="1527"/>
      <c r="I86" s="1528"/>
      <c r="J86" s="1529"/>
      <c r="K86" s="1529"/>
      <c r="L86" s="1536"/>
      <c r="M86" s="1537"/>
      <c r="N86" s="1538">
        <f>2061.1/3.4528*1000</f>
        <v>596936</v>
      </c>
      <c r="O86" s="1504" t="s">
        <v>226</v>
      </c>
      <c r="P86" s="1505"/>
      <c r="Q86" s="1505">
        <v>1</v>
      </c>
      <c r="R86" s="1506"/>
    </row>
    <row r="87" spans="1:18" ht="17.25" customHeight="1" x14ac:dyDescent="0.2">
      <c r="A87" s="1449"/>
      <c r="B87" s="1456"/>
      <c r="C87" s="1436"/>
      <c r="D87" s="2534"/>
      <c r="E87" s="1556"/>
      <c r="F87" s="1557"/>
      <c r="G87" s="1548"/>
      <c r="H87" s="1549"/>
      <c r="I87" s="1550"/>
      <c r="J87" s="1551"/>
      <c r="K87" s="1551"/>
      <c r="L87" s="1552"/>
      <c r="M87" s="1553"/>
      <c r="N87" s="1554"/>
      <c r="O87" s="1507" t="s">
        <v>273</v>
      </c>
      <c r="P87" s="1508"/>
      <c r="Q87" s="1508"/>
      <c r="R87" s="1509">
        <v>75</v>
      </c>
    </row>
    <row r="88" spans="1:18" ht="15.75" customHeight="1" x14ac:dyDescent="0.2">
      <c r="A88" s="1449"/>
      <c r="B88" s="1456"/>
      <c r="C88" s="1436"/>
      <c r="D88" s="2533" t="s">
        <v>300</v>
      </c>
      <c r="E88" s="1524"/>
      <c r="F88" s="1534"/>
      <c r="G88" s="1548" t="s">
        <v>318</v>
      </c>
      <c r="H88" s="1527">
        <f>6/3.4528*1000</f>
        <v>1738</v>
      </c>
      <c r="I88" s="1528">
        <f>J88+L88</f>
        <v>6</v>
      </c>
      <c r="J88" s="1529"/>
      <c r="K88" s="1529"/>
      <c r="L88" s="1530">
        <v>6</v>
      </c>
      <c r="M88" s="1531">
        <f>145.9/3.4528*1000</f>
        <v>42256</v>
      </c>
      <c r="N88" s="1554"/>
      <c r="O88" s="1510" t="s">
        <v>269</v>
      </c>
      <c r="P88" s="1511">
        <v>1</v>
      </c>
      <c r="Q88" s="1511"/>
      <c r="R88" s="1512"/>
    </row>
    <row r="89" spans="1:18" ht="25.5" x14ac:dyDescent="0.2">
      <c r="A89" s="1449"/>
      <c r="B89" s="1456"/>
      <c r="C89" s="1436"/>
      <c r="D89" s="2533"/>
      <c r="E89" s="2535"/>
      <c r="F89" s="1534"/>
      <c r="G89" s="1535" t="s">
        <v>319</v>
      </c>
      <c r="H89" s="1527"/>
      <c r="I89" s="1528"/>
      <c r="J89" s="1529"/>
      <c r="K89" s="1529"/>
      <c r="L89" s="1536"/>
      <c r="M89" s="1537"/>
      <c r="N89" s="1538">
        <f>2061.1/3.4528*1000</f>
        <v>596936</v>
      </c>
      <c r="O89" s="1504" t="s">
        <v>226</v>
      </c>
      <c r="P89" s="1505"/>
      <c r="Q89" s="1505">
        <v>1</v>
      </c>
      <c r="R89" s="1506"/>
    </row>
    <row r="90" spans="1:18" ht="12.75" customHeight="1" x14ac:dyDescent="0.2">
      <c r="A90" s="1449"/>
      <c r="B90" s="1456"/>
      <c r="C90" s="1436"/>
      <c r="D90" s="2533"/>
      <c r="E90" s="2535"/>
      <c r="F90" s="1534"/>
      <c r="G90" s="1539"/>
      <c r="H90" s="1540"/>
      <c r="I90" s="1559"/>
      <c r="J90" s="1542"/>
      <c r="K90" s="1542"/>
      <c r="L90" s="1560"/>
      <c r="M90" s="1544"/>
      <c r="N90" s="1545"/>
      <c r="O90" s="1504" t="s">
        <v>273</v>
      </c>
      <c r="P90" s="1505"/>
      <c r="Q90" s="1505"/>
      <c r="R90" s="1506">
        <v>75</v>
      </c>
    </row>
    <row r="91" spans="1:18" ht="15" customHeight="1" x14ac:dyDescent="0.2">
      <c r="A91" s="1449"/>
      <c r="B91" s="1456"/>
      <c r="C91" s="1436"/>
      <c r="D91" s="2532" t="s">
        <v>299</v>
      </c>
      <c r="E91" s="1546"/>
      <c r="F91" s="1547"/>
      <c r="G91" s="1526" t="s">
        <v>318</v>
      </c>
      <c r="H91" s="1527">
        <f>6/3.4528*1000</f>
        <v>1738</v>
      </c>
      <c r="I91" s="1528">
        <f>J91+L91</f>
        <v>6</v>
      </c>
      <c r="J91" s="1529"/>
      <c r="K91" s="1529"/>
      <c r="L91" s="1530">
        <v>6</v>
      </c>
      <c r="M91" s="1531"/>
      <c r="N91" s="1532"/>
      <c r="O91" s="1510" t="s">
        <v>269</v>
      </c>
      <c r="P91" s="1511">
        <v>1</v>
      </c>
      <c r="Q91" s="1511"/>
      <c r="R91" s="1512"/>
    </row>
    <row r="92" spans="1:18" ht="25.5" x14ac:dyDescent="0.2">
      <c r="A92" s="1449"/>
      <c r="B92" s="1456"/>
      <c r="C92" s="1436"/>
      <c r="D92" s="2533"/>
      <c r="E92" s="2535"/>
      <c r="F92" s="1534"/>
      <c r="G92" s="1526" t="s">
        <v>320</v>
      </c>
      <c r="H92" s="1527"/>
      <c r="I92" s="1528"/>
      <c r="J92" s="1529"/>
      <c r="K92" s="1529"/>
      <c r="L92" s="1530"/>
      <c r="M92" s="1544">
        <f>150/3.4528*1000</f>
        <v>43443</v>
      </c>
      <c r="N92" s="1545"/>
      <c r="O92" s="1504" t="s">
        <v>226</v>
      </c>
      <c r="P92" s="1505"/>
      <c r="Q92" s="1505">
        <v>1</v>
      </c>
      <c r="R92" s="1506"/>
    </row>
    <row r="93" spans="1:18" ht="12.75" customHeight="1" x14ac:dyDescent="0.2">
      <c r="A93" s="1449"/>
      <c r="B93" s="1456"/>
      <c r="C93" s="1436"/>
      <c r="D93" s="2533"/>
      <c r="E93" s="2535"/>
      <c r="F93" s="1534"/>
      <c r="G93" s="1535" t="s">
        <v>319</v>
      </c>
      <c r="H93" s="1527"/>
      <c r="I93" s="1528"/>
      <c r="J93" s="1529"/>
      <c r="K93" s="1529"/>
      <c r="L93" s="1536"/>
      <c r="M93" s="1537"/>
      <c r="N93" s="1538">
        <f>2133/3.4528*1000</f>
        <v>617759</v>
      </c>
      <c r="O93" s="1504" t="s">
        <v>273</v>
      </c>
      <c r="P93" s="1505"/>
      <c r="Q93" s="1505"/>
      <c r="R93" s="1506">
        <v>75</v>
      </c>
    </row>
    <row r="94" spans="1:18" ht="12.75" customHeight="1" x14ac:dyDescent="0.2">
      <c r="A94" s="1452"/>
      <c r="B94" s="1456"/>
      <c r="C94" s="2164"/>
      <c r="D94" s="2382" t="s">
        <v>156</v>
      </c>
      <c r="E94" s="703"/>
      <c r="F94" s="2373"/>
      <c r="G94" s="908" t="s">
        <v>22</v>
      </c>
      <c r="H94" s="1280"/>
      <c r="I94" s="1264"/>
      <c r="J94" s="1281"/>
      <c r="K94" s="1275"/>
      <c r="L94" s="1282"/>
      <c r="M94" s="1150">
        <f>62.3/3.4528*1000</f>
        <v>18043</v>
      </c>
      <c r="N94" s="1263"/>
      <c r="O94" s="910" t="s">
        <v>158</v>
      </c>
      <c r="P94" s="1471"/>
      <c r="Q94" s="909">
        <v>1</v>
      </c>
      <c r="R94" s="99"/>
    </row>
    <row r="95" spans="1:18" x14ac:dyDescent="0.2">
      <c r="A95" s="1452"/>
      <c r="B95" s="1456"/>
      <c r="C95" s="2164"/>
      <c r="D95" s="2383"/>
      <c r="E95" s="865"/>
      <c r="F95" s="2171"/>
      <c r="G95" s="173" t="s">
        <v>6</v>
      </c>
      <c r="H95" s="1472"/>
      <c r="I95" s="1259"/>
      <c r="J95" s="1283"/>
      <c r="K95" s="1284"/>
      <c r="L95" s="1285"/>
      <c r="M95" s="1276">
        <f>388.9/3.4528*1000</f>
        <v>112633</v>
      </c>
      <c r="N95" s="1277">
        <f>388.9/3.4528*1000</f>
        <v>112633</v>
      </c>
      <c r="O95" s="912" t="s">
        <v>273</v>
      </c>
      <c r="P95" s="676"/>
      <c r="Q95" s="89">
        <v>50</v>
      </c>
      <c r="R95" s="622">
        <v>50</v>
      </c>
    </row>
    <row r="96" spans="1:18" ht="13.5" customHeight="1" thickBot="1" x14ac:dyDescent="0.25">
      <c r="A96" s="1452"/>
      <c r="B96" s="1456"/>
      <c r="C96" s="2164"/>
      <c r="D96" s="2383"/>
      <c r="E96" s="913"/>
      <c r="F96" s="2171"/>
      <c r="G96" s="686" t="s">
        <v>23</v>
      </c>
      <c r="H96" s="1286">
        <f>H76</f>
        <v>8689</v>
      </c>
      <c r="I96" s="1287">
        <f>SUM(I79:I95)</f>
        <v>30</v>
      </c>
      <c r="J96" s="1288"/>
      <c r="K96" s="1289"/>
      <c r="L96" s="1290">
        <f>SUM(L79:L95)</f>
        <v>30</v>
      </c>
      <c r="M96" s="1205">
        <f>M95+M94+M77+M76</f>
        <v>343141</v>
      </c>
      <c r="N96" s="1290">
        <f>N95+N78</f>
        <v>3118136</v>
      </c>
      <c r="O96" s="911"/>
      <c r="P96" s="676"/>
      <c r="Q96" s="89"/>
      <c r="R96" s="622"/>
    </row>
    <row r="97" spans="1:18" ht="25.5" x14ac:dyDescent="0.2">
      <c r="A97" s="1448" t="s">
        <v>24</v>
      </c>
      <c r="B97" s="1455" t="s">
        <v>20</v>
      </c>
      <c r="C97" s="1416" t="s">
        <v>26</v>
      </c>
      <c r="D97" s="127" t="s">
        <v>46</v>
      </c>
      <c r="E97" s="526"/>
      <c r="F97" s="1462"/>
      <c r="G97" s="1495"/>
      <c r="H97" s="1214"/>
      <c r="I97" s="1215"/>
      <c r="J97" s="1291"/>
      <c r="K97" s="1216"/>
      <c r="L97" s="1217"/>
      <c r="M97" s="1218"/>
      <c r="N97" s="1257"/>
      <c r="O97" s="774"/>
      <c r="P97" s="674"/>
      <c r="Q97" s="775"/>
      <c r="R97" s="675"/>
    </row>
    <row r="98" spans="1:18" ht="12.75" customHeight="1" x14ac:dyDescent="0.2">
      <c r="A98" s="1449"/>
      <c r="B98" s="1456"/>
      <c r="C98" s="1436"/>
      <c r="D98" s="1955" t="s">
        <v>69</v>
      </c>
      <c r="E98" s="251" t="s">
        <v>4</v>
      </c>
      <c r="F98" s="152">
        <v>5</v>
      </c>
      <c r="G98" s="12" t="s">
        <v>22</v>
      </c>
      <c r="H98" s="1472">
        <f>567.9/3.4528*1000</f>
        <v>164475</v>
      </c>
      <c r="I98" s="1259">
        <f>J98+L98</f>
        <v>568</v>
      </c>
      <c r="J98" s="1292"/>
      <c r="K98" s="1293"/>
      <c r="L98" s="1294">
        <v>568</v>
      </c>
      <c r="M98" s="1276"/>
      <c r="N98" s="1277"/>
      <c r="O98" s="2374" t="s">
        <v>152</v>
      </c>
      <c r="P98" s="1425"/>
      <c r="Q98" s="115"/>
      <c r="R98" s="99"/>
    </row>
    <row r="99" spans="1:18" s="4" customFormat="1" x14ac:dyDescent="0.2">
      <c r="A99" s="1449"/>
      <c r="B99" s="1456"/>
      <c r="C99" s="1464"/>
      <c r="D99" s="1955"/>
      <c r="E99" s="1486"/>
      <c r="F99" s="223"/>
      <c r="G99" s="171" t="s">
        <v>53</v>
      </c>
      <c r="H99" s="1295"/>
      <c r="I99" s="1259"/>
      <c r="J99" s="1296"/>
      <c r="K99" s="1284"/>
      <c r="L99" s="1261"/>
      <c r="M99" s="1262"/>
      <c r="N99" s="1263"/>
      <c r="O99" s="2375"/>
      <c r="P99" s="1426"/>
      <c r="Q99" s="82"/>
      <c r="R99" s="622"/>
    </row>
    <row r="100" spans="1:18" s="4" customFormat="1" x14ac:dyDescent="0.2">
      <c r="A100" s="1449"/>
      <c r="B100" s="1456"/>
      <c r="C100" s="1464"/>
      <c r="D100" s="1955"/>
      <c r="E100" s="1486"/>
      <c r="F100" s="223"/>
      <c r="G100" s="1494" t="s">
        <v>5</v>
      </c>
      <c r="H100" s="1297"/>
      <c r="I100" s="1264"/>
      <c r="J100" s="1298"/>
      <c r="K100" s="1275"/>
      <c r="L100" s="1266"/>
      <c r="M100" s="1150"/>
      <c r="N100" s="1263"/>
      <c r="O100" s="2375"/>
      <c r="P100" s="1426"/>
      <c r="Q100" s="82"/>
      <c r="R100" s="622"/>
    </row>
    <row r="101" spans="1:18" s="4" customFormat="1" x14ac:dyDescent="0.2">
      <c r="A101" s="1449"/>
      <c r="B101" s="1456"/>
      <c r="C101" s="1464"/>
      <c r="D101" s="1955"/>
      <c r="E101" s="1486"/>
      <c r="F101" s="223"/>
      <c r="G101" s="1494" t="s">
        <v>6</v>
      </c>
      <c r="H101" s="1297"/>
      <c r="I101" s="1264"/>
      <c r="J101" s="1298"/>
      <c r="K101" s="1275"/>
      <c r="L101" s="1266"/>
      <c r="M101" s="1276"/>
      <c r="N101" s="1277"/>
      <c r="O101" s="2375"/>
      <c r="P101" s="1426"/>
      <c r="Q101" s="82"/>
      <c r="R101" s="622"/>
    </row>
    <row r="102" spans="1:18" s="4" customFormat="1" x14ac:dyDescent="0.2">
      <c r="A102" s="1449"/>
      <c r="B102" s="1456"/>
      <c r="C102" s="1464"/>
      <c r="D102" s="130"/>
      <c r="E102" s="1429"/>
      <c r="F102" s="156"/>
      <c r="G102" s="343" t="s">
        <v>23</v>
      </c>
      <c r="H102" s="1286">
        <f>SUM(H98:H101)</f>
        <v>164475</v>
      </c>
      <c r="I102" s="1287">
        <f>SUM(I98:I101)</f>
        <v>568</v>
      </c>
      <c r="J102" s="1299"/>
      <c r="K102" s="1289"/>
      <c r="L102" s="1300">
        <f>SUM(L97:L101)</f>
        <v>568</v>
      </c>
      <c r="M102" s="1301"/>
      <c r="N102" s="1290"/>
      <c r="O102" s="2375"/>
      <c r="P102" s="1426">
        <v>100</v>
      </c>
      <c r="Q102" s="82"/>
      <c r="R102" s="622"/>
    </row>
    <row r="103" spans="1:18" ht="17.25" customHeight="1" x14ac:dyDescent="0.2">
      <c r="A103" s="1449"/>
      <c r="B103" s="1456"/>
      <c r="C103" s="1436"/>
      <c r="D103" s="1957" t="s">
        <v>304</v>
      </c>
      <c r="E103" s="467" t="s">
        <v>4</v>
      </c>
      <c r="F103" s="223">
        <v>5</v>
      </c>
      <c r="G103" s="1491" t="s">
        <v>22</v>
      </c>
      <c r="H103" s="1280">
        <f>861.9/3.4528*1000</f>
        <v>249623</v>
      </c>
      <c r="I103" s="1264">
        <f>J103+L103</f>
        <v>862</v>
      </c>
      <c r="J103" s="1298"/>
      <c r="K103" s="1275"/>
      <c r="L103" s="1266">
        <v>862</v>
      </c>
      <c r="M103" s="1262"/>
      <c r="N103" s="1302"/>
      <c r="O103" s="914" t="s">
        <v>158</v>
      </c>
      <c r="P103" s="1471" t="s">
        <v>275</v>
      </c>
      <c r="Q103" s="915"/>
      <c r="R103" s="916"/>
    </row>
    <row r="104" spans="1:18" ht="25.5" x14ac:dyDescent="0.2">
      <c r="A104" s="1449"/>
      <c r="B104" s="1456"/>
      <c r="C104" s="1436"/>
      <c r="D104" s="1955"/>
      <c r="E104" s="468"/>
      <c r="F104" s="223"/>
      <c r="G104" s="382" t="s">
        <v>23</v>
      </c>
      <c r="H104" s="1303">
        <f>H103</f>
        <v>249623</v>
      </c>
      <c r="I104" s="1271">
        <f>SUM(I103:I103)</f>
        <v>862</v>
      </c>
      <c r="J104" s="1272"/>
      <c r="K104" s="1304"/>
      <c r="L104" s="1272">
        <f>SUM(L103:L103)</f>
        <v>862</v>
      </c>
      <c r="M104" s="1274"/>
      <c r="N104" s="1305"/>
      <c r="O104" s="917" t="s">
        <v>225</v>
      </c>
      <c r="P104" s="918">
        <v>100</v>
      </c>
      <c r="Q104" s="919"/>
      <c r="R104" s="920"/>
    </row>
    <row r="105" spans="1:18" ht="12.75" customHeight="1" x14ac:dyDescent="0.2">
      <c r="A105" s="1449"/>
      <c r="B105" s="1456"/>
      <c r="C105" s="1436"/>
      <c r="D105" s="2376" t="s">
        <v>305</v>
      </c>
      <c r="E105" s="467" t="s">
        <v>4</v>
      </c>
      <c r="F105" s="222">
        <v>5</v>
      </c>
      <c r="G105" s="1491" t="s">
        <v>22</v>
      </c>
      <c r="H105" s="1280"/>
      <c r="I105" s="1264"/>
      <c r="J105" s="1298"/>
      <c r="K105" s="1275"/>
      <c r="L105" s="1266"/>
      <c r="M105" s="1262">
        <f>60/3.4528*1000</f>
        <v>17377</v>
      </c>
      <c r="N105" s="1302">
        <f>150/3.4528*1000</f>
        <v>43443</v>
      </c>
      <c r="O105" s="2378" t="s">
        <v>158</v>
      </c>
      <c r="P105" s="2361"/>
      <c r="Q105" s="2361"/>
      <c r="R105" s="2363">
        <v>1</v>
      </c>
    </row>
    <row r="106" spans="1:18" x14ac:dyDescent="0.2">
      <c r="A106" s="1452"/>
      <c r="B106" s="1456"/>
      <c r="C106" s="463"/>
      <c r="D106" s="1992"/>
      <c r="E106" s="468"/>
      <c r="F106" s="223"/>
      <c r="G106" s="343" t="s">
        <v>23</v>
      </c>
      <c r="H106" s="1286"/>
      <c r="I106" s="1287"/>
      <c r="J106" s="1299"/>
      <c r="K106" s="1289"/>
      <c r="L106" s="1300"/>
      <c r="M106" s="1306">
        <f>SUM(M105)</f>
        <v>17377</v>
      </c>
      <c r="N106" s="1307">
        <f>SUM(N105)</f>
        <v>43443</v>
      </c>
      <c r="O106" s="2379"/>
      <c r="P106" s="2362"/>
      <c r="Q106" s="2362"/>
      <c r="R106" s="2364"/>
    </row>
    <row r="107" spans="1:18" ht="13.5" thickBot="1" x14ac:dyDescent="0.25">
      <c r="A107" s="1453"/>
      <c r="B107" s="1457"/>
      <c r="C107" s="1417"/>
      <c r="D107" s="2377"/>
      <c r="E107" s="2366" t="s">
        <v>210</v>
      </c>
      <c r="F107" s="2367"/>
      <c r="G107" s="2368"/>
      <c r="H107" s="1228">
        <f>H106+H104+H102</f>
        <v>414098</v>
      </c>
      <c r="I107" s="1308">
        <f>J107+L107</f>
        <v>1430</v>
      </c>
      <c r="J107" s="1309"/>
      <c r="K107" s="1237"/>
      <c r="L107" s="1239">
        <f>L106+L104+L102</f>
        <v>1430</v>
      </c>
      <c r="M107" s="1205">
        <f>M106+M104+M102</f>
        <v>17377</v>
      </c>
      <c r="N107" s="1239">
        <f>N106+N104+N102</f>
        <v>43443</v>
      </c>
      <c r="O107" s="2380"/>
      <c r="P107" s="2278"/>
      <c r="Q107" s="2278"/>
      <c r="R107" s="2365"/>
    </row>
    <row r="108" spans="1:18" ht="12.75" customHeight="1" x14ac:dyDescent="0.2">
      <c r="A108" s="1448" t="s">
        <v>24</v>
      </c>
      <c r="B108" s="1455" t="s">
        <v>20</v>
      </c>
      <c r="C108" s="888" t="s">
        <v>28</v>
      </c>
      <c r="D108" s="2019" t="s">
        <v>259</v>
      </c>
      <c r="E108" s="2369" t="s">
        <v>125</v>
      </c>
      <c r="F108" s="2354">
        <v>2</v>
      </c>
      <c r="G108" s="1495" t="s">
        <v>22</v>
      </c>
      <c r="H108" s="1214">
        <f>50/3.4528*1000</f>
        <v>14481</v>
      </c>
      <c r="I108" s="1310">
        <f>J108+L108</f>
        <v>50</v>
      </c>
      <c r="J108" s="1311">
        <v>50</v>
      </c>
      <c r="K108" s="1312"/>
      <c r="L108" s="1313"/>
      <c r="M108" s="1314"/>
      <c r="N108" s="1314"/>
      <c r="O108" s="2356" t="s">
        <v>65</v>
      </c>
      <c r="P108" s="776">
        <v>3</v>
      </c>
      <c r="Q108" s="777"/>
      <c r="R108" s="675"/>
    </row>
    <row r="109" spans="1:18" ht="25.5" customHeight="1" x14ac:dyDescent="0.2">
      <c r="A109" s="1449"/>
      <c r="B109" s="1456"/>
      <c r="C109" s="186"/>
      <c r="D109" s="2030"/>
      <c r="E109" s="2370"/>
      <c r="F109" s="2355"/>
      <c r="G109" s="1492"/>
      <c r="H109" s="1315"/>
      <c r="I109" s="1170"/>
      <c r="J109" s="1316"/>
      <c r="K109" s="1317"/>
      <c r="L109" s="1318"/>
      <c r="M109" s="1158"/>
      <c r="N109" s="1158"/>
      <c r="O109" s="2357"/>
      <c r="P109" s="1426"/>
      <c r="Q109" s="82"/>
      <c r="R109" s="622"/>
    </row>
    <row r="110" spans="1:18" ht="13.5" thickBot="1" x14ac:dyDescent="0.25">
      <c r="A110" s="1449"/>
      <c r="B110" s="1456"/>
      <c r="C110" s="186"/>
      <c r="D110" s="2020"/>
      <c r="E110" s="781" t="s">
        <v>313</v>
      </c>
      <c r="F110" s="2371"/>
      <c r="G110" s="299" t="s">
        <v>23</v>
      </c>
      <c r="H110" s="1191">
        <f>H108</f>
        <v>14481</v>
      </c>
      <c r="I110" s="1308">
        <f>I108</f>
        <v>50</v>
      </c>
      <c r="J110" s="1309">
        <f>J108</f>
        <v>50</v>
      </c>
      <c r="K110" s="1237"/>
      <c r="L110" s="1239"/>
      <c r="M110" s="1205"/>
      <c r="N110" s="1205"/>
      <c r="O110" s="2372"/>
      <c r="P110" s="79"/>
      <c r="Q110" s="1499"/>
      <c r="R110" s="646"/>
    </row>
    <row r="111" spans="1:18" ht="27" customHeight="1" x14ac:dyDescent="0.2">
      <c r="A111" s="1448" t="s">
        <v>24</v>
      </c>
      <c r="B111" s="1455" t="s">
        <v>20</v>
      </c>
      <c r="C111" s="888" t="s">
        <v>29</v>
      </c>
      <c r="D111" s="2019" t="s">
        <v>306</v>
      </c>
      <c r="E111" s="2025"/>
      <c r="F111" s="2354">
        <v>2</v>
      </c>
      <c r="G111" s="1495" t="s">
        <v>22</v>
      </c>
      <c r="H111" s="1214">
        <f>100/3.4528*1000</f>
        <v>28962</v>
      </c>
      <c r="I111" s="1310">
        <f>J111+L111</f>
        <v>100</v>
      </c>
      <c r="J111" s="1311"/>
      <c r="K111" s="1312"/>
      <c r="L111" s="1313">
        <v>100</v>
      </c>
      <c r="M111" s="1319">
        <f>100/3.4528*1000</f>
        <v>28962</v>
      </c>
      <c r="N111" s="1314"/>
      <c r="O111" s="2356" t="s">
        <v>258</v>
      </c>
      <c r="P111" s="776"/>
      <c r="Q111" s="777">
        <v>152</v>
      </c>
      <c r="R111" s="675"/>
    </row>
    <row r="112" spans="1:18" ht="27" customHeight="1" x14ac:dyDescent="0.2">
      <c r="A112" s="1449"/>
      <c r="B112" s="1456"/>
      <c r="C112" s="186"/>
      <c r="D112" s="2030"/>
      <c r="E112" s="2026"/>
      <c r="F112" s="2355"/>
      <c r="G112" s="1492"/>
      <c r="H112" s="1315"/>
      <c r="I112" s="1170"/>
      <c r="J112" s="1316"/>
      <c r="K112" s="1317"/>
      <c r="L112" s="1318"/>
      <c r="M112" s="1158"/>
      <c r="N112" s="1158"/>
      <c r="O112" s="2357"/>
      <c r="P112" s="1426"/>
      <c r="Q112" s="82"/>
      <c r="R112" s="622"/>
    </row>
    <row r="113" spans="1:18" ht="13.5" thickBot="1" x14ac:dyDescent="0.25">
      <c r="A113" s="1449"/>
      <c r="B113" s="1456"/>
      <c r="C113" s="186"/>
      <c r="D113" s="2030"/>
      <c r="E113" s="2026"/>
      <c r="F113" s="2355"/>
      <c r="G113" s="343" t="s">
        <v>23</v>
      </c>
      <c r="H113" s="1286">
        <f>SUM(H111:H112)</f>
        <v>28962</v>
      </c>
      <c r="I113" s="1287">
        <f>I111</f>
        <v>100</v>
      </c>
      <c r="J113" s="1299"/>
      <c r="K113" s="1289"/>
      <c r="L113" s="1300">
        <f>SUM(L111:L112)</f>
        <v>100</v>
      </c>
      <c r="M113" s="1301">
        <f>SUM(M111:M112)</f>
        <v>28962</v>
      </c>
      <c r="N113" s="1301"/>
      <c r="O113" s="2357"/>
      <c r="P113" s="779"/>
      <c r="Q113" s="780"/>
      <c r="R113" s="622"/>
    </row>
    <row r="114" spans="1:18" ht="29.25" customHeight="1" x14ac:dyDescent="0.2">
      <c r="A114" s="1448" t="s">
        <v>24</v>
      </c>
      <c r="B114" s="1455" t="s">
        <v>20</v>
      </c>
      <c r="C114" s="1416" t="s">
        <v>30</v>
      </c>
      <c r="D114" s="921" t="s">
        <v>187</v>
      </c>
      <c r="E114" s="922" t="s">
        <v>4</v>
      </c>
      <c r="F114" s="923"/>
      <c r="G114" s="13"/>
      <c r="H114" s="1320"/>
      <c r="I114" s="1233"/>
      <c r="J114" s="1321"/>
      <c r="K114" s="1234"/>
      <c r="L114" s="1322"/>
      <c r="M114" s="1196"/>
      <c r="N114" s="1196"/>
      <c r="O114" s="924"/>
      <c r="P114" s="925"/>
      <c r="Q114" s="926"/>
      <c r="R114" s="927"/>
    </row>
    <row r="115" spans="1:18" ht="18" customHeight="1" x14ac:dyDescent="0.2">
      <c r="A115" s="1449"/>
      <c r="B115" s="1456"/>
      <c r="C115" s="1436"/>
      <c r="D115" s="2358" t="s">
        <v>256</v>
      </c>
      <c r="E115" s="2359" t="s">
        <v>126</v>
      </c>
      <c r="F115" s="2360">
        <v>6</v>
      </c>
      <c r="G115" s="1491" t="s">
        <v>270</v>
      </c>
      <c r="H115" s="1280">
        <f>3515/3.4528*1000</f>
        <v>1018014</v>
      </c>
      <c r="I115" s="1264">
        <f>+J115+L115</f>
        <v>3515</v>
      </c>
      <c r="J115" s="1323">
        <v>15</v>
      </c>
      <c r="K115" s="1323"/>
      <c r="L115" s="1324">
        <v>3500</v>
      </c>
      <c r="M115" s="1325">
        <f>3000/3.4528*1000</f>
        <v>868860</v>
      </c>
      <c r="N115" s="1325"/>
      <c r="O115" s="520" t="s">
        <v>158</v>
      </c>
      <c r="P115" s="787">
        <v>100</v>
      </c>
      <c r="Q115" s="787"/>
      <c r="R115" s="521"/>
    </row>
    <row r="116" spans="1:18" ht="16.5" customHeight="1" x14ac:dyDescent="0.2">
      <c r="A116" s="1449"/>
      <c r="B116" s="1456"/>
      <c r="C116" s="1436"/>
      <c r="D116" s="2030"/>
      <c r="E116" s="2324"/>
      <c r="F116" s="2360"/>
      <c r="G116" s="1493"/>
      <c r="H116" s="1315"/>
      <c r="I116" s="1154"/>
      <c r="J116" s="1155"/>
      <c r="K116" s="1155"/>
      <c r="L116" s="1185"/>
      <c r="M116" s="1326"/>
      <c r="N116" s="1279"/>
      <c r="O116" s="2059" t="s">
        <v>165</v>
      </c>
      <c r="P116" s="1443">
        <v>50</v>
      </c>
      <c r="Q116" s="1443">
        <v>50</v>
      </c>
      <c r="R116" s="1431"/>
    </row>
    <row r="117" spans="1:18" ht="13.5" thickBot="1" x14ac:dyDescent="0.25">
      <c r="A117" s="1453"/>
      <c r="B117" s="1457"/>
      <c r="C117" s="1417"/>
      <c r="D117" s="2020"/>
      <c r="E117" s="2325"/>
      <c r="F117" s="928"/>
      <c r="G117" s="313" t="s">
        <v>23</v>
      </c>
      <c r="H117" s="1191">
        <f>SUM(H115:H116)</f>
        <v>1018014</v>
      </c>
      <c r="I117" s="1327">
        <f t="shared" ref="I117:L117" si="10">SUM(I115:I116)</f>
        <v>3515</v>
      </c>
      <c r="J117" s="1230">
        <f t="shared" si="10"/>
        <v>15</v>
      </c>
      <c r="K117" s="1198">
        <f t="shared" si="10"/>
        <v>0</v>
      </c>
      <c r="L117" s="1200">
        <f t="shared" si="10"/>
        <v>3500</v>
      </c>
      <c r="M117" s="1201">
        <f>SUM(M115:M116)</f>
        <v>868860</v>
      </c>
      <c r="N117" s="1201"/>
      <c r="O117" s="2082"/>
      <c r="P117" s="619"/>
      <c r="Q117" s="81"/>
      <c r="R117" s="1432"/>
    </row>
    <row r="118" spans="1:18" ht="16.5" customHeight="1" x14ac:dyDescent="0.2">
      <c r="A118" s="1449" t="s">
        <v>24</v>
      </c>
      <c r="B118" s="1456" t="s">
        <v>20</v>
      </c>
      <c r="C118" s="1436" t="s">
        <v>55</v>
      </c>
      <c r="D118" s="2030" t="s">
        <v>262</v>
      </c>
      <c r="E118" s="2026"/>
      <c r="F118" s="1444">
        <v>6</v>
      </c>
      <c r="G118" s="1493" t="s">
        <v>22</v>
      </c>
      <c r="H118" s="1328">
        <f>350/3.4528*1000</f>
        <v>101367</v>
      </c>
      <c r="I118" s="1243">
        <f>J118+L118</f>
        <v>350</v>
      </c>
      <c r="J118" s="1329"/>
      <c r="K118" s="1278"/>
      <c r="L118" s="1330">
        <v>350</v>
      </c>
      <c r="M118" s="1203"/>
      <c r="N118" s="1203"/>
      <c r="O118" s="778" t="s">
        <v>261</v>
      </c>
      <c r="P118" s="676">
        <v>100</v>
      </c>
      <c r="Q118" s="89"/>
      <c r="R118" s="622"/>
    </row>
    <row r="119" spans="1:18" ht="13.5" thickBot="1" x14ac:dyDescent="0.25">
      <c r="A119" s="1450"/>
      <c r="B119" s="1457"/>
      <c r="C119" s="1466"/>
      <c r="D119" s="2020"/>
      <c r="E119" s="2027"/>
      <c r="F119" s="788"/>
      <c r="G119" s="632" t="s">
        <v>23</v>
      </c>
      <c r="H119" s="1331">
        <f>H118</f>
        <v>101367</v>
      </c>
      <c r="I119" s="1332">
        <f>J119+L119</f>
        <v>350</v>
      </c>
      <c r="J119" s="1333"/>
      <c r="K119" s="1334"/>
      <c r="L119" s="1335">
        <f>L118</f>
        <v>350</v>
      </c>
      <c r="M119" s="1336"/>
      <c r="N119" s="1336"/>
      <c r="O119" s="70"/>
      <c r="P119" s="79"/>
      <c r="Q119" s="1499"/>
      <c r="R119" s="646"/>
    </row>
    <row r="120" spans="1:18" ht="13.5" thickBot="1" x14ac:dyDescent="0.25">
      <c r="A120" s="1453" t="s">
        <v>24</v>
      </c>
      <c r="B120" s="14" t="s">
        <v>20</v>
      </c>
      <c r="C120" s="2074" t="s">
        <v>27</v>
      </c>
      <c r="D120" s="2029"/>
      <c r="E120" s="2029"/>
      <c r="F120" s="2029"/>
      <c r="G120" s="2029"/>
      <c r="H120" s="1212">
        <f>H119+H117+H113+H110+H107+H96+H74</f>
        <v>2171889</v>
      </c>
      <c r="I120" s="1338">
        <f>I119+I113+I107+I110+I117+I96+I74</f>
        <v>7499</v>
      </c>
      <c r="J120" s="1339">
        <f t="shared" ref="J120:N120" si="11">J119+J113+J107+J110+J117+J96+J74</f>
        <v>82</v>
      </c>
      <c r="K120" s="1340">
        <f t="shared" si="11"/>
        <v>13</v>
      </c>
      <c r="L120" s="1341">
        <f t="shared" si="11"/>
        <v>7417</v>
      </c>
      <c r="M120" s="1251">
        <f t="shared" si="11"/>
        <v>1258340</v>
      </c>
      <c r="N120" s="1252">
        <f t="shared" si="11"/>
        <v>3161579</v>
      </c>
      <c r="O120" s="2014"/>
      <c r="P120" s="2015"/>
      <c r="Q120" s="2015"/>
      <c r="R120" s="2016"/>
    </row>
    <row r="121" spans="1:18" ht="12.75" customHeight="1" thickBot="1" x14ac:dyDescent="0.25">
      <c r="A121" s="1452" t="s">
        <v>24</v>
      </c>
      <c r="B121" s="14" t="s">
        <v>24</v>
      </c>
      <c r="C121" s="1408" t="s">
        <v>49</v>
      </c>
      <c r="D121" s="62"/>
      <c r="E121" s="62"/>
      <c r="F121" s="1467"/>
      <c r="G121" s="113"/>
      <c r="H121" s="1340"/>
      <c r="I121" s="1342"/>
      <c r="J121" s="1342"/>
      <c r="K121" s="1342"/>
      <c r="L121" s="1342"/>
      <c r="M121" s="1342"/>
      <c r="N121" s="1342"/>
      <c r="O121" s="62"/>
      <c r="P121" s="62"/>
      <c r="Q121" s="62"/>
      <c r="R121" s="1409"/>
    </row>
    <row r="122" spans="1:18" ht="27" customHeight="1" x14ac:dyDescent="0.2">
      <c r="A122" s="2034" t="s">
        <v>24</v>
      </c>
      <c r="B122" s="2036" t="s">
        <v>24</v>
      </c>
      <c r="C122" s="1465" t="s">
        <v>20</v>
      </c>
      <c r="D122" s="2045" t="s">
        <v>272</v>
      </c>
      <c r="E122" s="2323" t="s">
        <v>130</v>
      </c>
      <c r="F122" s="2017">
        <v>2</v>
      </c>
      <c r="G122" s="112" t="s">
        <v>22</v>
      </c>
      <c r="H122" s="1242">
        <v>0</v>
      </c>
      <c r="I122" s="1215">
        <f>J122+L122</f>
        <v>0</v>
      </c>
      <c r="J122" s="1216">
        <f>100-100</f>
        <v>0</v>
      </c>
      <c r="K122" s="1216"/>
      <c r="L122" s="1217"/>
      <c r="M122" s="1257">
        <f>100/3.4528*1000</f>
        <v>28962</v>
      </c>
      <c r="N122" s="1257">
        <f>100/3.4528*1000</f>
        <v>28962</v>
      </c>
      <c r="O122" s="2155" t="s">
        <v>87</v>
      </c>
      <c r="P122" s="727"/>
      <c r="Q122" s="727">
        <v>320</v>
      </c>
      <c r="R122" s="734">
        <v>320</v>
      </c>
    </row>
    <row r="123" spans="1:18" ht="13.5" thickBot="1" x14ac:dyDescent="0.25">
      <c r="A123" s="2035"/>
      <c r="B123" s="2037"/>
      <c r="C123" s="1466"/>
      <c r="D123" s="1958"/>
      <c r="E123" s="2325"/>
      <c r="F123" s="2018"/>
      <c r="G123" s="313" t="s">
        <v>23</v>
      </c>
      <c r="H123" s="1343">
        <f>H122</f>
        <v>0</v>
      </c>
      <c r="I123" s="1192">
        <f>J123+L123</f>
        <v>0</v>
      </c>
      <c r="J123" s="1198">
        <f>SUM(J122)</f>
        <v>0</v>
      </c>
      <c r="K123" s="1198"/>
      <c r="L123" s="1231"/>
      <c r="M123" s="1201">
        <f>SUM(M122)</f>
        <v>28962</v>
      </c>
      <c r="N123" s="1200">
        <f>SUM(N122)</f>
        <v>28962</v>
      </c>
      <c r="O123" s="2156"/>
      <c r="P123" s="129"/>
      <c r="Q123" s="129"/>
      <c r="R123" s="203"/>
    </row>
    <row r="124" spans="1:18" ht="12.75" customHeight="1" x14ac:dyDescent="0.2">
      <c r="A124" s="1451" t="s">
        <v>24</v>
      </c>
      <c r="B124" s="1455" t="s">
        <v>24</v>
      </c>
      <c r="C124" s="1465" t="s">
        <v>24</v>
      </c>
      <c r="D124" s="2344" t="s">
        <v>264</v>
      </c>
      <c r="E124" s="2347"/>
      <c r="F124" s="2350">
        <v>2</v>
      </c>
      <c r="G124" s="929" t="s">
        <v>22</v>
      </c>
      <c r="H124" s="1344">
        <f>1060/3.4528*1000</f>
        <v>306997</v>
      </c>
      <c r="I124" s="1208">
        <f>J124+L124</f>
        <v>1060</v>
      </c>
      <c r="J124" s="1345">
        <v>1060</v>
      </c>
      <c r="K124" s="1209"/>
      <c r="L124" s="1346"/>
      <c r="M124" s="1319">
        <f>900/3.4528*1000</f>
        <v>260658</v>
      </c>
      <c r="N124" s="1347">
        <f>900/3.4528*1000</f>
        <v>260658</v>
      </c>
      <c r="O124" s="814" t="s">
        <v>265</v>
      </c>
      <c r="P124" s="815">
        <v>315</v>
      </c>
      <c r="Q124" s="815">
        <v>250</v>
      </c>
      <c r="R124" s="816">
        <v>250</v>
      </c>
    </row>
    <row r="125" spans="1:18" ht="29.25" customHeight="1" x14ac:dyDescent="0.2">
      <c r="A125" s="1452"/>
      <c r="B125" s="1456"/>
      <c r="C125" s="1464"/>
      <c r="D125" s="2345"/>
      <c r="E125" s="2348"/>
      <c r="F125" s="2351"/>
      <c r="G125" s="988"/>
      <c r="H125" s="1153"/>
      <c r="I125" s="1181"/>
      <c r="J125" s="1348"/>
      <c r="K125" s="1204"/>
      <c r="L125" s="1178"/>
      <c r="M125" s="1160"/>
      <c r="N125" s="1178"/>
      <c r="O125" s="1484" t="s">
        <v>266</v>
      </c>
      <c r="P125" s="817">
        <v>15</v>
      </c>
      <c r="Q125" s="817">
        <v>3</v>
      </c>
      <c r="R125" s="818">
        <v>3</v>
      </c>
    </row>
    <row r="126" spans="1:18" ht="13.5" thickBot="1" x14ac:dyDescent="0.25">
      <c r="A126" s="1453"/>
      <c r="B126" s="819"/>
      <c r="C126" s="1466"/>
      <c r="D126" s="2346"/>
      <c r="E126" s="2349"/>
      <c r="F126" s="2352"/>
      <c r="G126" s="930" t="s">
        <v>23</v>
      </c>
      <c r="H126" s="1349">
        <f>SUM(H124:H125)</f>
        <v>306997</v>
      </c>
      <c r="I126" s="1236">
        <f>SUM(I124:I124)</f>
        <v>1060</v>
      </c>
      <c r="J126" s="1237">
        <f>SUM(J124:J124)</f>
        <v>1060</v>
      </c>
      <c r="K126" s="1309"/>
      <c r="L126" s="1206"/>
      <c r="M126" s="1205">
        <f>SUM(M124:M124)</f>
        <v>260658</v>
      </c>
      <c r="N126" s="1206">
        <f>SUM(N124:N124)</f>
        <v>260658</v>
      </c>
      <c r="O126" s="820" t="s">
        <v>128</v>
      </c>
      <c r="P126" s="821">
        <v>285</v>
      </c>
      <c r="Q126" s="821">
        <v>60</v>
      </c>
      <c r="R126" s="822">
        <v>60</v>
      </c>
    </row>
    <row r="127" spans="1:18" ht="13.5" thickBot="1" x14ac:dyDescent="0.25">
      <c r="A127" s="15" t="s">
        <v>24</v>
      </c>
      <c r="B127" s="14" t="s">
        <v>24</v>
      </c>
      <c r="C127" s="2074" t="s">
        <v>27</v>
      </c>
      <c r="D127" s="2029"/>
      <c r="E127" s="2029"/>
      <c r="F127" s="2029"/>
      <c r="G127" s="2029"/>
      <c r="H127" s="1212">
        <f>H126+H123</f>
        <v>306997</v>
      </c>
      <c r="I127" s="1213">
        <f t="shared" ref="I127:N127" si="12">I126+I123</f>
        <v>1060</v>
      </c>
      <c r="J127" s="1337">
        <f>J126+J123</f>
        <v>1060</v>
      </c>
      <c r="K127" s="1350">
        <f t="shared" si="12"/>
        <v>0</v>
      </c>
      <c r="L127" s="1351">
        <f t="shared" si="12"/>
        <v>0</v>
      </c>
      <c r="M127" s="1213">
        <f t="shared" si="12"/>
        <v>289620</v>
      </c>
      <c r="N127" s="1213">
        <f t="shared" si="12"/>
        <v>289620</v>
      </c>
      <c r="O127" s="2288"/>
      <c r="P127" s="2289"/>
      <c r="Q127" s="2289"/>
      <c r="R127" s="2290"/>
    </row>
    <row r="128" spans="1:18" ht="13.5" thickBot="1" x14ac:dyDescent="0.25">
      <c r="A128" s="1451" t="s">
        <v>24</v>
      </c>
      <c r="B128" s="134" t="s">
        <v>26</v>
      </c>
      <c r="C128" s="2353" t="s">
        <v>48</v>
      </c>
      <c r="D128" s="2008"/>
      <c r="E128" s="2008"/>
      <c r="F128" s="2008"/>
      <c r="G128" s="2008"/>
      <c r="H128" s="2008"/>
      <c r="I128" s="2008"/>
      <c r="J128" s="2008"/>
      <c r="K128" s="2008"/>
      <c r="L128" s="2008"/>
      <c r="M128" s="2008"/>
      <c r="N128" s="2008"/>
      <c r="O128" s="2008"/>
      <c r="P128" s="2008"/>
      <c r="Q128" s="2008"/>
      <c r="R128" s="2009"/>
    </row>
    <row r="129" spans="1:21" ht="25.5" customHeight="1" x14ac:dyDescent="0.2">
      <c r="A129" s="1448" t="s">
        <v>24</v>
      </c>
      <c r="B129" s="1455" t="s">
        <v>26</v>
      </c>
      <c r="C129" s="1465" t="s">
        <v>20</v>
      </c>
      <c r="D129" s="823" t="s">
        <v>50</v>
      </c>
      <c r="E129" s="1481"/>
      <c r="F129" s="824">
        <v>6</v>
      </c>
      <c r="G129" s="1500" t="s">
        <v>22</v>
      </c>
      <c r="H129" s="1352">
        <f>4348.2/3.4528*1000</f>
        <v>1259326</v>
      </c>
      <c r="I129" s="1208">
        <f>J129+L129</f>
        <v>4348</v>
      </c>
      <c r="J129" s="1353">
        <v>4268</v>
      </c>
      <c r="K129" s="1354"/>
      <c r="L129" s="1313">
        <v>80</v>
      </c>
      <c r="M129" s="1314">
        <f>4896/3.4528*1000</f>
        <v>1417980</v>
      </c>
      <c r="N129" s="1355">
        <f>4863/3.4528*1000</f>
        <v>1408422</v>
      </c>
      <c r="O129" s="827"/>
      <c r="P129" s="828"/>
      <c r="Q129" s="829"/>
      <c r="R129" s="675"/>
    </row>
    <row r="130" spans="1:21" ht="30" customHeight="1" x14ac:dyDescent="0.2">
      <c r="A130" s="1449"/>
      <c r="B130" s="1456"/>
      <c r="C130" s="1464"/>
      <c r="D130" s="830" t="s">
        <v>89</v>
      </c>
      <c r="E130" s="1470"/>
      <c r="F130" s="1483"/>
      <c r="G130" s="1501"/>
      <c r="H130" s="1356"/>
      <c r="I130" s="1170"/>
      <c r="J130" s="1172"/>
      <c r="K130" s="1316"/>
      <c r="L130" s="1358"/>
      <c r="M130" s="1160"/>
      <c r="N130" s="1160"/>
      <c r="O130" s="1459" t="s">
        <v>289</v>
      </c>
      <c r="P130" s="833">
        <v>13</v>
      </c>
      <c r="Q130" s="833">
        <v>14</v>
      </c>
      <c r="R130" s="834">
        <v>14</v>
      </c>
    </row>
    <row r="131" spans="1:21" ht="25.5" x14ac:dyDescent="0.2">
      <c r="A131" s="1449"/>
      <c r="B131" s="1456"/>
      <c r="C131" s="147"/>
      <c r="D131" s="830" t="s">
        <v>61</v>
      </c>
      <c r="E131" s="1470"/>
      <c r="F131" s="1483"/>
      <c r="G131" s="1501"/>
      <c r="H131" s="1356"/>
      <c r="I131" s="1170"/>
      <c r="J131" s="1357"/>
      <c r="K131" s="1316"/>
      <c r="L131" s="1358"/>
      <c r="M131" s="1160"/>
      <c r="N131" s="1160"/>
      <c r="O131" s="1459" t="s">
        <v>290</v>
      </c>
      <c r="P131" s="837">
        <v>95</v>
      </c>
      <c r="Q131" s="837">
        <v>95</v>
      </c>
      <c r="R131" s="838">
        <v>95</v>
      </c>
    </row>
    <row r="132" spans="1:21" s="4" customFormat="1" ht="25.5" x14ac:dyDescent="0.2">
      <c r="A132" s="1449"/>
      <c r="B132" s="1456"/>
      <c r="C132" s="1464"/>
      <c r="D132" s="839" t="s">
        <v>63</v>
      </c>
      <c r="E132" s="1470"/>
      <c r="F132" s="1468"/>
      <c r="G132" s="1501"/>
      <c r="H132" s="1356"/>
      <c r="I132" s="1170"/>
      <c r="J132" s="1357"/>
      <c r="K132" s="1316"/>
      <c r="L132" s="1358"/>
      <c r="M132" s="1160"/>
      <c r="N132" s="1160"/>
      <c r="O132" s="1458" t="s">
        <v>297</v>
      </c>
      <c r="P132" s="842">
        <v>30</v>
      </c>
      <c r="Q132" s="842">
        <v>30</v>
      </c>
      <c r="R132" s="843">
        <v>30</v>
      </c>
    </row>
    <row r="133" spans="1:21" ht="25.5" x14ac:dyDescent="0.2">
      <c r="A133" s="1449"/>
      <c r="B133" s="1456"/>
      <c r="C133" s="147"/>
      <c r="D133" s="830" t="s">
        <v>70</v>
      </c>
      <c r="E133" s="1470"/>
      <c r="F133" s="1483"/>
      <c r="G133" s="1501"/>
      <c r="H133" s="1356"/>
      <c r="I133" s="1170"/>
      <c r="J133" s="1357"/>
      <c r="K133" s="1316"/>
      <c r="L133" s="1358"/>
      <c r="M133" s="1160"/>
      <c r="N133" s="1160"/>
      <c r="O133" s="1459" t="s">
        <v>291</v>
      </c>
      <c r="P133" s="837">
        <v>6</v>
      </c>
      <c r="Q133" s="837">
        <v>5</v>
      </c>
      <c r="R133" s="838">
        <v>5</v>
      </c>
    </row>
    <row r="134" spans="1:21" s="4" customFormat="1" x14ac:dyDescent="0.2">
      <c r="A134" s="1449"/>
      <c r="B134" s="1456"/>
      <c r="C134" s="147"/>
      <c r="D134" s="830" t="s">
        <v>62</v>
      </c>
      <c r="E134" s="1482"/>
      <c r="F134" s="1483"/>
      <c r="G134" s="1501"/>
      <c r="H134" s="1356"/>
      <c r="I134" s="1170"/>
      <c r="J134" s="1357"/>
      <c r="K134" s="1316"/>
      <c r="L134" s="1358"/>
      <c r="M134" s="1160"/>
      <c r="N134" s="1160"/>
      <c r="O134" s="1459" t="s">
        <v>79</v>
      </c>
      <c r="P134" s="237">
        <v>40.1</v>
      </c>
      <c r="Q134" s="237">
        <v>40.1</v>
      </c>
      <c r="R134" s="694">
        <v>40.1</v>
      </c>
    </row>
    <row r="135" spans="1:21" x14ac:dyDescent="0.2">
      <c r="A135" s="1449"/>
      <c r="B135" s="1456"/>
      <c r="C135" s="1464"/>
      <c r="D135" s="839" t="s">
        <v>64</v>
      </c>
      <c r="E135" s="1482"/>
      <c r="F135" s="1483"/>
      <c r="G135" s="1501"/>
      <c r="H135" s="1356"/>
      <c r="I135" s="1170"/>
      <c r="J135" s="1172"/>
      <c r="K135" s="1410"/>
      <c r="L135" s="1411"/>
      <c r="M135" s="1160"/>
      <c r="N135" s="1160"/>
      <c r="O135" s="1496" t="s">
        <v>292</v>
      </c>
      <c r="P135" s="1497">
        <v>100</v>
      </c>
      <c r="Q135" s="1497">
        <v>100</v>
      </c>
      <c r="R135" s="1498">
        <v>100</v>
      </c>
    </row>
    <row r="136" spans="1:21" s="700" customFormat="1" ht="29.25" customHeight="1" x14ac:dyDescent="0.2">
      <c r="A136" s="1449"/>
      <c r="B136" s="1456"/>
      <c r="C136" s="1464"/>
      <c r="D136" s="869" t="s">
        <v>136</v>
      </c>
      <c r="E136" s="847"/>
      <c r="F136" s="1485"/>
      <c r="G136" s="1095"/>
      <c r="H136" s="1188"/>
      <c r="I136" s="1170"/>
      <c r="J136" s="1172"/>
      <c r="K136" s="1172"/>
      <c r="L136" s="1178"/>
      <c r="M136" s="1160"/>
      <c r="N136" s="1160"/>
      <c r="O136" s="866" t="s">
        <v>293</v>
      </c>
      <c r="P136" s="849">
        <v>11</v>
      </c>
      <c r="Q136" s="849">
        <v>13</v>
      </c>
      <c r="R136" s="850">
        <v>16</v>
      </c>
      <c r="S136" s="699"/>
      <c r="U136" s="701"/>
    </row>
    <row r="137" spans="1:21" s="700" customFormat="1" ht="30.75" customHeight="1" x14ac:dyDescent="0.2">
      <c r="A137" s="1449"/>
      <c r="B137" s="1456"/>
      <c r="C137" s="1464"/>
      <c r="D137" s="2334" t="s">
        <v>307</v>
      </c>
      <c r="E137" s="2336"/>
      <c r="F137" s="2338"/>
      <c r="G137" s="848"/>
      <c r="H137" s="1361"/>
      <c r="I137" s="1248"/>
      <c r="J137" s="1348"/>
      <c r="K137" s="1348"/>
      <c r="L137" s="1360"/>
      <c r="M137" s="1359"/>
      <c r="N137" s="1359"/>
      <c r="O137" s="1489" t="s">
        <v>294</v>
      </c>
      <c r="P137" s="849">
        <v>1</v>
      </c>
      <c r="Q137" s="849">
        <v>1</v>
      </c>
      <c r="R137" s="850">
        <v>1</v>
      </c>
      <c r="S137" s="699"/>
      <c r="U137" s="701"/>
    </row>
    <row r="138" spans="1:21" ht="13.5" thickBot="1" x14ac:dyDescent="0.25">
      <c r="A138" s="1449"/>
      <c r="B138" s="1456"/>
      <c r="C138" s="1464"/>
      <c r="D138" s="2335"/>
      <c r="E138" s="2337"/>
      <c r="F138" s="2339"/>
      <c r="G138" s="369" t="s">
        <v>23</v>
      </c>
      <c r="H138" s="1362">
        <f>SUM(H129:H137)</f>
        <v>1259326</v>
      </c>
      <c r="I138" s="1236">
        <f>SUM(I129:I137)</f>
        <v>4348</v>
      </c>
      <c r="J138" s="1236">
        <f t="shared" ref="J138:N138" si="13">SUM(J129:J137)</f>
        <v>4268</v>
      </c>
      <c r="K138" s="1236">
        <f t="shared" si="13"/>
        <v>0</v>
      </c>
      <c r="L138" s="1236">
        <f t="shared" si="13"/>
        <v>80</v>
      </c>
      <c r="M138" s="1236">
        <f t="shared" si="13"/>
        <v>1417980</v>
      </c>
      <c r="N138" s="1236">
        <f t="shared" si="13"/>
        <v>1408422</v>
      </c>
      <c r="O138" s="867"/>
      <c r="P138" s="79"/>
      <c r="Q138" s="1499"/>
      <c r="R138" s="646"/>
    </row>
    <row r="139" spans="1:21" ht="26.25" customHeight="1" x14ac:dyDescent="0.2">
      <c r="A139" s="1448" t="s">
        <v>24</v>
      </c>
      <c r="B139" s="1455" t="s">
        <v>26</v>
      </c>
      <c r="C139" s="1465" t="s">
        <v>24</v>
      </c>
      <c r="D139" s="2340" t="s">
        <v>253</v>
      </c>
      <c r="E139" s="2332" t="s">
        <v>134</v>
      </c>
      <c r="F139" s="2342">
        <v>6</v>
      </c>
      <c r="G139" s="851" t="s">
        <v>22</v>
      </c>
      <c r="H139" s="1352">
        <f>73/3.4528*1000</f>
        <v>21142</v>
      </c>
      <c r="I139" s="1208">
        <f>J139+L139</f>
        <v>73</v>
      </c>
      <c r="J139" s="1353"/>
      <c r="K139" s="1311"/>
      <c r="L139" s="1313">
        <v>73</v>
      </c>
      <c r="M139" s="1314">
        <f>210/3.4528*1000</f>
        <v>60820</v>
      </c>
      <c r="N139" s="1355">
        <f>320/3.4528*1000</f>
        <v>92678</v>
      </c>
      <c r="O139" s="2329" t="s">
        <v>135</v>
      </c>
      <c r="P139" s="776">
        <v>1</v>
      </c>
      <c r="Q139" s="777">
        <v>4</v>
      </c>
      <c r="R139" s="675">
        <v>6</v>
      </c>
    </row>
    <row r="140" spans="1:21" ht="13.5" thickBot="1" x14ac:dyDescent="0.25">
      <c r="A140" s="1450"/>
      <c r="B140" s="1457"/>
      <c r="C140" s="1466"/>
      <c r="D140" s="2341"/>
      <c r="E140" s="2333"/>
      <c r="F140" s="2343"/>
      <c r="G140" s="369" t="s">
        <v>23</v>
      </c>
      <c r="H140" s="1362">
        <f>SUM(H139)</f>
        <v>21142</v>
      </c>
      <c r="I140" s="1236">
        <f>J140+L140</f>
        <v>73</v>
      </c>
      <c r="J140" s="1237"/>
      <c r="K140" s="1237"/>
      <c r="L140" s="1239">
        <f>L139</f>
        <v>73</v>
      </c>
      <c r="M140" s="1205">
        <f>SUM(M139)</f>
        <v>60820</v>
      </c>
      <c r="N140" s="1206">
        <f>SUM(N139)</f>
        <v>92678</v>
      </c>
      <c r="O140" s="2330"/>
      <c r="P140" s="79"/>
      <c r="Q140" s="1499"/>
      <c r="R140" s="646"/>
    </row>
    <row r="141" spans="1:21" ht="30" customHeight="1" x14ac:dyDescent="0.2">
      <c r="A141" s="1984" t="s">
        <v>24</v>
      </c>
      <c r="B141" s="1959" t="s">
        <v>26</v>
      </c>
      <c r="C141" s="133" t="s">
        <v>26</v>
      </c>
      <c r="D141" s="2331" t="s">
        <v>59</v>
      </c>
      <c r="E141" s="2332"/>
      <c r="F141" s="2326">
        <v>2</v>
      </c>
      <c r="G141" s="852" t="s">
        <v>22</v>
      </c>
      <c r="H141" s="1363">
        <f>108/3.4528*1000</f>
        <v>31279</v>
      </c>
      <c r="I141" s="1364">
        <f>J141+L141</f>
        <v>108</v>
      </c>
      <c r="J141" s="1365">
        <v>108</v>
      </c>
      <c r="K141" s="1234"/>
      <c r="L141" s="1235"/>
      <c r="M141" s="1314">
        <f>100/3.4528*1000</f>
        <v>28962</v>
      </c>
      <c r="N141" s="1314">
        <f>100/3.4528*1000</f>
        <v>28962</v>
      </c>
      <c r="O141" s="2263" t="s">
        <v>295</v>
      </c>
      <c r="P141" s="854">
        <v>320</v>
      </c>
      <c r="Q141" s="855">
        <v>300</v>
      </c>
      <c r="R141" s="675">
        <v>300</v>
      </c>
    </row>
    <row r="142" spans="1:21" ht="13.5" thickBot="1" x14ac:dyDescent="0.25">
      <c r="A142" s="1985"/>
      <c r="B142" s="1961"/>
      <c r="C142" s="131"/>
      <c r="D142" s="2320"/>
      <c r="E142" s="2333"/>
      <c r="F142" s="2328"/>
      <c r="G142" s="369" t="s">
        <v>23</v>
      </c>
      <c r="H142" s="1366">
        <f>H141</f>
        <v>31279</v>
      </c>
      <c r="I142" s="1205">
        <f>J142+L142</f>
        <v>108</v>
      </c>
      <c r="J142" s="1299">
        <f>SUM(J141)</f>
        <v>108</v>
      </c>
      <c r="K142" s="1289"/>
      <c r="L142" s="1300"/>
      <c r="M142" s="1205">
        <f>SUM(M141)</f>
        <v>28962</v>
      </c>
      <c r="N142" s="1290">
        <f>SUM(N141)</f>
        <v>28962</v>
      </c>
      <c r="O142" s="2264"/>
      <c r="P142" s="79"/>
      <c r="Q142" s="1499"/>
      <c r="R142" s="646"/>
    </row>
    <row r="143" spans="1:21" x14ac:dyDescent="0.2">
      <c r="A143" s="1448" t="s">
        <v>24</v>
      </c>
      <c r="B143" s="1455" t="s">
        <v>26</v>
      </c>
      <c r="C143" s="133" t="s">
        <v>28</v>
      </c>
      <c r="D143" s="1474" t="s">
        <v>257</v>
      </c>
      <c r="E143" s="1480"/>
      <c r="F143" s="1477">
        <v>2</v>
      </c>
      <c r="G143" s="859" t="s">
        <v>22</v>
      </c>
      <c r="H143" s="1367"/>
      <c r="I143" s="1310"/>
      <c r="J143" s="1345"/>
      <c r="K143" s="1345"/>
      <c r="L143" s="1346"/>
      <c r="M143" s="1314">
        <f>250/3.4528*1000</f>
        <v>72405</v>
      </c>
      <c r="N143" s="1355"/>
      <c r="O143" s="879" t="s">
        <v>296</v>
      </c>
      <c r="P143" s="880"/>
      <c r="Q143" s="856">
        <v>10</v>
      </c>
      <c r="R143" s="675"/>
    </row>
    <row r="144" spans="1:21" ht="16.5" customHeight="1" x14ac:dyDescent="0.2">
      <c r="A144" s="1449"/>
      <c r="B144" s="1456"/>
      <c r="C144" s="132"/>
      <c r="D144" s="2319" t="s">
        <v>308</v>
      </c>
      <c r="E144" s="1475"/>
      <c r="F144" s="1478"/>
      <c r="G144" s="859"/>
      <c r="H144" s="1168"/>
      <c r="I144" s="1170"/>
      <c r="J144" s="1172"/>
      <c r="K144" s="1172"/>
      <c r="L144" s="1175"/>
      <c r="M144" s="1158"/>
      <c r="N144" s="1184"/>
      <c r="O144" s="879"/>
      <c r="P144" s="880"/>
      <c r="Q144" s="856"/>
      <c r="R144" s="622"/>
    </row>
    <row r="145" spans="1:23" ht="13.5" thickBot="1" x14ac:dyDescent="0.25">
      <c r="A145" s="1450"/>
      <c r="B145" s="1457"/>
      <c r="C145" s="131"/>
      <c r="D145" s="2320"/>
      <c r="E145" s="1476"/>
      <c r="F145" s="1479"/>
      <c r="G145" s="369" t="s">
        <v>23</v>
      </c>
      <c r="H145" s="1362"/>
      <c r="I145" s="1308">
        <f t="shared" ref="I145:L145" si="14">SUM(I144:I144)</f>
        <v>0</v>
      </c>
      <c r="J145" s="1309">
        <f t="shared" si="14"/>
        <v>0</v>
      </c>
      <c r="K145" s="1309">
        <f t="shared" si="14"/>
        <v>0</v>
      </c>
      <c r="L145" s="1206">
        <f t="shared" si="14"/>
        <v>0</v>
      </c>
      <c r="M145" s="1205">
        <f>SUM(M143:M144)</f>
        <v>72405</v>
      </c>
      <c r="N145" s="1206"/>
      <c r="O145" s="1424"/>
      <c r="P145" s="79"/>
      <c r="Q145" s="1499"/>
      <c r="R145" s="646"/>
    </row>
    <row r="146" spans="1:23" ht="63.75" customHeight="1" x14ac:dyDescent="0.2">
      <c r="A146" s="2034" t="s">
        <v>24</v>
      </c>
      <c r="B146" s="2036" t="s">
        <v>26</v>
      </c>
      <c r="C146" s="133" t="s">
        <v>29</v>
      </c>
      <c r="D146" s="2321" t="s">
        <v>279</v>
      </c>
      <c r="E146" s="2323" t="s">
        <v>130</v>
      </c>
      <c r="F146" s="2326">
        <v>2</v>
      </c>
      <c r="G146" s="543" t="s">
        <v>22</v>
      </c>
      <c r="H146" s="1367">
        <f>64/3.4528*1000</f>
        <v>18536</v>
      </c>
      <c r="I146" s="1310">
        <f>J146+L146</f>
        <v>64</v>
      </c>
      <c r="J146" s="1345"/>
      <c r="K146" s="1345"/>
      <c r="L146" s="1346">
        <v>64</v>
      </c>
      <c r="M146" s="1314">
        <f>74/3.4528*1000</f>
        <v>21432</v>
      </c>
      <c r="N146" s="1355">
        <f>67/3.4528*1000</f>
        <v>19405</v>
      </c>
      <c r="O146" s="857" t="s">
        <v>86</v>
      </c>
      <c r="P146" s="858">
        <v>9</v>
      </c>
      <c r="Q146" s="855">
        <v>10</v>
      </c>
      <c r="R146" s="675">
        <v>10</v>
      </c>
    </row>
    <row r="147" spans="1:23" ht="31.5" customHeight="1" x14ac:dyDescent="0.2">
      <c r="A147" s="2133"/>
      <c r="B147" s="1960"/>
      <c r="C147" s="132"/>
      <c r="D147" s="2322"/>
      <c r="E147" s="2324"/>
      <c r="F147" s="2327"/>
      <c r="G147" s="859"/>
      <c r="H147" s="1168"/>
      <c r="I147" s="1170"/>
      <c r="J147" s="1172"/>
      <c r="K147" s="1172"/>
      <c r="L147" s="1175"/>
      <c r="M147" s="1203"/>
      <c r="N147" s="1368"/>
      <c r="O147" s="860"/>
      <c r="P147" s="476"/>
      <c r="Q147" s="856"/>
      <c r="R147" s="622"/>
    </row>
    <row r="148" spans="1:23" ht="13.5" thickBot="1" x14ac:dyDescent="0.25">
      <c r="A148" s="2035"/>
      <c r="B148" s="2037"/>
      <c r="C148" s="131"/>
      <c r="D148" s="2320"/>
      <c r="E148" s="2325"/>
      <c r="F148" s="2328"/>
      <c r="G148" s="369" t="s">
        <v>23</v>
      </c>
      <c r="H148" s="1362">
        <f>SUM(H146:H147)</f>
        <v>18536</v>
      </c>
      <c r="I148" s="1308">
        <f>J148+L148</f>
        <v>64</v>
      </c>
      <c r="J148" s="1237"/>
      <c r="K148" s="1237"/>
      <c r="L148" s="1239">
        <f>SUM(L146)</f>
        <v>64</v>
      </c>
      <c r="M148" s="1205">
        <f>SUM(M146)</f>
        <v>21432</v>
      </c>
      <c r="N148" s="1206">
        <f>SUM(N146)</f>
        <v>19405</v>
      </c>
      <c r="O148" s="861"/>
      <c r="P148" s="79"/>
      <c r="Q148" s="1499"/>
      <c r="R148" s="646"/>
    </row>
    <row r="149" spans="1:23" ht="13.5" thickBot="1" x14ac:dyDescent="0.25">
      <c r="A149" s="31" t="s">
        <v>24</v>
      </c>
      <c r="B149" s="33" t="s">
        <v>26</v>
      </c>
      <c r="C149" s="2074" t="s">
        <v>27</v>
      </c>
      <c r="D149" s="2029"/>
      <c r="E149" s="2029"/>
      <c r="F149" s="2029"/>
      <c r="G149" s="2318"/>
      <c r="H149" s="1337">
        <f>H148+H145+H142+H140+H138</f>
        <v>1330283</v>
      </c>
      <c r="I149" s="1369">
        <f t="shared" ref="I149:N149" si="15">I148+I142+I140+I138+I145</f>
        <v>4593</v>
      </c>
      <c r="J149" s="1350">
        <f t="shared" si="15"/>
        <v>4376</v>
      </c>
      <c r="K149" s="1337">
        <f t="shared" si="15"/>
        <v>0</v>
      </c>
      <c r="L149" s="1370">
        <f t="shared" si="15"/>
        <v>217</v>
      </c>
      <c r="M149" s="1213">
        <f t="shared" si="15"/>
        <v>1601599</v>
      </c>
      <c r="N149" s="1213">
        <f t="shared" si="15"/>
        <v>1549467</v>
      </c>
      <c r="O149" s="2288"/>
      <c r="P149" s="2289"/>
      <c r="Q149" s="2289"/>
      <c r="R149" s="2290"/>
    </row>
    <row r="150" spans="1:23" ht="13.5" thickBot="1" x14ac:dyDescent="0.25">
      <c r="A150" s="31" t="s">
        <v>24</v>
      </c>
      <c r="B150" s="2131" t="s">
        <v>10</v>
      </c>
      <c r="C150" s="2131"/>
      <c r="D150" s="2131"/>
      <c r="E150" s="2131"/>
      <c r="F150" s="2131"/>
      <c r="G150" s="2131"/>
      <c r="H150" s="1253">
        <f>H149+H127+H120</f>
        <v>3809169</v>
      </c>
      <c r="I150" s="1371">
        <f>J150+L150</f>
        <v>13152</v>
      </c>
      <c r="J150" s="1372">
        <f>J149+J127+J120</f>
        <v>5518</v>
      </c>
      <c r="K150" s="1372">
        <f>K149+K127+K120</f>
        <v>13</v>
      </c>
      <c r="L150" s="1373">
        <f>L149+L127+L120</f>
        <v>7634</v>
      </c>
      <c r="M150" s="1253">
        <f>M149+M127+M120</f>
        <v>3149559</v>
      </c>
      <c r="N150" s="1374">
        <f>N149+N127+N120</f>
        <v>5000666</v>
      </c>
      <c r="O150" s="1967"/>
      <c r="P150" s="1968"/>
      <c r="Q150" s="1968"/>
      <c r="R150" s="1969"/>
    </row>
    <row r="151" spans="1:23" ht="14.25" customHeight="1" thickBot="1" x14ac:dyDescent="0.25">
      <c r="A151" s="34" t="s">
        <v>9</v>
      </c>
      <c r="B151" s="2132" t="s">
        <v>11</v>
      </c>
      <c r="C151" s="2132"/>
      <c r="D151" s="2132"/>
      <c r="E151" s="2132"/>
      <c r="F151" s="2132"/>
      <c r="G151" s="2132"/>
      <c r="H151" s="1375">
        <f>H150+H67</f>
        <v>59443089</v>
      </c>
      <c r="I151" s="1376">
        <f>J151+L151</f>
        <v>205246</v>
      </c>
      <c r="J151" s="1377">
        <f>J150+J67</f>
        <v>197312</v>
      </c>
      <c r="K151" s="1377">
        <f>K150+K67</f>
        <v>128507</v>
      </c>
      <c r="L151" s="1378">
        <f>L150+L67</f>
        <v>7934</v>
      </c>
      <c r="M151" s="1375">
        <f>M150+M67</f>
        <v>58748870</v>
      </c>
      <c r="N151" s="1379">
        <f>N150+N67</f>
        <v>60484708</v>
      </c>
      <c r="O151" s="2142"/>
      <c r="P151" s="2143"/>
      <c r="Q151" s="2143"/>
      <c r="R151" s="2144"/>
    </row>
    <row r="152" spans="1:23" s="210" customFormat="1" ht="14.25" customHeight="1" x14ac:dyDescent="0.2">
      <c r="A152" s="1087"/>
      <c r="B152" s="1088"/>
      <c r="C152" s="1088"/>
      <c r="D152" s="1088"/>
      <c r="E152" s="1088"/>
      <c r="F152" s="1088"/>
      <c r="G152" s="1088"/>
      <c r="H152" s="1380"/>
      <c r="I152" s="1380"/>
      <c r="J152" s="1380"/>
      <c r="K152" s="1380"/>
      <c r="L152" s="1380"/>
      <c r="M152" s="1380"/>
      <c r="N152" s="1380"/>
      <c r="O152" s="1086"/>
      <c r="P152" s="1086"/>
      <c r="Q152" s="1086"/>
      <c r="R152" s="1086"/>
    </row>
    <row r="153" spans="1:23" s="5" customFormat="1" ht="13.5" thickBot="1" x14ac:dyDescent="0.25">
      <c r="A153" s="2145" t="s">
        <v>2</v>
      </c>
      <c r="B153" s="2145"/>
      <c r="C153" s="2145"/>
      <c r="D153" s="2145"/>
      <c r="E153" s="2145"/>
      <c r="F153" s="2145"/>
      <c r="G153" s="2145"/>
      <c r="H153" s="2145"/>
      <c r="I153" s="2145"/>
      <c r="J153" s="2145"/>
      <c r="K153" s="2145"/>
      <c r="L153" s="2145"/>
      <c r="M153" s="2145"/>
      <c r="N153" s="2145"/>
      <c r="O153" s="260"/>
      <c r="P153" s="260"/>
      <c r="Q153" s="260"/>
      <c r="R153" s="96"/>
    </row>
    <row r="154" spans="1:23" s="6" customFormat="1" ht="39.75" customHeight="1" thickBot="1" x14ac:dyDescent="0.25">
      <c r="A154" s="2128" t="s">
        <v>3</v>
      </c>
      <c r="B154" s="2129"/>
      <c r="C154" s="2129"/>
      <c r="D154" s="2129"/>
      <c r="E154" s="2129"/>
      <c r="F154" s="2129"/>
      <c r="G154" s="2130"/>
      <c r="H154" s="1473" t="s">
        <v>277</v>
      </c>
      <c r="I154" s="2538" t="s">
        <v>277</v>
      </c>
      <c r="J154" s="2539"/>
      <c r="K154" s="2539"/>
      <c r="L154" s="2540"/>
      <c r="M154" s="1381" t="s">
        <v>278</v>
      </c>
      <c r="N154" s="1381" t="s">
        <v>278</v>
      </c>
      <c r="O154" s="72"/>
      <c r="P154" s="2141"/>
      <c r="Q154" s="2141"/>
      <c r="R154" s="61"/>
      <c r="U154" s="2"/>
      <c r="W154" s="2"/>
    </row>
    <row r="155" spans="1:23" s="6" customFormat="1" x14ac:dyDescent="0.2">
      <c r="A155" s="2111" t="s">
        <v>33</v>
      </c>
      <c r="B155" s="2112"/>
      <c r="C155" s="2112"/>
      <c r="D155" s="2112"/>
      <c r="E155" s="2112"/>
      <c r="F155" s="2112"/>
      <c r="G155" s="2113"/>
      <c r="H155" s="1382">
        <f>SUM(H156:H159)</f>
        <v>58105653</v>
      </c>
      <c r="I155" s="2541">
        <f>SUM(I156:L159)</f>
        <v>200598</v>
      </c>
      <c r="J155" s="2542"/>
      <c r="K155" s="2542"/>
      <c r="L155" s="2543"/>
      <c r="M155" s="1383">
        <f>SUM(M156:M159)</f>
        <v>57767377</v>
      </c>
      <c r="N155" s="1383">
        <f>SUM(N156:N159)</f>
        <v>57366572</v>
      </c>
      <c r="O155" s="73"/>
      <c r="P155" s="2115"/>
      <c r="Q155" s="2115"/>
      <c r="R155" s="61"/>
    </row>
    <row r="156" spans="1:23" s="6" customFormat="1" x14ac:dyDescent="0.2">
      <c r="A156" s="2100" t="s">
        <v>36</v>
      </c>
      <c r="B156" s="2101"/>
      <c r="C156" s="2101"/>
      <c r="D156" s="2101"/>
      <c r="E156" s="2101"/>
      <c r="F156" s="2101"/>
      <c r="G156" s="2102"/>
      <c r="H156" s="1384">
        <f>SUMIF(G12:G146,"sb",H12:H146)</f>
        <v>22906047</v>
      </c>
      <c r="I156" s="2544">
        <f>SUMIF(G12:G147,"sb",I12:I147)</f>
        <v>79060</v>
      </c>
      <c r="J156" s="2545"/>
      <c r="K156" s="2545"/>
      <c r="L156" s="2546"/>
      <c r="M156" s="1385">
        <f>SUMIF(G12:G148,"sb",M12:M148)</f>
        <v>22518449</v>
      </c>
      <c r="N156" s="1385">
        <f>SUMIF(G12:G148,"sb",N12:N148)</f>
        <v>22190773</v>
      </c>
      <c r="O156" s="71"/>
      <c r="P156" s="2114"/>
      <c r="Q156" s="2114"/>
      <c r="R156" s="61"/>
    </row>
    <row r="157" spans="1:23" s="6" customFormat="1" x14ac:dyDescent="0.2">
      <c r="A157" s="2100" t="s">
        <v>44</v>
      </c>
      <c r="B157" s="2101"/>
      <c r="C157" s="2101"/>
      <c r="D157" s="2101"/>
      <c r="E157" s="2101"/>
      <c r="F157" s="2101"/>
      <c r="G157" s="2102"/>
      <c r="H157" s="1384">
        <f>SUMIF(G12:G146,"sb(sp)",H12:H146)</f>
        <v>5008283</v>
      </c>
      <c r="I157" s="2550">
        <f>SUMIF(G12:G148,"sb(sp)",I12:I148)</f>
        <v>17293</v>
      </c>
      <c r="J157" s="2551"/>
      <c r="K157" s="2551"/>
      <c r="L157" s="2552"/>
      <c r="M157" s="1385">
        <f>SUMIF(G12:G148,"sb(sp)",M12:M148)</f>
        <v>5008283</v>
      </c>
      <c r="N157" s="1385">
        <f>SUMIF(G12:G148,"sb(sp)",N12:N148)</f>
        <v>5008283</v>
      </c>
      <c r="O157" s="71"/>
      <c r="P157" s="2114"/>
      <c r="Q157" s="2114"/>
      <c r="R157" s="61"/>
    </row>
    <row r="158" spans="1:23" s="6" customFormat="1" x14ac:dyDescent="0.2">
      <c r="A158" s="2100" t="s">
        <v>37</v>
      </c>
      <c r="B158" s="2101"/>
      <c r="C158" s="2101"/>
      <c r="D158" s="2101"/>
      <c r="E158" s="2101"/>
      <c r="F158" s="2101"/>
      <c r="G158" s="2102"/>
      <c r="H158" s="1384">
        <f>SUMIF(G12:G146,"sb(vb)",H12:H146)</f>
        <v>30191323</v>
      </c>
      <c r="I158" s="2544">
        <f>SUMIF(G12:G148,"sb(vb)",I12:I148)</f>
        <v>104245</v>
      </c>
      <c r="J158" s="2545"/>
      <c r="K158" s="2545"/>
      <c r="L158" s="2546"/>
      <c r="M158" s="1386">
        <f>SUMIF(G12:G146,G13,M12:M146)</f>
        <v>30197202</v>
      </c>
      <c r="N158" s="1386">
        <f>SUMIF(G12:G146,G13,N12:N146)</f>
        <v>30167516</v>
      </c>
      <c r="O158" s="71"/>
      <c r="P158" s="2114"/>
      <c r="Q158" s="2114"/>
      <c r="R158" s="61"/>
    </row>
    <row r="159" spans="1:23" s="6" customFormat="1" ht="13.5" thickBot="1" x14ac:dyDescent="0.25">
      <c r="A159" s="2100" t="s">
        <v>54</v>
      </c>
      <c r="B159" s="2101"/>
      <c r="C159" s="2101"/>
      <c r="D159" s="2101"/>
      <c r="E159" s="2101"/>
      <c r="F159" s="2101"/>
      <c r="G159" s="2102"/>
      <c r="H159" s="1384">
        <f>SUMIF(G12:G146,"sb(p)",H12:H146)</f>
        <v>0</v>
      </c>
      <c r="I159" s="2547">
        <f>SUMIF(G15:G148,"sb(p)",I15:I148)</f>
        <v>0</v>
      </c>
      <c r="J159" s="2548"/>
      <c r="K159" s="2548"/>
      <c r="L159" s="2549"/>
      <c r="M159" s="1387">
        <f>SUMIF(G15:G148,"sb(p)",M15:M148)</f>
        <v>43443</v>
      </c>
      <c r="N159" s="1387">
        <f>SUMIF(G15:G148,#REF!,N15:N148)</f>
        <v>0</v>
      </c>
      <c r="O159" s="71"/>
      <c r="P159" s="2114"/>
      <c r="Q159" s="2114"/>
      <c r="R159" s="61"/>
    </row>
    <row r="160" spans="1:23" s="6" customFormat="1" ht="13.5" thickBot="1" x14ac:dyDescent="0.25">
      <c r="A160" s="2088" t="s">
        <v>34</v>
      </c>
      <c r="B160" s="2089"/>
      <c r="C160" s="2089"/>
      <c r="D160" s="2089"/>
      <c r="E160" s="2089"/>
      <c r="F160" s="2089"/>
      <c r="G160" s="2090"/>
      <c r="H160" s="1388">
        <f>SUM(H161:H162)</f>
        <v>1337436</v>
      </c>
      <c r="I160" s="2555">
        <f>SUM(I161:L162)</f>
        <v>4618</v>
      </c>
      <c r="J160" s="2556"/>
      <c r="K160" s="2556"/>
      <c r="L160" s="2557"/>
      <c r="M160" s="1389">
        <f>SUM(M161:M162)</f>
        <v>981493</v>
      </c>
      <c r="N160" s="1389">
        <f>SUM(N161:N161)</f>
        <v>3118136</v>
      </c>
      <c r="O160" s="55"/>
      <c r="P160" s="2151"/>
      <c r="Q160" s="2151"/>
      <c r="R160" s="61"/>
      <c r="T160" s="209"/>
    </row>
    <row r="161" spans="1:18" s="6" customFormat="1" x14ac:dyDescent="0.2">
      <c r="A161" s="2091" t="s">
        <v>38</v>
      </c>
      <c r="B161" s="2092"/>
      <c r="C161" s="2092"/>
      <c r="D161" s="2092"/>
      <c r="E161" s="2092"/>
      <c r="F161" s="2092"/>
      <c r="G161" s="2093"/>
      <c r="H161" s="1390">
        <f>SUMIF(G12:G146,"es",H12:H146)</f>
        <v>319422</v>
      </c>
      <c r="I161" s="2547">
        <f>SUMIF(G15:G148,"es",I15:I148)</f>
        <v>1103</v>
      </c>
      <c r="J161" s="2548"/>
      <c r="K161" s="2548"/>
      <c r="L161" s="2548"/>
      <c r="M161" s="1391">
        <f>SUMIF(G15:G146,"es",M15:M146)</f>
        <v>112633</v>
      </c>
      <c r="N161" s="1391">
        <f>SUMIF(G15:G148,"es",N15:N148)</f>
        <v>3118136</v>
      </c>
      <c r="O161" s="45"/>
      <c r="P161" s="2148"/>
      <c r="Q161" s="2148"/>
      <c r="R161" s="61"/>
    </row>
    <row r="162" spans="1:18" s="6" customFormat="1" ht="13.5" thickBot="1" x14ac:dyDescent="0.25">
      <c r="A162" s="2305" t="s">
        <v>271</v>
      </c>
      <c r="B162" s="2306"/>
      <c r="C162" s="2306"/>
      <c r="D162" s="2306"/>
      <c r="E162" s="2306"/>
      <c r="F162" s="2306"/>
      <c r="G162" s="2307"/>
      <c r="H162" s="1392">
        <f>SUMIF(G12:G146,"KVJUD ",H12:H146)</f>
        <v>1018014</v>
      </c>
      <c r="I162" s="2544">
        <f>SUMIF(G12:G146,G115,I12:I146)</f>
        <v>3515</v>
      </c>
      <c r="J162" s="2545"/>
      <c r="K162" s="2545"/>
      <c r="L162" s="2546"/>
      <c r="M162" s="1393">
        <f>SUMIF(G12:G146,"KVJUD ",M12:M146)</f>
        <v>868860</v>
      </c>
      <c r="N162" s="1393"/>
      <c r="O162" s="45"/>
      <c r="P162" s="1446"/>
      <c r="Q162" s="1446"/>
      <c r="R162" s="61"/>
    </row>
    <row r="163" spans="1:18" ht="13.5" thickBot="1" x14ac:dyDescent="0.25">
      <c r="A163" s="2085" t="s">
        <v>35</v>
      </c>
      <c r="B163" s="2086"/>
      <c r="C163" s="2086"/>
      <c r="D163" s="2086"/>
      <c r="E163" s="2086"/>
      <c r="F163" s="2086"/>
      <c r="G163" s="2087"/>
      <c r="H163" s="1394">
        <f>H160+H155</f>
        <v>59443089</v>
      </c>
      <c r="I163" s="2553">
        <f>I160+I155</f>
        <v>205216</v>
      </c>
      <c r="J163" s="2554"/>
      <c r="K163" s="2554"/>
      <c r="L163" s="2554"/>
      <c r="M163" s="1395">
        <f>M155+M160</f>
        <v>58748870</v>
      </c>
      <c r="N163" s="1395">
        <f>N160+N155</f>
        <v>60484708</v>
      </c>
      <c r="O163" s="73"/>
      <c r="P163" s="2115"/>
      <c r="Q163" s="2115"/>
    </row>
    <row r="165" spans="1:18" x14ac:dyDescent="0.2">
      <c r="D165" s="2"/>
      <c r="E165" s="215"/>
      <c r="F165" s="1419"/>
      <c r="G165" s="114"/>
      <c r="H165" s="1396"/>
      <c r="I165" s="1397"/>
      <c r="J165" s="1398"/>
      <c r="K165" s="1399"/>
      <c r="L165" s="1400"/>
      <c r="M165" s="1400"/>
      <c r="N165" s="1400"/>
    </row>
    <row r="166" spans="1:18" x14ac:dyDescent="0.2">
      <c r="D166" s="2"/>
      <c r="E166" s="215"/>
      <c r="F166" s="1419"/>
      <c r="G166" s="114"/>
      <c r="H166" s="1396"/>
      <c r="I166" s="1400"/>
      <c r="J166" s="1399"/>
      <c r="K166" s="1399"/>
      <c r="L166" s="1400"/>
      <c r="M166" s="1400"/>
      <c r="N166" s="1400"/>
      <c r="P166" s="709"/>
    </row>
    <row r="167" spans="1:18" x14ac:dyDescent="0.2">
      <c r="D167" s="2"/>
      <c r="E167" s="215"/>
      <c r="F167" s="1419"/>
      <c r="G167" s="114"/>
      <c r="H167" s="1396"/>
      <c r="I167" s="1400"/>
      <c r="J167" s="1401"/>
      <c r="K167" s="1399"/>
      <c r="L167" s="1400"/>
      <c r="M167" s="1400"/>
      <c r="N167" s="1400"/>
    </row>
    <row r="168" spans="1:18" x14ac:dyDescent="0.2">
      <c r="D168" s="2"/>
      <c r="E168" s="215"/>
      <c r="F168" s="1419"/>
      <c r="G168" s="114"/>
      <c r="H168" s="1396"/>
      <c r="I168" s="1400"/>
      <c r="J168" s="1400"/>
      <c r="K168" s="1400"/>
      <c r="L168" s="1400"/>
      <c r="M168" s="1400"/>
      <c r="N168" s="1400"/>
    </row>
    <row r="169" spans="1:18" x14ac:dyDescent="0.2">
      <c r="D169" s="2"/>
      <c r="E169" s="215"/>
      <c r="F169" s="1419"/>
      <c r="G169" s="114"/>
      <c r="H169" s="1396"/>
      <c r="I169" s="1400"/>
      <c r="J169" s="1400"/>
      <c r="K169" s="1400"/>
      <c r="L169" s="1400"/>
      <c r="M169" s="1400"/>
      <c r="N169" s="1400"/>
    </row>
    <row r="170" spans="1:18" x14ac:dyDescent="0.2">
      <c r="D170" s="2"/>
      <c r="E170" s="215"/>
      <c r="F170" s="1419"/>
      <c r="G170" s="114"/>
      <c r="H170" s="1396"/>
      <c r="I170" s="1400"/>
      <c r="J170" s="1400"/>
      <c r="K170" s="1400"/>
      <c r="L170" s="1400"/>
      <c r="M170" s="1400"/>
      <c r="N170" s="1400"/>
      <c r="O170" s="2"/>
    </row>
    <row r="171" spans="1:18" x14ac:dyDescent="0.2">
      <c r="D171" s="2"/>
      <c r="E171" s="215"/>
      <c r="F171" s="1419"/>
      <c r="G171" s="114"/>
      <c r="H171" s="1396"/>
      <c r="I171" s="1400"/>
      <c r="J171" s="1400"/>
      <c r="K171" s="1400"/>
      <c r="L171" s="1400"/>
      <c r="M171" s="1400"/>
      <c r="N171" s="1400"/>
    </row>
    <row r="172" spans="1:18" x14ac:dyDescent="0.2">
      <c r="D172" s="2"/>
      <c r="E172" s="215"/>
      <c r="F172" s="1419"/>
      <c r="G172" s="114"/>
      <c r="H172" s="1396"/>
      <c r="I172" s="1400"/>
      <c r="J172" s="1400"/>
      <c r="K172" s="1400"/>
      <c r="L172" s="1400"/>
      <c r="M172" s="1400"/>
      <c r="N172" s="1400"/>
    </row>
    <row r="173" spans="1:18" x14ac:dyDescent="0.2">
      <c r="D173" s="2"/>
      <c r="E173" s="215"/>
      <c r="F173" s="1419"/>
      <c r="G173" s="114"/>
      <c r="H173" s="1396"/>
      <c r="I173" s="1400"/>
      <c r="J173" s="1400"/>
      <c r="K173" s="1400"/>
      <c r="L173" s="1400"/>
      <c r="M173" s="1400"/>
      <c r="N173" s="1400"/>
    </row>
    <row r="174" spans="1:18" x14ac:dyDescent="0.2">
      <c r="D174" s="2"/>
      <c r="E174" s="215"/>
      <c r="F174" s="1419"/>
      <c r="G174" s="114"/>
      <c r="H174" s="1396"/>
      <c r="I174" s="1400"/>
      <c r="J174" s="1400"/>
      <c r="K174" s="1400"/>
      <c r="L174" s="1400"/>
      <c r="M174" s="1400"/>
      <c r="N174" s="1400"/>
    </row>
    <row r="175" spans="1:18" x14ac:dyDescent="0.2">
      <c r="D175" s="2"/>
      <c r="E175" s="215"/>
      <c r="F175" s="1419"/>
      <c r="G175" s="114"/>
      <c r="H175" s="1396"/>
      <c r="I175" s="1400"/>
      <c r="J175" s="1400"/>
      <c r="K175" s="1400"/>
      <c r="L175" s="1400"/>
      <c r="M175" s="1400"/>
      <c r="N175" s="1400"/>
    </row>
    <row r="176" spans="1:18" x14ac:dyDescent="0.2">
      <c r="A176" s="2"/>
      <c r="B176" s="2"/>
      <c r="C176" s="2"/>
      <c r="D176" s="2"/>
      <c r="E176" s="215"/>
      <c r="F176" s="1419"/>
      <c r="G176" s="114"/>
      <c r="H176" s="1396"/>
      <c r="I176" s="1400"/>
      <c r="J176" s="1400"/>
      <c r="K176" s="1400"/>
      <c r="L176" s="1400"/>
      <c r="M176" s="1400"/>
      <c r="N176" s="1400"/>
      <c r="O176" s="2"/>
      <c r="P176" s="2"/>
      <c r="Q176" s="2"/>
      <c r="R176" s="2"/>
    </row>
    <row r="177" spans="1:18" x14ac:dyDescent="0.2">
      <c r="A177" s="2"/>
      <c r="B177" s="2"/>
      <c r="C177" s="2"/>
      <c r="D177" s="2"/>
      <c r="E177" s="215"/>
      <c r="F177" s="1419"/>
      <c r="G177" s="114"/>
      <c r="H177" s="1396"/>
      <c r="I177" s="1400"/>
      <c r="J177" s="1400"/>
      <c r="K177" s="1400"/>
      <c r="L177" s="1400"/>
      <c r="M177" s="1400"/>
      <c r="N177" s="1400"/>
      <c r="O177" s="2"/>
      <c r="P177" s="2"/>
      <c r="Q177" s="2"/>
      <c r="R177" s="2"/>
    </row>
    <row r="178" spans="1:18" x14ac:dyDescent="0.2">
      <c r="A178" s="2"/>
      <c r="B178" s="2"/>
      <c r="C178" s="2"/>
      <c r="D178" s="2"/>
      <c r="E178" s="215"/>
      <c r="F178" s="1419"/>
      <c r="G178" s="114"/>
      <c r="H178" s="1396"/>
      <c r="I178" s="1400"/>
      <c r="J178" s="1400"/>
      <c r="K178" s="1400"/>
      <c r="L178" s="1400"/>
      <c r="M178" s="1400"/>
      <c r="N178" s="1400"/>
      <c r="O178" s="2"/>
      <c r="P178" s="2"/>
      <c r="Q178" s="2"/>
      <c r="R178" s="2"/>
    </row>
    <row r="179" spans="1:18" x14ac:dyDescent="0.2">
      <c r="A179" s="2"/>
      <c r="B179" s="2"/>
      <c r="C179" s="2"/>
      <c r="D179" s="2"/>
      <c r="E179" s="215"/>
      <c r="F179" s="1419"/>
      <c r="G179" s="114"/>
      <c r="H179" s="1396"/>
      <c r="I179" s="1400"/>
      <c r="J179" s="1400"/>
      <c r="K179" s="1400"/>
      <c r="L179" s="1400"/>
      <c r="M179" s="1400"/>
      <c r="N179" s="1400"/>
      <c r="O179" s="2"/>
      <c r="P179" s="2"/>
      <c r="Q179" s="2"/>
      <c r="R179" s="2"/>
    </row>
    <row r="180" spans="1:18" x14ac:dyDescent="0.2">
      <c r="A180" s="2"/>
      <c r="B180" s="2"/>
      <c r="C180" s="2"/>
      <c r="D180" s="2"/>
      <c r="E180" s="215"/>
      <c r="F180" s="1419"/>
      <c r="G180" s="114"/>
      <c r="H180" s="1396"/>
      <c r="I180" s="1400"/>
      <c r="J180" s="1400"/>
      <c r="K180" s="1400"/>
      <c r="L180" s="1400"/>
      <c r="M180" s="1400"/>
      <c r="N180" s="1400"/>
      <c r="O180" s="2"/>
      <c r="P180" s="2"/>
      <c r="Q180" s="2"/>
      <c r="R180" s="2"/>
    </row>
    <row r="181" spans="1:18" x14ac:dyDescent="0.2">
      <c r="A181" s="2"/>
      <c r="B181" s="2"/>
      <c r="C181" s="2"/>
      <c r="D181" s="2"/>
      <c r="E181" s="215"/>
      <c r="F181" s="1419"/>
      <c r="G181" s="114"/>
      <c r="H181" s="1396"/>
      <c r="I181" s="1400"/>
      <c r="J181" s="1400"/>
      <c r="K181" s="1400"/>
      <c r="L181" s="1400"/>
      <c r="M181" s="1400"/>
      <c r="N181" s="1400"/>
      <c r="O181" s="2"/>
      <c r="P181" s="2"/>
      <c r="Q181" s="2"/>
      <c r="R181" s="2"/>
    </row>
    <row r="182" spans="1:18" x14ac:dyDescent="0.2">
      <c r="A182" s="2"/>
      <c r="B182" s="2"/>
      <c r="C182" s="2"/>
      <c r="D182" s="2"/>
      <c r="E182" s="215"/>
      <c r="F182" s="1419"/>
      <c r="G182" s="114"/>
      <c r="H182" s="1396"/>
      <c r="I182" s="1400"/>
      <c r="J182" s="1400"/>
      <c r="K182" s="1400"/>
      <c r="L182" s="1400"/>
      <c r="M182" s="1400"/>
      <c r="N182" s="1400"/>
      <c r="O182" s="2"/>
      <c r="P182" s="2"/>
      <c r="Q182" s="2"/>
      <c r="R182" s="2"/>
    </row>
    <row r="183" spans="1:18" x14ac:dyDescent="0.2">
      <c r="A183" s="2"/>
      <c r="B183" s="2"/>
      <c r="C183" s="2"/>
      <c r="D183" s="2"/>
      <c r="E183" s="215"/>
      <c r="F183" s="1419"/>
      <c r="G183" s="114"/>
      <c r="H183" s="1396"/>
      <c r="I183" s="1400"/>
      <c r="J183" s="1400"/>
      <c r="K183" s="1400"/>
      <c r="L183" s="1400"/>
      <c r="M183" s="1400"/>
      <c r="N183" s="1400"/>
      <c r="O183" s="2"/>
      <c r="P183" s="2"/>
      <c r="Q183" s="2"/>
      <c r="R183" s="2"/>
    </row>
    <row r="184" spans="1:18" x14ac:dyDescent="0.2">
      <c r="A184" s="2"/>
      <c r="B184" s="2"/>
      <c r="C184" s="2"/>
      <c r="D184" s="2"/>
      <c r="E184" s="215"/>
      <c r="F184" s="1419"/>
      <c r="G184" s="114"/>
      <c r="H184" s="1396"/>
      <c r="I184" s="1400"/>
      <c r="J184" s="1400"/>
      <c r="K184" s="1400"/>
      <c r="L184" s="1400"/>
      <c r="M184" s="1400"/>
      <c r="N184" s="1400"/>
      <c r="O184" s="2"/>
      <c r="P184" s="2"/>
      <c r="Q184" s="2"/>
      <c r="R184" s="2"/>
    </row>
    <row r="185" spans="1:18" x14ac:dyDescent="0.2">
      <c r="A185" s="2"/>
      <c r="B185" s="2"/>
      <c r="C185" s="2"/>
      <c r="D185" s="2"/>
      <c r="E185" s="215"/>
      <c r="F185" s="1419"/>
      <c r="G185" s="114"/>
      <c r="H185" s="1396"/>
      <c r="I185" s="1400"/>
      <c r="J185" s="1400"/>
      <c r="K185" s="1400"/>
      <c r="L185" s="1400"/>
      <c r="M185" s="1400"/>
      <c r="N185" s="1400"/>
      <c r="O185" s="2"/>
      <c r="P185" s="2"/>
      <c r="Q185" s="2"/>
      <c r="R185" s="2"/>
    </row>
    <row r="186" spans="1:18" x14ac:dyDescent="0.2">
      <c r="A186" s="2"/>
      <c r="B186" s="2"/>
      <c r="C186" s="2"/>
      <c r="D186" s="2"/>
      <c r="E186" s="215"/>
      <c r="F186" s="1419"/>
      <c r="G186" s="114"/>
      <c r="H186" s="1396"/>
      <c r="I186" s="1400"/>
      <c r="J186" s="1400"/>
      <c r="K186" s="1400"/>
      <c r="L186" s="1400"/>
      <c r="M186" s="1400"/>
      <c r="N186" s="1400"/>
      <c r="O186" s="2"/>
      <c r="P186" s="2"/>
      <c r="Q186" s="2"/>
      <c r="R186" s="2"/>
    </row>
    <row r="187" spans="1:18" x14ac:dyDescent="0.2">
      <c r="A187" s="2"/>
      <c r="B187" s="2"/>
      <c r="C187" s="2"/>
      <c r="D187" s="2"/>
      <c r="E187" s="215"/>
      <c r="F187" s="1419"/>
      <c r="G187" s="114"/>
      <c r="H187" s="1396"/>
      <c r="I187" s="1400"/>
      <c r="J187" s="1400"/>
      <c r="K187" s="1400"/>
      <c r="L187" s="1400"/>
      <c r="M187" s="1400"/>
      <c r="N187" s="1400"/>
      <c r="O187" s="2"/>
      <c r="P187" s="2"/>
      <c r="Q187" s="2"/>
      <c r="R187" s="2"/>
    </row>
    <row r="188" spans="1:18" x14ac:dyDescent="0.2">
      <c r="A188" s="2"/>
      <c r="B188" s="2"/>
      <c r="C188" s="2"/>
      <c r="D188" s="2"/>
      <c r="E188" s="215"/>
      <c r="F188" s="1419"/>
      <c r="G188" s="114"/>
      <c r="H188" s="1396"/>
      <c r="I188" s="1400"/>
      <c r="J188" s="1400"/>
      <c r="K188" s="1400"/>
      <c r="L188" s="1400"/>
      <c r="M188" s="1400"/>
      <c r="N188" s="1400"/>
      <c r="O188" s="2"/>
      <c r="P188" s="2"/>
      <c r="Q188" s="2"/>
      <c r="R188" s="2"/>
    </row>
  </sheetData>
  <mergeCells count="250">
    <mergeCell ref="A162:G162"/>
    <mergeCell ref="I162:L162"/>
    <mergeCell ref="A163:G163"/>
    <mergeCell ref="I163:L163"/>
    <mergeCell ref="P163:Q163"/>
    <mergeCell ref="A160:G160"/>
    <mergeCell ref="I160:L160"/>
    <mergeCell ref="P160:Q160"/>
    <mergeCell ref="A161:G161"/>
    <mergeCell ref="I161:L161"/>
    <mergeCell ref="P161:Q161"/>
    <mergeCell ref="A158:G158"/>
    <mergeCell ref="I158:L158"/>
    <mergeCell ref="P158:Q158"/>
    <mergeCell ref="A159:G159"/>
    <mergeCell ref="I159:L159"/>
    <mergeCell ref="P159:Q159"/>
    <mergeCell ref="A156:G156"/>
    <mergeCell ref="I156:L156"/>
    <mergeCell ref="P156:Q156"/>
    <mergeCell ref="A157:G157"/>
    <mergeCell ref="I157:L157"/>
    <mergeCell ref="P157:Q157"/>
    <mergeCell ref="A153:N153"/>
    <mergeCell ref="A154:G154"/>
    <mergeCell ref="I154:L154"/>
    <mergeCell ref="P154:Q154"/>
    <mergeCell ref="A155:G155"/>
    <mergeCell ref="I155:L155"/>
    <mergeCell ref="P155:Q155"/>
    <mergeCell ref="C149:G149"/>
    <mergeCell ref="O149:R149"/>
    <mergeCell ref="B150:G150"/>
    <mergeCell ref="O150:R150"/>
    <mergeCell ref="B151:G151"/>
    <mergeCell ref="O151:R151"/>
    <mergeCell ref="D144:D145"/>
    <mergeCell ref="A146:A148"/>
    <mergeCell ref="B146:B148"/>
    <mergeCell ref="D146:D148"/>
    <mergeCell ref="E146:E148"/>
    <mergeCell ref="F146:F148"/>
    <mergeCell ref="O139:O140"/>
    <mergeCell ref="A141:A142"/>
    <mergeCell ref="B141:B142"/>
    <mergeCell ref="D141:D142"/>
    <mergeCell ref="E141:E142"/>
    <mergeCell ref="F141:F142"/>
    <mergeCell ref="O141:O142"/>
    <mergeCell ref="D137:D138"/>
    <mergeCell ref="E137:E138"/>
    <mergeCell ref="F137:F138"/>
    <mergeCell ref="D139:D140"/>
    <mergeCell ref="E139:E140"/>
    <mergeCell ref="F139:F140"/>
    <mergeCell ref="D124:D126"/>
    <mergeCell ref="E124:E126"/>
    <mergeCell ref="F124:F126"/>
    <mergeCell ref="C127:G127"/>
    <mergeCell ref="O127:R127"/>
    <mergeCell ref="C128:R128"/>
    <mergeCell ref="D118:D119"/>
    <mergeCell ref="E118:E119"/>
    <mergeCell ref="C120:G120"/>
    <mergeCell ref="O120:R120"/>
    <mergeCell ref="A122:A123"/>
    <mergeCell ref="B122:B123"/>
    <mergeCell ref="D122:D123"/>
    <mergeCell ref="E122:E123"/>
    <mergeCell ref="F122:F123"/>
    <mergeCell ref="O122:O123"/>
    <mergeCell ref="D111:D113"/>
    <mergeCell ref="E111:E113"/>
    <mergeCell ref="F111:F113"/>
    <mergeCell ref="O111:O113"/>
    <mergeCell ref="D115:D117"/>
    <mergeCell ref="E115:E117"/>
    <mergeCell ref="F115:F116"/>
    <mergeCell ref="O116:O117"/>
    <mergeCell ref="P105:P107"/>
    <mergeCell ref="Q105:Q107"/>
    <mergeCell ref="R105:R107"/>
    <mergeCell ref="E107:G107"/>
    <mergeCell ref="D108:D110"/>
    <mergeCell ref="E108:E109"/>
    <mergeCell ref="F108:F110"/>
    <mergeCell ref="O108:O110"/>
    <mergeCell ref="F94:F96"/>
    <mergeCell ref="D98:D101"/>
    <mergeCell ref="O98:O102"/>
    <mergeCell ref="D103:D104"/>
    <mergeCell ref="D105:D107"/>
    <mergeCell ref="O105:O107"/>
    <mergeCell ref="D85:D87"/>
    <mergeCell ref="D88:D90"/>
    <mergeCell ref="E89:E90"/>
    <mergeCell ref="D91:D93"/>
    <mergeCell ref="E92:E93"/>
    <mergeCell ref="C94:C96"/>
    <mergeCell ref="D94:D96"/>
    <mergeCell ref="C69:R69"/>
    <mergeCell ref="D71:D74"/>
    <mergeCell ref="O71:O73"/>
    <mergeCell ref="D76:D78"/>
    <mergeCell ref="D79:D81"/>
    <mergeCell ref="D82:D84"/>
    <mergeCell ref="O64:O65"/>
    <mergeCell ref="C66:G66"/>
    <mergeCell ref="P66:R66"/>
    <mergeCell ref="B67:G67"/>
    <mergeCell ref="O67:R67"/>
    <mergeCell ref="B68:R68"/>
    <mergeCell ref="A62:A63"/>
    <mergeCell ref="C62:C63"/>
    <mergeCell ref="D62:D63"/>
    <mergeCell ref="E62:E63"/>
    <mergeCell ref="F62:F63"/>
    <mergeCell ref="A64:A65"/>
    <mergeCell ref="C64:C65"/>
    <mergeCell ref="D64:D65"/>
    <mergeCell ref="E64:E65"/>
    <mergeCell ref="F64:F65"/>
    <mergeCell ref="A60:A61"/>
    <mergeCell ref="B60:B61"/>
    <mergeCell ref="C60:C61"/>
    <mergeCell ref="D60:D61"/>
    <mergeCell ref="E60:E61"/>
    <mergeCell ref="F60:F61"/>
    <mergeCell ref="A57:A59"/>
    <mergeCell ref="B57:B59"/>
    <mergeCell ref="C57:C59"/>
    <mergeCell ref="D57:D59"/>
    <mergeCell ref="E57:E59"/>
    <mergeCell ref="F57:F59"/>
    <mergeCell ref="O53:O54"/>
    <mergeCell ref="A55:A56"/>
    <mergeCell ref="C55:C56"/>
    <mergeCell ref="D55:D56"/>
    <mergeCell ref="E55:E56"/>
    <mergeCell ref="F55:F56"/>
    <mergeCell ref="A53:A54"/>
    <mergeCell ref="B53:B54"/>
    <mergeCell ref="C53:C54"/>
    <mergeCell ref="D53:D54"/>
    <mergeCell ref="E53:E54"/>
    <mergeCell ref="F53:F54"/>
    <mergeCell ref="R47:R48"/>
    <mergeCell ref="C49:G49"/>
    <mergeCell ref="O49:R49"/>
    <mergeCell ref="C50:R50"/>
    <mergeCell ref="B51:B52"/>
    <mergeCell ref="C51:C52"/>
    <mergeCell ref="D51:D52"/>
    <mergeCell ref="E51:E52"/>
    <mergeCell ref="F51:F52"/>
    <mergeCell ref="D47:D48"/>
    <mergeCell ref="E47:E48"/>
    <mergeCell ref="F47:F48"/>
    <mergeCell ref="O47:O48"/>
    <mergeCell ref="P47:P48"/>
    <mergeCell ref="Q47:Q48"/>
    <mergeCell ref="D43:D44"/>
    <mergeCell ref="E43:E44"/>
    <mergeCell ref="F43:F44"/>
    <mergeCell ref="O43:O44"/>
    <mergeCell ref="D45:D46"/>
    <mergeCell ref="E45:E46"/>
    <mergeCell ref="F45:F46"/>
    <mergeCell ref="R39:R40"/>
    <mergeCell ref="D41:D42"/>
    <mergeCell ref="E41:E42"/>
    <mergeCell ref="F41:F42"/>
    <mergeCell ref="O41:O42"/>
    <mergeCell ref="P41:P42"/>
    <mergeCell ref="Q41:Q42"/>
    <mergeCell ref="R41:R42"/>
    <mergeCell ref="D39:D40"/>
    <mergeCell ref="E39:E40"/>
    <mergeCell ref="F39:F40"/>
    <mergeCell ref="O39:O40"/>
    <mergeCell ref="P39:P40"/>
    <mergeCell ref="Q39:Q40"/>
    <mergeCell ref="D33:D34"/>
    <mergeCell ref="E33:E34"/>
    <mergeCell ref="F33:F34"/>
    <mergeCell ref="O33:O34"/>
    <mergeCell ref="D35:D36"/>
    <mergeCell ref="D37:D38"/>
    <mergeCell ref="E37:E38"/>
    <mergeCell ref="F37:F38"/>
    <mergeCell ref="O29:O30"/>
    <mergeCell ref="P29:P30"/>
    <mergeCell ref="Q29:Q30"/>
    <mergeCell ref="R29:R30"/>
    <mergeCell ref="D31:D32"/>
    <mergeCell ref="E31:E32"/>
    <mergeCell ref="F31:F32"/>
    <mergeCell ref="A29:A30"/>
    <mergeCell ref="B29:B30"/>
    <mergeCell ref="C29:C30"/>
    <mergeCell ref="D29:D30"/>
    <mergeCell ref="E29:E30"/>
    <mergeCell ref="F29:F30"/>
    <mergeCell ref="A27:A28"/>
    <mergeCell ref="B27:B28"/>
    <mergeCell ref="C27:C28"/>
    <mergeCell ref="D27:D28"/>
    <mergeCell ref="E27:E28"/>
    <mergeCell ref="F27:F28"/>
    <mergeCell ref="P20:P21"/>
    <mergeCell ref="Q20:Q21"/>
    <mergeCell ref="R20:R21"/>
    <mergeCell ref="A24:A26"/>
    <mergeCell ref="C24:C26"/>
    <mergeCell ref="D24:D26"/>
    <mergeCell ref="E24:E26"/>
    <mergeCell ref="F24:F26"/>
    <mergeCell ref="D15:D16"/>
    <mergeCell ref="O17:O18"/>
    <mergeCell ref="A20:A22"/>
    <mergeCell ref="C20:C22"/>
    <mergeCell ref="D20:D22"/>
    <mergeCell ref="E20:E22"/>
    <mergeCell ref="F20:F22"/>
    <mergeCell ref="O20:O21"/>
    <mergeCell ref="A8:R8"/>
    <mergeCell ref="A9:R9"/>
    <mergeCell ref="B10:R10"/>
    <mergeCell ref="C11:R11"/>
    <mergeCell ref="C12:C13"/>
    <mergeCell ref="D12:D13"/>
    <mergeCell ref="E12:E13"/>
    <mergeCell ref="G5:G7"/>
    <mergeCell ref="H5:H7"/>
    <mergeCell ref="I5:L7"/>
    <mergeCell ref="M5:M7"/>
    <mergeCell ref="N5:N7"/>
    <mergeCell ref="O5:R5"/>
    <mergeCell ref="O6:O7"/>
    <mergeCell ref="P6:R6"/>
    <mergeCell ref="A1:R1"/>
    <mergeCell ref="A2:R2"/>
    <mergeCell ref="A3:R3"/>
    <mergeCell ref="C4:R4"/>
    <mergeCell ref="A5:A7"/>
    <mergeCell ref="B5:B7"/>
    <mergeCell ref="C5:C7"/>
    <mergeCell ref="D5:D7"/>
    <mergeCell ref="E5:E7"/>
    <mergeCell ref="F5:F7"/>
  </mergeCells>
  <printOptions horizontalCentered="1"/>
  <pageMargins left="0.78740157480314965" right="0.19685039370078741" top="0.39370078740157483" bottom="0.39370078740157483" header="0.31496062992125984" footer="0.31496062992125984"/>
  <pageSetup paperSize="9" scale="72" orientation="portrait" r:id="rId1"/>
  <rowBreaks count="1" manualBreakCount="1">
    <brk id="67" max="17" man="1"/>
  </rowBreaks>
  <colBreaks count="1" manualBreakCount="1">
    <brk id="18" max="1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10</vt:i4>
      </vt:variant>
    </vt:vector>
  </HeadingPairs>
  <TitlesOfParts>
    <vt:vector size="16" baseType="lpstr">
      <vt:lpstr>2014-2016 SVP</vt:lpstr>
      <vt:lpstr>Asignavimu valdytojų kodai</vt:lpstr>
      <vt:lpstr>10 pr. Lt</vt:lpstr>
      <vt:lpstr>10 programa </vt:lpstr>
      <vt:lpstr>Lyginamasis variantas</vt:lpstr>
      <vt:lpstr>Isakymo lyginamasis</vt:lpstr>
      <vt:lpstr>'10 pr. Lt'!Print_Area</vt:lpstr>
      <vt:lpstr>'10 programa '!Print_Area</vt:lpstr>
      <vt:lpstr>'2014-2016 SVP'!Print_Area</vt:lpstr>
      <vt:lpstr>'Isakymo lyginamasis'!Print_Area</vt:lpstr>
      <vt:lpstr>'Lyginamasis variantas'!Print_Area</vt:lpstr>
      <vt:lpstr>'10 pr. Lt'!Print_Titles</vt:lpstr>
      <vt:lpstr>'10 programa '!Print_Titles</vt:lpstr>
      <vt:lpstr>'2014-2016 SVP'!Print_Titles</vt:lpstr>
      <vt:lpstr>'Isakymo lyginamasis'!Print_Titles</vt:lpstr>
      <vt:lpstr>'Lyginamasis variantas'!Print_Titles</vt:lpstr>
    </vt:vector>
  </TitlesOfParts>
  <Company>valdyba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G.Uzkuriene</dc:creator>
  <cp:lastModifiedBy>Virginija Palaimiene</cp:lastModifiedBy>
  <cp:lastPrinted>2015-11-13T09:54:24Z</cp:lastPrinted>
  <dcterms:created xsi:type="dcterms:W3CDTF">2006-05-12T05:50:12Z</dcterms:created>
  <dcterms:modified xsi:type="dcterms:W3CDTF">2015-12-01T13:42:21Z</dcterms:modified>
</cp:coreProperties>
</file>