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2-322\"/>
    </mc:Choice>
  </mc:AlternateContent>
  <bookViews>
    <workbookView xWindow="480" yWindow="555" windowWidth="18195" windowHeight="10440" firstSheet="1" activeTab="1"/>
  </bookViews>
  <sheets>
    <sheet name="Asignavimų valdytojai" sheetId="11" state="hidden" r:id="rId1"/>
    <sheet name="12 programa" sheetId="18" r:id="rId2"/>
    <sheet name="Lyginamasis variantas" sheetId="22" state="hidden" r:id="rId3"/>
  </sheets>
  <definedNames>
    <definedName name="_xlnm.Print_Area" localSheetId="1">'12 programa'!$A$1:$N$177</definedName>
    <definedName name="_xlnm.Print_Area" localSheetId="2">'Lyginamasis variantas'!$A$1:$J$164</definedName>
    <definedName name="_xlnm.Print_Titles" localSheetId="1">'12 programa'!$5:$7</definedName>
    <definedName name="_xlnm.Print_Titles" localSheetId="2">'Lyginamasis variantas'!$6:$8</definedName>
  </definedNames>
  <calcPr calcId="152511" fullPrecision="0"/>
</workbook>
</file>

<file path=xl/calcChain.xml><?xml version="1.0" encoding="utf-8"?>
<calcChain xmlns="http://schemas.openxmlformats.org/spreadsheetml/2006/main">
  <c r="H22" i="18" l="1"/>
  <c r="I20" i="22"/>
  <c r="H13" i="22"/>
  <c r="J13" i="22" s="1"/>
  <c r="H82" i="22" l="1"/>
  <c r="H33" i="22"/>
  <c r="H32" i="22"/>
  <c r="H26" i="22"/>
  <c r="H25" i="22"/>
  <c r="H24" i="22"/>
  <c r="H22" i="22"/>
  <c r="H23" i="22" s="1"/>
  <c r="H20" i="22"/>
  <c r="J20" i="22" s="1"/>
  <c r="H19" i="22"/>
  <c r="H17" i="22"/>
  <c r="H14" i="22"/>
  <c r="H15" i="22" s="1"/>
  <c r="H21" i="22" l="1"/>
  <c r="H16" i="18"/>
  <c r="I14" i="22"/>
  <c r="H34" i="18" l="1"/>
  <c r="I32" i="22"/>
  <c r="H28" i="18"/>
  <c r="I26" i="22"/>
  <c r="L13" i="18" l="1"/>
  <c r="J16" i="18" l="1"/>
  <c r="I16" i="18"/>
  <c r="J83" i="22"/>
  <c r="J81" i="22"/>
  <c r="H91" i="18"/>
  <c r="J85" i="22" l="1"/>
  <c r="H35" i="18"/>
  <c r="I33" i="22"/>
  <c r="L36" i="18" l="1"/>
  <c r="H36" i="18"/>
  <c r="I34" i="22" l="1"/>
  <c r="J35" i="22"/>
  <c r="H17" i="18" l="1"/>
  <c r="H69" i="22" l="1"/>
  <c r="H67" i="22"/>
  <c r="H28" i="22"/>
  <c r="L75" i="18" l="1"/>
  <c r="H75" i="18"/>
  <c r="I69" i="22"/>
  <c r="J69" i="22" s="1"/>
  <c r="I75" i="18"/>
  <c r="I67" i="22"/>
  <c r="H73" i="18"/>
  <c r="H30" i="18" l="1"/>
  <c r="I28" i="22"/>
  <c r="J28" i="22" s="1"/>
  <c r="J29" i="22" s="1"/>
  <c r="H118" i="22" l="1"/>
  <c r="H117" i="22"/>
  <c r="H116" i="22"/>
  <c r="H111" i="22"/>
  <c r="H112" i="22" s="1"/>
  <c r="H107" i="22"/>
  <c r="H110" i="22" s="1"/>
  <c r="H103" i="22"/>
  <c r="H102" i="22"/>
  <c r="H104" i="22" s="1"/>
  <c r="H99" i="22"/>
  <c r="H98" i="22"/>
  <c r="H101" i="22" s="1"/>
  <c r="H95" i="22"/>
  <c r="H97" i="22" s="1"/>
  <c r="H89" i="22"/>
  <c r="H90" i="22" s="1"/>
  <c r="H37" i="22"/>
  <c r="H36" i="22"/>
  <c r="J33" i="22"/>
  <c r="H105" i="22" l="1"/>
  <c r="J136" i="22"/>
  <c r="H96" i="18" l="1"/>
  <c r="I89" i="22"/>
  <c r="H128" i="18"/>
  <c r="I118" i="22"/>
  <c r="J118" i="22" s="1"/>
  <c r="J119" i="22" s="1"/>
  <c r="H115" i="18" l="1"/>
  <c r="I107" i="22"/>
  <c r="I99" i="22"/>
  <c r="H107" i="18"/>
  <c r="H103" i="18"/>
  <c r="I95" i="22"/>
  <c r="H163" i="22" l="1"/>
  <c r="H159" i="22"/>
  <c r="H157" i="22"/>
  <c r="H156" i="22"/>
  <c r="H154" i="22"/>
  <c r="H144" i="22"/>
  <c r="H146" i="22" s="1"/>
  <c r="H141" i="22"/>
  <c r="H135" i="22"/>
  <c r="H131" i="22"/>
  <c r="H132" i="22" s="1"/>
  <c r="H127" i="22"/>
  <c r="H130" i="22" s="1"/>
  <c r="H124" i="22"/>
  <c r="H126" i="22" s="1"/>
  <c r="H119" i="22"/>
  <c r="H88" i="22"/>
  <c r="H87" i="22"/>
  <c r="H86" i="22"/>
  <c r="H84" i="22"/>
  <c r="H155" i="22" s="1"/>
  <c r="H80" i="22"/>
  <c r="H77" i="22"/>
  <c r="H79" i="22" s="1"/>
  <c r="H75" i="22"/>
  <c r="H74" i="22"/>
  <c r="H73" i="22"/>
  <c r="H72" i="22"/>
  <c r="H66" i="22"/>
  <c r="H68" i="22" s="1"/>
  <c r="H56" i="22"/>
  <c r="H64" i="22" s="1"/>
  <c r="H53" i="22"/>
  <c r="H55" i="22" s="1"/>
  <c r="H52" i="22"/>
  <c r="H29" i="22"/>
  <c r="J26" i="22"/>
  <c r="J27" i="22" s="1"/>
  <c r="H162" i="22"/>
  <c r="H161" i="22" l="1"/>
  <c r="H160" i="22" s="1"/>
  <c r="H142" i="22"/>
  <c r="H133" i="22"/>
  <c r="H85" i="22"/>
  <c r="H27" i="22"/>
  <c r="H76" i="22"/>
  <c r="H153" i="22"/>
  <c r="H158" i="22"/>
  <c r="H30" i="22"/>
  <c r="H147" i="22"/>
  <c r="J145" i="22"/>
  <c r="J146" i="22" s="1"/>
  <c r="H152" i="22" l="1"/>
  <c r="H164" i="22" s="1"/>
  <c r="J125" i="22"/>
  <c r="J126" i="22" s="1"/>
  <c r="L71" i="18" l="1"/>
  <c r="I66" i="22"/>
  <c r="I68" i="22" s="1"/>
  <c r="J72" i="18"/>
  <c r="J74" i="18" s="1"/>
  <c r="I72" i="18"/>
  <c r="I74" i="18" s="1"/>
  <c r="H72" i="18"/>
  <c r="H74" i="18" s="1"/>
  <c r="J14" i="22"/>
  <c r="H172" i="18"/>
  <c r="J159" i="22"/>
  <c r="I159" i="22"/>
  <c r="J39" i="22"/>
  <c r="I110" i="22" l="1"/>
  <c r="H118" i="18"/>
  <c r="H106" i="18"/>
  <c r="I98" i="22"/>
  <c r="J38" i="22" l="1"/>
  <c r="I157" i="22" l="1"/>
  <c r="J157" i="22" s="1"/>
  <c r="H170" i="18"/>
  <c r="H157" i="18"/>
  <c r="H159" i="18" s="1"/>
  <c r="H23" i="18"/>
  <c r="H21" i="18"/>
  <c r="H19" i="18"/>
  <c r="J70" i="22"/>
  <c r="J55" i="22" l="1"/>
  <c r="I53" i="22"/>
  <c r="J34" i="18" l="1"/>
  <c r="I34" i="18"/>
  <c r="J163" i="22" l="1"/>
  <c r="I144" i="22"/>
  <c r="I146" i="22" s="1"/>
  <c r="I141" i="22"/>
  <c r="I135" i="22"/>
  <c r="I131" i="22"/>
  <c r="I127" i="22"/>
  <c r="I124" i="22"/>
  <c r="I126" i="22" s="1"/>
  <c r="I117" i="22"/>
  <c r="I116" i="22"/>
  <c r="I111" i="22"/>
  <c r="I112" i="22" s="1"/>
  <c r="I103" i="22"/>
  <c r="I102" i="22"/>
  <c r="I90" i="22"/>
  <c r="I87" i="22"/>
  <c r="I86" i="22"/>
  <c r="I84" i="22"/>
  <c r="I82" i="22"/>
  <c r="I155" i="22" s="1"/>
  <c r="I80" i="22"/>
  <c r="I77" i="22"/>
  <c r="I79" i="22" s="1"/>
  <c r="I75" i="22"/>
  <c r="I74" i="22"/>
  <c r="I73" i="22"/>
  <c r="I72" i="22"/>
  <c r="I56" i="22"/>
  <c r="I64" i="22" s="1"/>
  <c r="I55" i="22"/>
  <c r="I37" i="22"/>
  <c r="I163" i="22" s="1"/>
  <c r="I36" i="22"/>
  <c r="I52" i="22"/>
  <c r="I29" i="22"/>
  <c r="I24" i="22"/>
  <c r="I25" i="22" s="1"/>
  <c r="I22" i="22"/>
  <c r="I21" i="22"/>
  <c r="I19" i="22"/>
  <c r="I17" i="22"/>
  <c r="J109" i="22"/>
  <c r="J108" i="22"/>
  <c r="J107" i="22"/>
  <c r="J100" i="22"/>
  <c r="J99" i="22"/>
  <c r="J96" i="22"/>
  <c r="J161" i="22" s="1"/>
  <c r="J95" i="22"/>
  <c r="J94" i="22"/>
  <c r="J71" i="22"/>
  <c r="J72" i="22" s="1"/>
  <c r="J67" i="22"/>
  <c r="J68" i="22" s="1"/>
  <c r="J34" i="22"/>
  <c r="J21" i="22"/>
  <c r="J101" i="22" l="1"/>
  <c r="J162" i="22"/>
  <c r="J160" i="22" s="1"/>
  <c r="J110" i="22"/>
  <c r="J120" i="22" s="1"/>
  <c r="J89" i="22"/>
  <c r="J90" i="22" s="1"/>
  <c r="J155" i="22"/>
  <c r="J97" i="22"/>
  <c r="J105" i="22" s="1"/>
  <c r="J15" i="22"/>
  <c r="J18" i="22"/>
  <c r="J19" i="22" s="1"/>
  <c r="I130" i="22"/>
  <c r="J127" i="22"/>
  <c r="J130" i="22" s="1"/>
  <c r="I158" i="22"/>
  <c r="J16" i="22"/>
  <c r="J17" i="22" s="1"/>
  <c r="I132" i="22"/>
  <c r="J131" i="22"/>
  <c r="J132" i="22" s="1"/>
  <c r="J133" i="22" s="1"/>
  <c r="I154" i="22"/>
  <c r="I156" i="22"/>
  <c r="I153" i="22"/>
  <c r="I88" i="22"/>
  <c r="J32" i="22"/>
  <c r="J52" i="22" s="1"/>
  <c r="I162" i="22"/>
  <c r="I161" i="22"/>
  <c r="I23" i="22"/>
  <c r="I27" i="22"/>
  <c r="I101" i="22"/>
  <c r="I142" i="22"/>
  <c r="I15" i="22"/>
  <c r="I76" i="22"/>
  <c r="I85" i="22"/>
  <c r="I97" i="22"/>
  <c r="I119" i="22"/>
  <c r="I104" i="22"/>
  <c r="J30" i="22" l="1"/>
  <c r="J91" i="22"/>
  <c r="J121" i="22"/>
  <c r="I133" i="22"/>
  <c r="I152" i="22"/>
  <c r="J158" i="22"/>
  <c r="J154" i="22"/>
  <c r="J156" i="22"/>
  <c r="J153" i="22"/>
  <c r="I120" i="22"/>
  <c r="H120" i="22"/>
  <c r="I160" i="22"/>
  <c r="I105" i="22"/>
  <c r="I91" i="22"/>
  <c r="I147" i="22"/>
  <c r="J147" i="22" s="1"/>
  <c r="I30" i="22"/>
  <c r="H91" i="22"/>
  <c r="J148" i="22" l="1"/>
  <c r="J149" i="22" s="1"/>
  <c r="J152" i="22"/>
  <c r="J164" i="22" s="1"/>
  <c r="H121" i="22"/>
  <c r="I164" i="22"/>
  <c r="I121" i="22"/>
  <c r="I148" i="22" s="1"/>
  <c r="I149" i="22" s="1"/>
  <c r="H148" i="22" l="1"/>
  <c r="H149" i="22" s="1"/>
  <c r="J28" i="18"/>
  <c r="I28" i="18"/>
  <c r="H111" i="18" l="1"/>
  <c r="H110" i="18"/>
  <c r="H79" i="18"/>
  <c r="J17" i="18"/>
  <c r="H112" i="18" l="1"/>
  <c r="I17" i="18"/>
  <c r="J18" i="18" l="1"/>
  <c r="I18" i="18"/>
  <c r="I37" i="18"/>
  <c r="H137" i="18"/>
  <c r="J153" i="18"/>
  <c r="I153" i="18"/>
  <c r="J147" i="18"/>
  <c r="I147" i="18"/>
  <c r="J143" i="18"/>
  <c r="I143" i="18"/>
  <c r="J142" i="18"/>
  <c r="I142" i="18"/>
  <c r="J139" i="18"/>
  <c r="I139" i="18"/>
  <c r="J138" i="18"/>
  <c r="I138" i="18"/>
  <c r="I126" i="18"/>
  <c r="J123" i="18"/>
  <c r="I123" i="18"/>
  <c r="J122" i="18"/>
  <c r="I122" i="18"/>
  <c r="J83" i="18"/>
  <c r="I83" i="18"/>
  <c r="J81" i="18"/>
  <c r="I81" i="18"/>
  <c r="J80" i="18"/>
  <c r="I80" i="18"/>
  <c r="J79" i="18"/>
  <c r="I79" i="18"/>
  <c r="J77" i="18"/>
  <c r="I77" i="18"/>
  <c r="J75" i="18"/>
  <c r="J62" i="18"/>
  <c r="I62" i="18"/>
  <c r="J59" i="18"/>
  <c r="I59" i="18"/>
  <c r="J38" i="18"/>
  <c r="I38" i="18"/>
  <c r="J37" i="18"/>
  <c r="J35" i="18"/>
  <c r="I35" i="18"/>
  <c r="J30" i="18"/>
  <c r="I30" i="18"/>
  <c r="J26" i="18"/>
  <c r="I26" i="18"/>
  <c r="J24" i="18"/>
  <c r="I24" i="18"/>
  <c r="J58" i="18" l="1"/>
  <c r="H171" i="18"/>
  <c r="I58" i="18"/>
  <c r="H78" i="18"/>
  <c r="H153" i="18"/>
  <c r="H147" i="18"/>
  <c r="H141" i="18"/>
  <c r="H134" i="18"/>
  <c r="H136" i="18" s="1"/>
  <c r="H126" i="18"/>
  <c r="H125" i="18"/>
  <c r="H119" i="18"/>
  <c r="H94" i="18"/>
  <c r="H93" i="18"/>
  <c r="H89" i="18"/>
  <c r="H87" i="18"/>
  <c r="H83" i="18"/>
  <c r="H81" i="18"/>
  <c r="H80" i="18"/>
  <c r="H62" i="18"/>
  <c r="H70" i="18" s="1"/>
  <c r="H59" i="18"/>
  <c r="H61" i="18" s="1"/>
  <c r="H38" i="18"/>
  <c r="H176" i="18" s="1"/>
  <c r="H37" i="18"/>
  <c r="H26" i="18"/>
  <c r="H27" i="18" s="1"/>
  <c r="H24" i="18"/>
  <c r="H25" i="18" s="1"/>
  <c r="H92" i="18" l="1"/>
  <c r="H58" i="18"/>
  <c r="H166" i="18"/>
  <c r="H82" i="18"/>
  <c r="H168" i="18"/>
  <c r="H95" i="18"/>
  <c r="H167" i="18"/>
  <c r="H169" i="18"/>
  <c r="H105" i="18"/>
  <c r="H129" i="18"/>
  <c r="H109" i="18"/>
  <c r="H155" i="18"/>
  <c r="H175" i="18"/>
  <c r="H174" i="18"/>
  <c r="H113" i="18" l="1"/>
  <c r="H165" i="18"/>
  <c r="H173" i="18"/>
  <c r="H177" i="18" l="1"/>
  <c r="H144" i="18" l="1"/>
  <c r="H140" i="18"/>
  <c r="H121" i="18"/>
  <c r="H130" i="18" s="1"/>
  <c r="H131" i="18" s="1"/>
  <c r="H98" i="18"/>
  <c r="H85" i="18"/>
  <c r="H145" i="18" l="1"/>
  <c r="H160" i="18" s="1"/>
  <c r="H99" i="18"/>
  <c r="H31" i="18"/>
  <c r="H29" i="18"/>
  <c r="H32" i="18" l="1"/>
  <c r="H161" i="18" s="1"/>
  <c r="H162" i="18" s="1"/>
  <c r="I129" i="18" l="1"/>
  <c r="J129" i="18"/>
  <c r="I70" i="18"/>
  <c r="J70" i="18"/>
  <c r="J176" i="18" l="1"/>
  <c r="I176" i="18"/>
  <c r="J175" i="18"/>
  <c r="I175" i="18"/>
  <c r="J174" i="18"/>
  <c r="I174" i="18"/>
  <c r="J168" i="18"/>
  <c r="I168" i="18"/>
  <c r="J167" i="18"/>
  <c r="I167" i="18"/>
  <c r="I166" i="18"/>
  <c r="J155" i="18"/>
  <c r="I155" i="18"/>
  <c r="J144" i="18"/>
  <c r="I144" i="18"/>
  <c r="J140" i="18"/>
  <c r="I140" i="18"/>
  <c r="J124" i="18"/>
  <c r="J130" i="18" s="1"/>
  <c r="J131" i="18" s="1"/>
  <c r="I124" i="18"/>
  <c r="I130" i="18" s="1"/>
  <c r="I131" i="18" s="1"/>
  <c r="J85" i="18"/>
  <c r="I85" i="18"/>
  <c r="J82" i="18"/>
  <c r="I82" i="18"/>
  <c r="J78" i="18"/>
  <c r="I78" i="18"/>
  <c r="J61" i="18"/>
  <c r="I61" i="18"/>
  <c r="J31" i="18"/>
  <c r="I31" i="18"/>
  <c r="J29" i="18"/>
  <c r="I29" i="18"/>
  <c r="J27" i="18"/>
  <c r="I27" i="18"/>
  <c r="J25" i="18"/>
  <c r="I25" i="18"/>
  <c r="J23" i="18"/>
  <c r="I23" i="18"/>
  <c r="J21" i="18"/>
  <c r="I21" i="18"/>
  <c r="J19" i="18"/>
  <c r="I19" i="18"/>
  <c r="I99" i="18" l="1"/>
  <c r="J99" i="18"/>
  <c r="I173" i="18"/>
  <c r="J173" i="18"/>
  <c r="I145" i="18"/>
  <c r="I160" i="18" s="1"/>
  <c r="I32" i="18"/>
  <c r="J145" i="18"/>
  <c r="J160" i="18" s="1"/>
  <c r="I165" i="18"/>
  <c r="J32" i="18"/>
  <c r="J166" i="18"/>
  <c r="J165" i="18" s="1"/>
  <c r="J177" i="18" s="1"/>
  <c r="I177" i="18" l="1"/>
  <c r="I161" i="18"/>
  <c r="I162" i="18" s="1"/>
  <c r="J161" i="18"/>
  <c r="J162" i="18" s="1"/>
</calcChain>
</file>

<file path=xl/sharedStrings.xml><?xml version="1.0" encoding="utf-8"?>
<sst xmlns="http://schemas.openxmlformats.org/spreadsheetml/2006/main" count="715" uniqueCount="206">
  <si>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</si>
  <si>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</si>
  <si>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</si>
  <si>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</si>
  <si>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</si>
  <si>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</si>
  <si>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</si>
  <si>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</si>
  <si>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</si>
  <si>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</si>
  <si>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</si>
  <si>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</si>
  <si>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</si>
  <si>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</si>
  <si>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</si>
  <si>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</si>
  <si>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</si>
  <si>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</si>
  <si>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</si>
  <si>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</si>
  <si>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</si>
  <si>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</si>
  <si>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</si>
  <si>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</si>
  <si>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</si>
  <si>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</si>
  <si>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</si>
  <si>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</si>
  <si>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</si>
  <si>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</si>
  <si>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</si>
  <si>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</si>
  <si>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</si>
  <si>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</si>
  <si>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</si>
  <si>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</si>
  <si>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</si>
  <si>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</si>
  <si>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</si>
  <si>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</si>
  <si>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</si>
  <si>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</si>
  <si>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</si>
  <si>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</si>
  <si>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</si>
  <si>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</si>
  <si>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</si>
  <si>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</si>
  <si>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</si>
  <si>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</si>
  <si>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</si>
  <si>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</si>
  <si>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</si>
  <si>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</si>
  <si>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</si>
  <si>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</si>
  <si>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</si>
  <si>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</si>
  <si>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</si>
  <si>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</si>
  <si>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</si>
  <si>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</si>
  <si>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</si>
  <si>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</si>
  <si>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</si>
  <si>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</si>
  <si>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</si>
  <si>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</si>
  <si>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</si>
  <si>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</si>
  <si>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</si>
  <si>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</si>
  <si>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SOCIALINĖS ATSKIRTIES MAŽINIMO PROGRAMOS (NR. 12)</t>
  </si>
  <si>
    <t>09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</si>
  <si>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</si>
  <si>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</si>
  <si>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</si>
  <si>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</si>
  <si>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</si>
  <si>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</si>
  <si>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</si>
  <si>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</si>
  <si>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</si>
  <si>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I   </t>
  </si>
  <si>
    <t>5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</si>
  <si>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</si>
  <si>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</si>
  <si>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</si>
  <si>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</si>
  <si>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</si>
  <si>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</si>
  <si>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</si>
  <si>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</si>
  <si>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 xml:space="preserve">Vidutinis vienkartinių išmokų socialiai pažeidžiamiems asmenims skaičius per mėn. 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</si>
  <si>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</si>
  <si>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</si>
  <si>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2016-ieji metai</t>
  </si>
  <si>
    <t>Vidutinis išmokamų kompensacijų skaičius per mėn.</t>
  </si>
  <si>
    <t xml:space="preserve">Vidutinis išmokamų socialinių pašalpų skaičius per mėn. </t>
  </si>
  <si>
    <t>BĮ Klaipėdos miesto socialinės paramos centre, iš jų:</t>
  </si>
  <si>
    <t>SB(L)</t>
  </si>
  <si>
    <t>Sutrumpėjo nuomininkų pasirinktos garantijos įvykdymo terminas, mėn.</t>
  </si>
  <si>
    <t>Parengtas techninis projektas, vnt.</t>
  </si>
  <si>
    <t>NVO projektų, gaunančių dalinį finansavimą iš savivaldybės biudžeto, skaičius</t>
  </si>
  <si>
    <t>Daugiabučių namų, kuriuose vykdomi atnaujinimo darbai, skaičius</t>
  </si>
  <si>
    <t>Objektų, kuriuose  pašalintos galimų avarijų grėsmės ir likviduotos avarijos, skaičius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</si>
  <si>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</si>
  <si>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</si>
  <si>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</si>
  <si>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</si>
  <si>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</si>
  <si>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</si>
  <si>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</si>
  <si>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</si>
  <si>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nakvynės namuose;</t>
  </si>
  <si>
    <t>BĮ Klaipėdos vaikų globos namuose „Smiltelė“;</t>
  </si>
  <si>
    <t>BĮ Klaipėdos vaikų globos namuose „Rytas“;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</si>
  <si>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</si>
  <si>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</si>
  <si>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</si>
  <si>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</si>
  <si>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</si>
  <si>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</si>
  <si>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</si>
  <si>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t>03 Strateginis tikslas. Užtikrinti gyventojams aukštą švietimo, kultūros, socialinių, sporto ir sveikatos apsaugos paslaugų kokybę ir prieinamumą</t>
  </si>
  <si>
    <t>Asmenų su sunkia negalia, kuriems teikiamos socialinės globos paslaugos, skaičius (BĮ Neįgaliųjų centras „Klaipėdos lakštutė“)</t>
  </si>
  <si>
    <t>Rekonstruota ir kapitališkai suremontuota patalpų, kv. m</t>
  </si>
  <si>
    <t>Parengtų remontuoti butų skaičius</t>
  </si>
  <si>
    <t>Iš viso priemonei:</t>
  </si>
  <si>
    <t xml:space="preserve"> TIKSLŲ, UŽDAVINIŲ, PRIEMONIŲ, PRIEMONIŲ IŠLAIDŲ IR PRODUKTO KRITERIJŲ SUVESTINĖ</t>
  </si>
  <si>
    <t>Produkto kriterijaus</t>
  </si>
  <si>
    <t>2015-ųjų metų asignavimų planas</t>
  </si>
  <si>
    <t>2017-ieji metai</t>
  </si>
  <si>
    <t>Asmenų su sunkia negalia, kuriems teikiamos socialinės globos paslaugos, skaičius (BĮ Klaipėdos miesto socialines paramos centras)</t>
  </si>
  <si>
    <t>Įrengta tvora,  m</t>
  </si>
  <si>
    <t>BĮ Neįgaliųjų centro „Klaipėdos laikštutė“ (Suaugusių asmenų su protine negalia dienos socialinės globos centras, Panevėžio g. 2) tvoros įrengimas</t>
  </si>
  <si>
    <t>Socialinio būsto fondo plėtra:</t>
  </si>
  <si>
    <t>Savarankiško gyvenimo namų steigimas socialinės rizikos asmenims (perkeliant iš Šilutės pl. į Viršutinę g.)</t>
  </si>
  <si>
    <t>Savivaldybės socialinio būsto fondo gyvenamojo namo statyba žemės sklype Irklų g. 1</t>
  </si>
  <si>
    <t>P1.3.5.2</t>
  </si>
  <si>
    <t>P1.3.5.3</t>
  </si>
  <si>
    <t>Savivaldybės socialinio būsto fondo gyvenamojo namo statyba žemės sklype Rambyno g. 14</t>
  </si>
  <si>
    <t xml:space="preserve">Parengtas investicijų projektas, vnt.
</t>
  </si>
  <si>
    <t>Atlikta statybos darbų, proc.</t>
  </si>
  <si>
    <t>Pritaikytos patalpos, proc.</t>
  </si>
  <si>
    <t>Laikinai benamių asmenų, piktnaudžiaujančių alkoholiu ir psichotropinėmis medžiagomis, apgyvendinamas, esant krizinei situacijai (priemonę finansuoti, jei bus sutaupyta lėšų mokant pašalpas)</t>
  </si>
  <si>
    <t xml:space="preserve">Senjorų metų paminėjimas Klaipėdoje </t>
  </si>
  <si>
    <t>Išleistas informacinis leidinys</t>
  </si>
  <si>
    <t xml:space="preserve">BĮ Klaipėdos miesto globos namų statinio konstrukcijos pažeidimų pašalinimas </t>
  </si>
  <si>
    <t>Socialinių butų pirkimas</t>
  </si>
  <si>
    <t>Vidutinis išmokamų kompensacijų nepriklausomybes gynejams skaičius per mėn.</t>
  </si>
  <si>
    <t>BĮ Klaipėdos socialinių paslaugų centre „Danė“;</t>
  </si>
  <si>
    <t>Suaugusių asmenų su psichine negalia dienos socialinės globos centre (Kretingos g. 44);</t>
  </si>
  <si>
    <t>BĮ Klaipėdos miesto šeimos ir vaiko gerovės centre, iš jų:</t>
  </si>
  <si>
    <t xml:space="preserve"> - projekto „Kompleksinė pagalba Klaipėdos miesto socialinės grupės vaikams ir jaunimui“ įgyvendinimas;</t>
  </si>
  <si>
    <t>2015 m. asignavimų planas</t>
  </si>
  <si>
    <t>2016 m. lėšų projektas</t>
  </si>
  <si>
    <t>2016-ųjų metų lėšų projektas</t>
  </si>
  <si>
    <t>2017-ųjų metų lėšų projektas</t>
  </si>
  <si>
    <t>2017 m. lėšų projektas</t>
  </si>
  <si>
    <t>Socialinių projektų dalinis finansavimas:</t>
  </si>
  <si>
    <t>Atliktas pastato sniego gaudytuvų (apsauginių tvorelių) ir lietvamzdžių remontas, %</t>
  </si>
  <si>
    <t>BĮ Neįgaliųjų centro „Klaipėdos lakštutė“ rūsio rekonstrukcijos techninio projekto parengimas</t>
  </si>
  <si>
    <t xml:space="preserve">Įrengtas liftas </t>
  </si>
  <si>
    <t>Užbaigtumas, proc.</t>
  </si>
  <si>
    <t>Sukauptas prisidėjimas prie socialinio būsto fondo gyvenamųjų namų statybos, proc.</t>
  </si>
  <si>
    <t>Nemokamą maitinimą gaunančių bei aprūpinamų mokinio reikmenimis mokinių skaičius</t>
  </si>
  <si>
    <t>Senyvo amžiaus asmenų bei asmenų su negalia, apgyvendintų globos institucijose per metus, skaičius</t>
  </si>
  <si>
    <t>Pritaikyta butų neįgaliesiems, skaičius</t>
  </si>
  <si>
    <t>Iš dalies finansuota projektų, skaičius</t>
  </si>
  <si>
    <t>Asmenų su sunkia negalia, kuriems teikiamos socialinės globos paslaugos, skaičius</t>
  </si>
  <si>
    <t>Teikiamos socialinės paslaugos neįgaliesiems, asmenų skaičius</t>
  </si>
  <si>
    <t xml:space="preserve">Atliktas socialinių paslaugų teikimo įstaigose  auditas </t>
  </si>
  <si>
    <t>Rekonstruota dalis pastato – 802,22 kv. m.
Įsigyta visa reikalinga įranga bei baldai socialinės globos centro įrengimui.
Užbaigtumas, proc.</t>
  </si>
  <si>
    <t>Rekonstruota dalis pastato – 636,58 kv. m.
Įsigyta visa reikalinga įranga bei baldai socialinės globos centro įrengimui.
Užbaigtumas, proc.</t>
  </si>
  <si>
    <t>Rekonstruota dalis pastato – 1373,64 kv. m
Užbaigtumas, proc.</t>
  </si>
  <si>
    <t>Eur</t>
  </si>
  <si>
    <t>Planas</t>
  </si>
  <si>
    <t>Patalpų pritaikymas BĮ Klaipėdos miesto šeimos ir vaiko gerovės centro veiklai patalpose, adresu Debreceno g. 48</t>
  </si>
  <si>
    <r>
      <rPr>
        <b/>
        <sz val="10"/>
        <rFont val="Times New Roman"/>
        <family val="1"/>
        <charset val="186"/>
      </rPr>
      <t>Vietos bendruomenių savivaldos 2015 m. programos</t>
    </r>
    <r>
      <rPr>
        <sz val="10"/>
        <rFont val="Times New Roman"/>
        <family val="1"/>
        <charset val="186"/>
      </rPr>
      <t xml:space="preserve"> įgyvendinimas </t>
    </r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</si>
  <si>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</si>
  <si>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r>
      <t xml:space="preserve">Projekto </t>
    </r>
    <r>
      <rPr>
        <b/>
        <sz val="10"/>
        <rFont val="Times New Roman"/>
        <family val="1"/>
        <charset val="186"/>
      </rPr>
      <t>„Ilgalaikės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</si>
  <si>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</si>
  <si>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</si>
  <si>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10"/>
        <rFont val="Times New Roman"/>
        <family val="1"/>
        <charset val="186"/>
      </rPr>
      <t>įgyvendinimas</t>
    </r>
  </si>
  <si>
    <t>2015–2017 M. KLAIPĖDOS MIESTO SAVIVALDYBĖS</t>
  </si>
  <si>
    <t>Skirtumas</t>
  </si>
  <si>
    <t>Siūlomas keisti 2015 m. asignavimų planas</t>
  </si>
  <si>
    <t>Būsto nuomos ar išperkamosios būsto nuomos mokesčių dalies kompensacija gavusių asmenų sk.</t>
  </si>
  <si>
    <t>SB(PBL)</t>
  </si>
  <si>
    <r>
      <t xml:space="preserve">Lėšų likutis už privatizuotus butus </t>
    </r>
    <r>
      <rPr>
        <b/>
        <sz val="10"/>
        <rFont val="Times New Roman"/>
        <family val="1"/>
        <charset val="186"/>
      </rPr>
      <t xml:space="preserve">SB(PBL) </t>
    </r>
  </si>
  <si>
    <t>Siūlomas keisti 2015-ųjų m. asignavimų planas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</si>
  <si>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</si>
  <si>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r>
      <t>Apyvartinių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</si>
  <si>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</si>
  <si>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</si>
  <si>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</si>
  <si>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r>
      <t>Pajamų imokų likutis</t>
    </r>
    <r>
      <rPr>
        <b/>
        <sz val="10"/>
        <rFont val="Times New Roman"/>
        <family val="1"/>
        <charset val="186"/>
      </rPr>
      <t xml:space="preserve"> SB(SPL)</t>
    </r>
  </si>
  <si>
    <t>Nupirkta butų, asm. sk.</t>
  </si>
  <si>
    <t>Parengtas investicijų projektas, vnt.</t>
  </si>
  <si>
    <r>
      <rPr>
        <b/>
        <sz val="10"/>
        <rFont val="Times New Roman"/>
        <family val="1"/>
        <charset val="186"/>
      </rPr>
      <t xml:space="preserve">Pastato 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</si>
  <si>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rPr>
        <b/>
        <sz val="10"/>
        <rFont val="Times New Roman"/>
        <family val="1"/>
        <charset val="186"/>
      </rPr>
      <t xml:space="preserve">Pastato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</si>
  <si>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Ne savivaldybės įsteigtų įstaigų, teikiančių ilgalaikės socialinės globos paslaugas senyvo amžiaus ir neįgaliems asmenims bei dienos socialinę globą neįgaliems asmenims institucijoje, projektų, skirtų socialinių paslaugų infrastruktūros gerinimui, dalinis finansavimas</t>
  </si>
  <si>
    <r>
      <t xml:space="preserve">Ne savivaldybės įsteigtų įstaigų, teikiančių ilgalaikės socialinės globos paslaugas senyvo amžiaus ir neįgaliems asmenims </t>
    </r>
    <r>
      <rPr>
        <b/>
        <sz val="10"/>
        <rFont val="Times New Roman"/>
        <family val="1"/>
        <charset val="186"/>
      </rPr>
      <t>bei dienos socialinę globą neįgaliems asmenims institucijoje</t>
    </r>
    <r>
      <rPr>
        <sz val="10"/>
        <rFont val="Times New Roman"/>
        <family val="1"/>
        <charset val="186"/>
      </rPr>
      <t>,</t>
    </r>
    <r>
      <rPr>
        <sz val="10"/>
        <rFont val="Times New Roman"/>
        <family val="1"/>
      </rPr>
      <t xml:space="preserve"> projektų, skirtų socialinių paslaugų infrastruktūros gerinimui, dalinis finansavimas</t>
    </r>
  </si>
  <si>
    <t>Apmokėjimas už daugiabučių namų bendrųjų objektų administravimą ir nuolatinę techninę priežiūrą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</si>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</sst>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name val="Calibri"/>
      <family val="2"/>
      <charset val="186"/>
    </font>
    <font>
      <sz val="11"/>
      <name val="Calibri"/>
      <family val="2"/>
      <charset val="186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15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54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49" fontId="9" fillId="2" borderId="17" xfId="0" applyNumberFormat="1" applyFont="1" applyFill="1" applyBorder="1" applyAlignment="1">
      <alignment vertical="top" wrapText="1"/>
    </xf>
    <xf numFmtId="49" fontId="9" fillId="3" borderId="19" xfId="0" applyNumberFormat="1" applyFont="1" applyFill="1" applyBorder="1" applyAlignment="1">
      <alignment vertical="top" wrapText="1"/>
    </xf>
    <xf numFmtId="49" fontId="9" fillId="0" borderId="19" xfId="0" applyNumberFormat="1" applyFont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49" fontId="9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49" fontId="9" fillId="3" borderId="11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49" fontId="9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vertical="top"/>
    </xf>
    <xf numFmtId="0" fontId="6" fillId="0" borderId="9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49" fontId="8" fillId="0" borderId="1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49" fontId="9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8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2" fillId="0" borderId="0" xfId="0" applyFont="1" applyBorder="1"/>
    <xf numFmtId="49" fontId="9" fillId="3" borderId="29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vertical="top"/>
    </xf>
    <xf numFmtId="49" fontId="9" fillId="3" borderId="7" xfId="0" applyNumberFormat="1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horizontal="center" vertical="top"/>
    </xf>
    <xf numFmtId="49" fontId="9" fillId="5" borderId="3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textRotation="90" wrapText="1"/>
    </xf>
    <xf numFmtId="0" fontId="9" fillId="0" borderId="17" xfId="0" applyFont="1" applyFill="1" applyBorder="1" applyAlignment="1">
      <alignment vertic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" fillId="0" borderId="34" xfId="0" applyNumberFormat="1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 textRotation="90"/>
    </xf>
    <xf numFmtId="0" fontId="9" fillId="0" borderId="0" xfId="0" applyFont="1" applyBorder="1" applyAlignment="1">
      <alignment vertical="center" textRotation="90"/>
    </xf>
    <xf numFmtId="164" fontId="2" fillId="0" borderId="0" xfId="0" applyNumberFormat="1" applyFont="1"/>
    <xf numFmtId="0" fontId="9" fillId="0" borderId="5" xfId="0" applyFont="1" applyFill="1" applyBorder="1" applyAlignment="1">
      <alignment vertical="center" textRotation="90" wrapText="1"/>
    </xf>
    <xf numFmtId="49" fontId="9" fillId="2" borderId="28" xfId="0" applyNumberFormat="1" applyFont="1" applyFill="1" applyBorder="1" applyAlignment="1">
      <alignment vertical="top"/>
    </xf>
    <xf numFmtId="49" fontId="8" fillId="0" borderId="31" xfId="0" applyNumberFormat="1" applyFont="1" applyBorder="1" applyAlignment="1">
      <alignment vertical="top"/>
    </xf>
    <xf numFmtId="49" fontId="9" fillId="4" borderId="9" xfId="0" applyNumberFormat="1" applyFont="1" applyFill="1" applyBorder="1" applyAlignment="1">
      <alignment vertical="top" wrapText="1"/>
    </xf>
    <xf numFmtId="49" fontId="8" fillId="0" borderId="53" xfId="0" applyNumberFormat="1" applyFont="1" applyBorder="1" applyAlignment="1">
      <alignment horizontal="center" vertical="top"/>
    </xf>
    <xf numFmtId="49" fontId="9" fillId="0" borderId="51" xfId="0" applyNumberFormat="1" applyFont="1" applyBorder="1" applyAlignment="1">
      <alignment vertical="center" textRotation="90"/>
    </xf>
    <xf numFmtId="0" fontId="6" fillId="7" borderId="9" xfId="0" applyFont="1" applyFill="1" applyBorder="1" applyAlignment="1">
      <alignment vertical="top" wrapText="1"/>
    </xf>
    <xf numFmtId="49" fontId="9" fillId="2" borderId="64" xfId="0" applyNumberFormat="1" applyFont="1" applyFill="1" applyBorder="1" applyAlignment="1">
      <alignment horizontal="center" vertical="top"/>
    </xf>
    <xf numFmtId="0" fontId="9" fillId="8" borderId="59" xfId="0" applyFont="1" applyFill="1" applyBorder="1" applyAlignment="1">
      <alignment horizontal="center" vertical="top"/>
    </xf>
    <xf numFmtId="0" fontId="9" fillId="8" borderId="40" xfId="0" applyFont="1" applyFill="1" applyBorder="1" applyAlignment="1">
      <alignment horizontal="center" vertical="top"/>
    </xf>
    <xf numFmtId="0" fontId="8" fillId="8" borderId="59" xfId="0" applyFont="1" applyFill="1" applyBorder="1" applyAlignment="1">
      <alignment horizontal="center" vertical="top" wrapText="1"/>
    </xf>
    <xf numFmtId="0" fontId="8" fillId="8" borderId="59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8" fillId="0" borderId="0" xfId="0" applyFont="1" applyFill="1" applyBorder="1" applyAlignment="1">
      <alignment horizontal="center" vertical="top" textRotation="180" wrapText="1"/>
    </xf>
    <xf numFmtId="0" fontId="10" fillId="4" borderId="13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/>
    </xf>
    <xf numFmtId="0" fontId="6" fillId="7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 wrapText="1"/>
    </xf>
    <xf numFmtId="0" fontId="8" fillId="0" borderId="35" xfId="0" applyNumberFormat="1" applyFont="1" applyBorder="1" applyAlignment="1">
      <alignment horizontal="center" vertical="top"/>
    </xf>
    <xf numFmtId="49" fontId="8" fillId="4" borderId="6" xfId="0" applyNumberFormat="1" applyFont="1" applyFill="1" applyBorder="1" applyAlignment="1">
      <alignment vertical="top"/>
    </xf>
    <xf numFmtId="49" fontId="8" fillId="4" borderId="11" xfId="0" applyNumberFormat="1" applyFont="1" applyFill="1" applyBorder="1" applyAlignment="1">
      <alignment vertical="top"/>
    </xf>
    <xf numFmtId="0" fontId="8" fillId="7" borderId="34" xfId="0" applyNumberFormat="1" applyFont="1" applyFill="1" applyBorder="1" applyAlignment="1">
      <alignment horizontal="center" vertical="top"/>
    </xf>
    <xf numFmtId="0" fontId="9" fillId="0" borderId="28" xfId="0" applyFont="1" applyBorder="1" applyAlignment="1">
      <alignment vertical="center" textRotation="90"/>
    </xf>
    <xf numFmtId="0" fontId="9" fillId="0" borderId="64" xfId="0" applyFont="1" applyBorder="1" applyAlignment="1">
      <alignment horizontal="center" vertical="center" textRotation="90"/>
    </xf>
    <xf numFmtId="0" fontId="8" fillId="8" borderId="15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49" fontId="8" fillId="4" borderId="34" xfId="0" applyNumberFormat="1" applyFont="1" applyFill="1" applyBorder="1" applyAlignment="1">
      <alignment vertical="top"/>
    </xf>
    <xf numFmtId="0" fontId="6" fillId="0" borderId="66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49" fontId="8" fillId="4" borderId="18" xfId="0" applyNumberFormat="1" applyFont="1" applyFill="1" applyBorder="1" applyAlignment="1">
      <alignment vertical="top"/>
    </xf>
    <xf numFmtId="0" fontId="6" fillId="0" borderId="9" xfId="0" applyFont="1" applyFill="1" applyBorder="1" applyAlignment="1">
      <alignment vertical="top" wrapText="1"/>
    </xf>
    <xf numFmtId="49" fontId="9" fillId="0" borderId="35" xfId="0" applyNumberFormat="1" applyFont="1" applyBorder="1" applyAlignment="1">
      <alignment vertical="top"/>
    </xf>
    <xf numFmtId="0" fontId="6" fillId="4" borderId="16" xfId="0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6" fillId="0" borderId="32" xfId="0" applyFont="1" applyFill="1" applyBorder="1" applyAlignment="1">
      <alignment horizontal="center" vertical="top"/>
    </xf>
    <xf numFmtId="3" fontId="6" fillId="7" borderId="32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6" fillId="0" borderId="47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6" fillId="7" borderId="28" xfId="0" applyNumberFormat="1" applyFont="1" applyFill="1" applyBorder="1" applyAlignment="1">
      <alignment horizontal="center" vertical="top"/>
    </xf>
    <xf numFmtId="3" fontId="6" fillId="7" borderId="15" xfId="0" applyNumberFormat="1" applyFont="1" applyFill="1" applyBorder="1" applyAlignment="1">
      <alignment horizontal="center" vertical="top"/>
    </xf>
    <xf numFmtId="1" fontId="6" fillId="0" borderId="52" xfId="0" applyNumberFormat="1" applyFont="1" applyFill="1" applyBorder="1" applyAlignment="1">
      <alignment horizontal="center" vertical="top"/>
    </xf>
    <xf numFmtId="1" fontId="6" fillId="0" borderId="37" xfId="0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vertical="top"/>
    </xf>
    <xf numFmtId="0" fontId="6" fillId="0" borderId="2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vertical="top" wrapText="1"/>
    </xf>
    <xf numFmtId="1" fontId="6" fillId="0" borderId="51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3" fontId="6" fillId="4" borderId="15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/>
    </xf>
    <xf numFmtId="3" fontId="9" fillId="8" borderId="40" xfId="0" applyNumberFormat="1" applyFont="1" applyFill="1" applyBorder="1" applyAlignment="1">
      <alignment horizontal="center" vertical="top"/>
    </xf>
    <xf numFmtId="3" fontId="9" fillId="8" borderId="59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3" fontId="6" fillId="8" borderId="76" xfId="0" applyNumberFormat="1" applyFont="1" applyFill="1" applyBorder="1" applyAlignment="1">
      <alignment horizontal="center" vertical="top"/>
    </xf>
    <xf numFmtId="3" fontId="6" fillId="0" borderId="16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35" xfId="0" applyFont="1" applyFill="1" applyBorder="1" applyAlignment="1">
      <alignment horizontal="center" vertical="top" wrapText="1"/>
    </xf>
    <xf numFmtId="3" fontId="9" fillId="8" borderId="41" xfId="0" applyNumberFormat="1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 wrapText="1"/>
    </xf>
    <xf numFmtId="3" fontId="9" fillId="8" borderId="56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3" fontId="6" fillId="8" borderId="24" xfId="0" applyNumberFormat="1" applyFont="1" applyFill="1" applyBorder="1" applyAlignment="1">
      <alignment horizontal="center" vertical="top"/>
    </xf>
    <xf numFmtId="3" fontId="6" fillId="7" borderId="2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 wrapText="1"/>
    </xf>
    <xf numFmtId="3" fontId="6" fillId="8" borderId="24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0" fontId="6" fillId="7" borderId="15" xfId="0" applyFont="1" applyFill="1" applyBorder="1" applyAlignment="1">
      <alignment vertical="top" wrapText="1"/>
    </xf>
    <xf numFmtId="3" fontId="6" fillId="7" borderId="24" xfId="0" applyNumberFormat="1" applyFont="1" applyFill="1" applyBorder="1" applyAlignment="1">
      <alignment horizontal="center" vertical="top" wrapText="1"/>
    </xf>
    <xf numFmtId="0" fontId="8" fillId="0" borderId="31" xfId="0" applyNumberFormat="1" applyFont="1" applyBorder="1" applyAlignment="1">
      <alignment horizontal="center" vertical="top"/>
    </xf>
    <xf numFmtId="3" fontId="8" fillId="8" borderId="52" xfId="0" applyNumberFormat="1" applyFont="1" applyFill="1" applyBorder="1" applyAlignment="1">
      <alignment horizontal="center" vertical="top" wrapText="1"/>
    </xf>
    <xf numFmtId="3" fontId="9" fillId="8" borderId="52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3" fontId="8" fillId="3" borderId="69" xfId="0" applyNumberFormat="1" applyFont="1" applyFill="1" applyBorder="1" applyAlignment="1">
      <alignment horizontal="center" vertical="top"/>
    </xf>
    <xf numFmtId="3" fontId="9" fillId="3" borderId="69" xfId="0" applyNumberFormat="1" applyFont="1" applyFill="1" applyBorder="1" applyAlignment="1">
      <alignment horizontal="center" vertical="top"/>
    </xf>
    <xf numFmtId="3" fontId="9" fillId="3" borderId="23" xfId="0" applyNumberFormat="1" applyFont="1" applyFill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textRotation="180" wrapText="1"/>
    </xf>
    <xf numFmtId="0" fontId="6" fillId="0" borderId="76" xfId="0" applyFont="1" applyFill="1" applyBorder="1" applyAlignment="1">
      <alignment horizontal="center" vertical="top"/>
    </xf>
    <xf numFmtId="3" fontId="6" fillId="4" borderId="16" xfId="0" applyNumberFormat="1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top" wrapText="1"/>
    </xf>
    <xf numFmtId="0" fontId="6" fillId="4" borderId="35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3" fontId="6" fillId="8" borderId="15" xfId="0" applyNumberFormat="1" applyFont="1" applyFill="1" applyBorder="1" applyAlignment="1">
      <alignment horizontal="center" vertical="top"/>
    </xf>
    <xf numFmtId="3" fontId="6" fillId="4" borderId="26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vertical="top" wrapText="1"/>
    </xf>
    <xf numFmtId="0" fontId="6" fillId="0" borderId="52" xfId="0" applyFont="1" applyFill="1" applyBorder="1" applyAlignment="1">
      <alignment horizontal="center" vertical="top"/>
    </xf>
    <xf numFmtId="3" fontId="6" fillId="8" borderId="25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 wrapText="1"/>
    </xf>
    <xf numFmtId="3" fontId="6" fillId="8" borderId="13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0" fontId="6" fillId="4" borderId="52" xfId="0" applyNumberFormat="1" applyFont="1" applyFill="1" applyBorder="1" applyAlignment="1">
      <alignment vertical="top" wrapText="1"/>
    </xf>
    <xf numFmtId="0" fontId="6" fillId="4" borderId="52" xfId="0" applyNumberFormat="1" applyFont="1" applyFill="1" applyBorder="1" applyAlignment="1">
      <alignment horizontal="center" vertical="top" wrapText="1"/>
    </xf>
    <xf numFmtId="3" fontId="6" fillId="0" borderId="57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vertical="top" wrapText="1"/>
    </xf>
    <xf numFmtId="0" fontId="6" fillId="4" borderId="34" xfId="0" applyNumberFormat="1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2" fontId="6" fillId="0" borderId="28" xfId="0" applyNumberFormat="1" applyFont="1" applyFill="1" applyBorder="1" applyAlignment="1">
      <alignment vertical="top" wrapText="1"/>
    </xf>
    <xf numFmtId="164" fontId="6" fillId="0" borderId="28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 wrapText="1"/>
    </xf>
    <xf numFmtId="3" fontId="6" fillId="0" borderId="28" xfId="0" applyNumberFormat="1" applyFont="1" applyFill="1" applyBorder="1" applyAlignment="1">
      <alignment horizontal="center" vertical="top" wrapText="1"/>
    </xf>
    <xf numFmtId="2" fontId="1" fillId="0" borderId="28" xfId="0" applyNumberFormat="1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/>
    </xf>
    <xf numFmtId="0" fontId="6" fillId="0" borderId="11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horizontal="center" vertical="top"/>
    </xf>
    <xf numFmtId="49" fontId="9" fillId="3" borderId="39" xfId="0" applyNumberFormat="1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 wrapText="1"/>
    </xf>
    <xf numFmtId="0" fontId="8" fillId="0" borderId="36" xfId="0" applyNumberFormat="1" applyFont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/>
    </xf>
    <xf numFmtId="1" fontId="6" fillId="0" borderId="12" xfId="0" applyNumberFormat="1" applyFont="1" applyFill="1" applyBorder="1" applyAlignment="1">
      <alignment vertical="top"/>
    </xf>
    <xf numFmtId="1" fontId="6" fillId="0" borderId="34" xfId="0" applyNumberFormat="1" applyFont="1" applyFill="1" applyBorder="1" applyAlignment="1">
      <alignment vertical="top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7" borderId="9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/>
    </xf>
    <xf numFmtId="3" fontId="9" fillId="8" borderId="58" xfId="0" applyNumberFormat="1" applyFont="1" applyFill="1" applyBorder="1" applyAlignment="1">
      <alignment horizontal="center" vertical="top"/>
    </xf>
    <xf numFmtId="0" fontId="1" fillId="0" borderId="64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44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vertical="center" textRotation="90" wrapText="1"/>
    </xf>
    <xf numFmtId="3" fontId="6" fillId="4" borderId="24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vertical="center" textRotation="90" wrapText="1"/>
    </xf>
    <xf numFmtId="0" fontId="6" fillId="0" borderId="57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1" fillId="4" borderId="62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0" fontId="9" fillId="0" borderId="64" xfId="0" applyFont="1" applyFill="1" applyBorder="1" applyAlignment="1">
      <alignment vertical="center" textRotation="90" wrapText="1"/>
    </xf>
    <xf numFmtId="0" fontId="6" fillId="0" borderId="1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3" fontId="6" fillId="4" borderId="72" xfId="0" applyNumberFormat="1" applyFont="1" applyFill="1" applyBorder="1" applyAlignment="1">
      <alignment horizontal="center" vertical="top"/>
    </xf>
    <xf numFmtId="3" fontId="8" fillId="8" borderId="59" xfId="0" applyNumberFormat="1" applyFont="1" applyFill="1" applyBorder="1" applyAlignment="1">
      <alignment horizontal="center" vertical="top" wrapText="1"/>
    </xf>
    <xf numFmtId="3" fontId="9" fillId="8" borderId="63" xfId="0" applyNumberFormat="1" applyFont="1" applyFill="1" applyBorder="1" applyAlignment="1">
      <alignment horizontal="center" vertical="top"/>
    </xf>
    <xf numFmtId="49" fontId="8" fillId="0" borderId="35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 wrapText="1"/>
    </xf>
    <xf numFmtId="3" fontId="6" fillId="7" borderId="16" xfId="0" applyNumberFormat="1" applyFont="1" applyFill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top" wrapText="1"/>
    </xf>
    <xf numFmtId="3" fontId="6" fillId="7" borderId="15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0" borderId="64" xfId="0" applyNumberFormat="1" applyFont="1" applyFill="1" applyBorder="1" applyAlignment="1">
      <alignment horizontal="center" vertical="top" wrapText="1"/>
    </xf>
    <xf numFmtId="0" fontId="6" fillId="0" borderId="19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3" fontId="1" fillId="8" borderId="26" xfId="0" applyNumberFormat="1" applyFont="1" applyFill="1" applyBorder="1" applyAlignment="1">
      <alignment horizontal="center" vertical="top" wrapText="1"/>
    </xf>
    <xf numFmtId="3" fontId="6" fillId="7" borderId="26" xfId="0" applyNumberFormat="1" applyFont="1" applyFill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3" fontId="6" fillId="4" borderId="25" xfId="0" applyNumberFormat="1" applyFont="1" applyFill="1" applyBorder="1" applyAlignment="1">
      <alignment horizontal="center" vertical="top"/>
    </xf>
    <xf numFmtId="0" fontId="8" fillId="0" borderId="31" xfId="0" applyFont="1" applyBorder="1" applyAlignment="1">
      <alignment horizontal="center" vertical="top" wrapText="1"/>
    </xf>
    <xf numFmtId="3" fontId="8" fillId="8" borderId="59" xfId="0" applyNumberFormat="1" applyFont="1" applyFill="1" applyBorder="1" applyAlignment="1">
      <alignment horizontal="center" vertical="top"/>
    </xf>
    <xf numFmtId="0" fontId="6" fillId="0" borderId="64" xfId="0" applyNumberFormat="1" applyFont="1" applyFill="1" applyBorder="1" applyAlignment="1">
      <alignment horizontal="left" vertical="top" wrapText="1"/>
    </xf>
    <xf numFmtId="0" fontId="8" fillId="0" borderId="50" xfId="0" applyFont="1" applyBorder="1" applyAlignment="1">
      <alignment horizontal="center" vertical="top" wrapText="1"/>
    </xf>
    <xf numFmtId="3" fontId="6" fillId="0" borderId="26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51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3" fontId="9" fillId="8" borderId="25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3" fontId="6" fillId="4" borderId="3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vertical="top"/>
    </xf>
    <xf numFmtId="2" fontId="6" fillId="0" borderId="7" xfId="0" applyNumberFormat="1" applyFont="1" applyFill="1" applyBorder="1" applyAlignment="1">
      <alignment vertical="top"/>
    </xf>
    <xf numFmtId="2" fontId="6" fillId="0" borderId="35" xfId="0" applyNumberFormat="1" applyFont="1" applyFill="1" applyBorder="1" applyAlignment="1">
      <alignment vertical="top"/>
    </xf>
    <xf numFmtId="3" fontId="6" fillId="8" borderId="54" xfId="0" applyNumberFormat="1" applyFont="1" applyFill="1" applyBorder="1" applyAlignment="1">
      <alignment horizontal="center" vertical="top"/>
    </xf>
    <xf numFmtId="0" fontId="9" fillId="8" borderId="64" xfId="0" applyFont="1" applyFill="1" applyBorder="1" applyAlignment="1">
      <alignment horizontal="center" vertical="top"/>
    </xf>
    <xf numFmtId="3" fontId="9" fillId="8" borderId="64" xfId="0" applyNumberFormat="1" applyFont="1" applyFill="1" applyBorder="1" applyAlignment="1">
      <alignment horizontal="center" vertical="top"/>
    </xf>
    <xf numFmtId="3" fontId="6" fillId="8" borderId="9" xfId="0" applyNumberFormat="1" applyFont="1" applyFill="1" applyBorder="1" applyAlignment="1">
      <alignment horizontal="center" vertical="top"/>
    </xf>
    <xf numFmtId="3" fontId="6" fillId="4" borderId="9" xfId="0" applyNumberFormat="1" applyFont="1" applyFill="1" applyBorder="1" applyAlignment="1">
      <alignment horizontal="center" vertical="top" wrapText="1"/>
    </xf>
    <xf numFmtId="3" fontId="6" fillId="4" borderId="22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left" vertical="top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48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53" xfId="0" applyNumberFormat="1" applyFont="1" applyFill="1" applyBorder="1" applyAlignment="1">
      <alignment horizontal="center" vertical="top"/>
    </xf>
    <xf numFmtId="0" fontId="8" fillId="4" borderId="16" xfId="0" applyFont="1" applyFill="1" applyBorder="1" applyAlignment="1">
      <alignment vertical="top" wrapText="1"/>
    </xf>
    <xf numFmtId="0" fontId="8" fillId="0" borderId="33" xfId="0" applyFont="1" applyFill="1" applyBorder="1" applyAlignment="1">
      <alignment horizontal="center" vertical="top" textRotation="180" wrapText="1"/>
    </xf>
    <xf numFmtId="0" fontId="8" fillId="0" borderId="48" xfId="0" applyNumberFormat="1" applyFont="1" applyBorder="1" applyAlignment="1">
      <alignment horizontal="center" vertical="center"/>
    </xf>
    <xf numFmtId="3" fontId="6" fillId="8" borderId="32" xfId="0" applyNumberFormat="1" applyFont="1" applyFill="1" applyBorder="1" applyAlignment="1">
      <alignment horizontal="center" vertical="top" wrapText="1"/>
    </xf>
    <xf numFmtId="3" fontId="6" fillId="4" borderId="73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0" fontId="6" fillId="4" borderId="47" xfId="0" applyNumberFormat="1" applyFont="1" applyFill="1" applyBorder="1" applyAlignment="1">
      <alignment horizontal="center" vertical="top" wrapText="1"/>
    </xf>
    <xf numFmtId="0" fontId="6" fillId="4" borderId="73" xfId="0" applyNumberFormat="1" applyFont="1" applyFill="1" applyBorder="1" applyAlignment="1">
      <alignment horizontal="center" vertical="top" wrapText="1"/>
    </xf>
    <xf numFmtId="0" fontId="8" fillId="0" borderId="49" xfId="0" applyFont="1" applyFill="1" applyBorder="1" applyAlignment="1">
      <alignment horizontal="center" vertical="top" wrapText="1"/>
    </xf>
    <xf numFmtId="3" fontId="6" fillId="8" borderId="76" xfId="0" applyNumberFormat="1" applyFont="1" applyFill="1" applyBorder="1" applyAlignment="1">
      <alignment horizontal="center" vertical="top" wrapText="1"/>
    </xf>
    <xf numFmtId="3" fontId="6" fillId="4" borderId="75" xfId="0" applyNumberFormat="1" applyFont="1" applyFill="1" applyBorder="1" applyAlignment="1">
      <alignment horizontal="center" vertical="top" wrapText="1"/>
    </xf>
    <xf numFmtId="3" fontId="6" fillId="8" borderId="54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72" xfId="0" applyNumberFormat="1" applyFont="1" applyFill="1" applyBorder="1" applyAlignment="1">
      <alignment horizontal="center" vertical="top" wrapText="1"/>
    </xf>
    <xf numFmtId="0" fontId="8" fillId="0" borderId="68" xfId="0" applyFont="1" applyFill="1" applyBorder="1" applyAlignment="1">
      <alignment horizontal="center" vertical="top" wrapText="1"/>
    </xf>
    <xf numFmtId="3" fontId="8" fillId="8" borderId="54" xfId="0" applyNumberFormat="1" applyFont="1" applyFill="1" applyBorder="1" applyAlignment="1">
      <alignment horizontal="center" vertical="top" wrapText="1"/>
    </xf>
    <xf numFmtId="3" fontId="9" fillId="8" borderId="26" xfId="0" applyNumberFormat="1" applyFont="1" applyFill="1" applyBorder="1" applyAlignment="1">
      <alignment horizontal="center" vertical="top" wrapText="1"/>
    </xf>
    <xf numFmtId="3" fontId="9" fillId="8" borderId="75" xfId="0" applyNumberFormat="1" applyFont="1" applyFill="1" applyBorder="1" applyAlignment="1">
      <alignment horizontal="center" vertical="top" wrapText="1"/>
    </xf>
    <xf numFmtId="0" fontId="6" fillId="4" borderId="76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0" fontId="6" fillId="4" borderId="75" xfId="0" applyNumberFormat="1" applyFont="1" applyFill="1" applyBorder="1" applyAlignment="1">
      <alignment horizontal="center" vertical="top" wrapText="1"/>
    </xf>
    <xf numFmtId="0" fontId="9" fillId="0" borderId="49" xfId="0" applyFont="1" applyFill="1" applyBorder="1" applyAlignment="1">
      <alignment horizontal="center" vertical="top" wrapText="1"/>
    </xf>
    <xf numFmtId="3" fontId="9" fillId="8" borderId="15" xfId="0" applyNumberFormat="1" applyFont="1" applyFill="1" applyBorder="1" applyAlignment="1">
      <alignment horizontal="center" vertical="top" wrapText="1"/>
    </xf>
    <xf numFmtId="3" fontId="9" fillId="8" borderId="21" xfId="0" applyNumberFormat="1" applyFont="1" applyFill="1" applyBorder="1" applyAlignment="1">
      <alignment horizontal="center" vertical="top" wrapText="1"/>
    </xf>
    <xf numFmtId="0" fontId="9" fillId="0" borderId="51" xfId="0" applyFont="1" applyFill="1" applyBorder="1" applyAlignment="1">
      <alignment horizontal="center" vertical="top" wrapText="1"/>
    </xf>
    <xf numFmtId="0" fontId="8" fillId="0" borderId="37" xfId="0" applyNumberFormat="1" applyFont="1" applyBorder="1" applyAlignment="1">
      <alignment horizontal="center" vertical="top"/>
    </xf>
    <xf numFmtId="3" fontId="6" fillId="8" borderId="52" xfId="0" applyNumberFormat="1" applyFont="1" applyFill="1" applyBorder="1" applyAlignment="1">
      <alignment horizontal="center" vertical="top" wrapText="1"/>
    </xf>
    <xf numFmtId="0" fontId="6" fillId="7" borderId="25" xfId="0" applyNumberFormat="1" applyFont="1" applyFill="1" applyBorder="1" applyAlignment="1">
      <alignment vertical="top" wrapText="1"/>
    </xf>
    <xf numFmtId="0" fontId="6" fillId="7" borderId="15" xfId="0" applyNumberFormat="1" applyFont="1" applyFill="1" applyBorder="1" applyAlignment="1">
      <alignment vertical="top" wrapText="1"/>
    </xf>
    <xf numFmtId="3" fontId="9" fillId="8" borderId="13" xfId="0" applyNumberFormat="1" applyFont="1" applyFill="1" applyBorder="1" applyAlignment="1">
      <alignment horizontal="center" vertical="top" wrapText="1"/>
    </xf>
    <xf numFmtId="3" fontId="9" fillId="8" borderId="72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vertical="top"/>
    </xf>
    <xf numFmtId="0" fontId="6" fillId="7" borderId="66" xfId="0" applyNumberFormat="1" applyFont="1" applyFill="1" applyBorder="1" applyAlignment="1">
      <alignment vertical="top" wrapText="1"/>
    </xf>
    <xf numFmtId="0" fontId="6" fillId="7" borderId="17" xfId="0" applyNumberFormat="1" applyFont="1" applyFill="1" applyBorder="1" applyAlignment="1">
      <alignment horizontal="center" vertical="top" wrapText="1"/>
    </xf>
    <xf numFmtId="0" fontId="6" fillId="7" borderId="19" xfId="0" applyNumberFormat="1" applyFont="1" applyFill="1" applyBorder="1" applyAlignment="1">
      <alignment vertical="top" wrapText="1"/>
    </xf>
    <xf numFmtId="0" fontId="6" fillId="7" borderId="31" xfId="0" applyNumberFormat="1" applyFont="1" applyFill="1" applyBorder="1" applyAlignment="1">
      <alignment vertical="top" wrapText="1"/>
    </xf>
    <xf numFmtId="0" fontId="8" fillId="0" borderId="35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3" fontId="6" fillId="8" borderId="8" xfId="0" applyNumberFormat="1" applyFont="1" applyFill="1" applyBorder="1" applyAlignment="1">
      <alignment horizontal="center" vertical="top" wrapText="1"/>
    </xf>
    <xf numFmtId="3" fontId="6" fillId="7" borderId="5" xfId="0" applyNumberFormat="1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vertical="top" wrapText="1"/>
    </xf>
    <xf numFmtId="3" fontId="6" fillId="7" borderId="1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vertical="top" wrapText="1"/>
    </xf>
    <xf numFmtId="0" fontId="8" fillId="0" borderId="49" xfId="0" applyFont="1" applyFill="1" applyBorder="1" applyAlignment="1">
      <alignment horizontal="center" vertical="center" wrapText="1"/>
    </xf>
    <xf numFmtId="3" fontId="6" fillId="8" borderId="57" xfId="0" applyNumberFormat="1" applyFont="1" applyFill="1" applyBorder="1" applyAlignment="1">
      <alignment horizontal="center" vertical="top" wrapText="1"/>
    </xf>
    <xf numFmtId="0" fontId="8" fillId="8" borderId="72" xfId="0" applyFont="1" applyFill="1" applyBorder="1" applyAlignment="1">
      <alignment horizontal="center" vertical="top" wrapText="1"/>
    </xf>
    <xf numFmtId="3" fontId="8" fillId="8" borderId="65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vertical="top" wrapText="1"/>
    </xf>
    <xf numFmtId="0" fontId="6" fillId="0" borderId="75" xfId="0" applyFont="1" applyBorder="1" applyAlignment="1">
      <alignment vertical="top"/>
    </xf>
    <xf numFmtId="3" fontId="6" fillId="4" borderId="25" xfId="0" applyNumberFormat="1" applyFont="1" applyFill="1" applyBorder="1" applyAlignment="1">
      <alignment horizontal="center" vertical="top" wrapText="1"/>
    </xf>
    <xf numFmtId="3" fontId="6" fillId="4" borderId="37" xfId="0" applyNumberFormat="1" applyFont="1" applyFill="1" applyBorder="1" applyAlignment="1">
      <alignment horizontal="center" vertical="top" wrapText="1"/>
    </xf>
    <xf numFmtId="0" fontId="8" fillId="0" borderId="49" xfId="0" applyFont="1" applyFill="1" applyBorder="1" applyAlignment="1">
      <alignment vertical="center" wrapText="1"/>
    </xf>
    <xf numFmtId="0" fontId="8" fillId="0" borderId="68" xfId="0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/>
    </xf>
    <xf numFmtId="49" fontId="9" fillId="0" borderId="55" xfId="0" applyNumberFormat="1" applyFont="1" applyBorder="1" applyAlignment="1">
      <alignment vertical="center" textRotation="90"/>
    </xf>
    <xf numFmtId="49" fontId="8" fillId="7" borderId="53" xfId="0" applyNumberFormat="1" applyFont="1" applyFill="1" applyBorder="1" applyAlignment="1">
      <alignment horizontal="center" vertical="top"/>
    </xf>
    <xf numFmtId="0" fontId="6" fillId="0" borderId="72" xfId="0" applyFont="1" applyFill="1" applyBorder="1" applyAlignment="1">
      <alignment horizontal="center" vertical="top"/>
    </xf>
    <xf numFmtId="3" fontId="6" fillId="8" borderId="65" xfId="0" applyNumberFormat="1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 wrapText="1"/>
    </xf>
    <xf numFmtId="3" fontId="6" fillId="8" borderId="0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72" xfId="0" applyNumberFormat="1" applyFont="1" applyFill="1" applyBorder="1" applyAlignment="1">
      <alignment horizontal="center" vertical="top" wrapText="1"/>
    </xf>
    <xf numFmtId="0" fontId="8" fillId="8" borderId="25" xfId="0" applyFont="1" applyFill="1" applyBorder="1" applyAlignment="1">
      <alignment horizontal="center" vertical="top" wrapText="1"/>
    </xf>
    <xf numFmtId="3" fontId="8" fillId="8" borderId="52" xfId="0" applyNumberFormat="1" applyFont="1" applyFill="1" applyBorder="1" applyAlignment="1">
      <alignment horizontal="center" vertical="top"/>
    </xf>
    <xf numFmtId="49" fontId="8" fillId="4" borderId="31" xfId="0" applyNumberFormat="1" applyFont="1" applyFill="1" applyBorder="1" applyAlignment="1">
      <alignment vertical="top"/>
    </xf>
    <xf numFmtId="3" fontId="8" fillId="8" borderId="40" xfId="0" applyNumberFormat="1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center" vertical="top"/>
    </xf>
    <xf numFmtId="3" fontId="8" fillId="3" borderId="64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49" fontId="9" fillId="0" borderId="61" xfId="0" applyNumberFormat="1" applyFont="1" applyBorder="1" applyAlignment="1">
      <alignment vertical="center" textRotation="90"/>
    </xf>
    <xf numFmtId="49" fontId="9" fillId="0" borderId="35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9" fillId="0" borderId="53" xfId="0" applyNumberFormat="1" applyFont="1" applyBorder="1" applyAlignment="1">
      <alignment horizontal="center" vertical="top" wrapText="1"/>
    </xf>
    <xf numFmtId="3" fontId="6" fillId="4" borderId="54" xfId="0" applyNumberFormat="1" applyFont="1" applyFill="1" applyBorder="1" applyAlignment="1">
      <alignment horizontal="center" vertical="top" wrapText="1"/>
    </xf>
    <xf numFmtId="0" fontId="6" fillId="0" borderId="52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37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9" fillId="0" borderId="49" xfId="0" applyNumberFormat="1" applyFont="1" applyBorder="1" applyAlignment="1">
      <alignment vertical="center" textRotation="90"/>
    </xf>
    <xf numFmtId="49" fontId="9" fillId="0" borderId="34" xfId="0" applyNumberFormat="1" applyFont="1" applyBorder="1" applyAlignment="1">
      <alignment vertical="top" wrapText="1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21" xfId="0" applyNumberFormat="1" applyFont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3" fontId="9" fillId="8" borderId="52" xfId="0" applyNumberFormat="1" applyFont="1" applyFill="1" applyBorder="1" applyAlignment="1">
      <alignment horizontal="center" vertical="top" wrapText="1"/>
    </xf>
    <xf numFmtId="0" fontId="9" fillId="0" borderId="28" xfId="0" applyNumberFormat="1" applyFont="1" applyFill="1" applyBorder="1" applyAlignment="1">
      <alignment horizontal="center" vertical="top"/>
    </xf>
    <xf numFmtId="0" fontId="9" fillId="0" borderId="12" xfId="0" applyNumberFormat="1" applyFont="1" applyFill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49" fontId="9" fillId="0" borderId="60" xfId="0" applyNumberFormat="1" applyFont="1" applyBorder="1" applyAlignment="1">
      <alignment horizontal="center" vertical="center"/>
    </xf>
    <xf numFmtId="3" fontId="6" fillId="4" borderId="52" xfId="0" applyNumberFormat="1" applyFont="1" applyFill="1" applyBorder="1" applyAlignment="1">
      <alignment horizontal="center" vertical="top" wrapText="1"/>
    </xf>
    <xf numFmtId="1" fontId="6" fillId="0" borderId="76" xfId="0" applyNumberFormat="1" applyFont="1" applyFill="1" applyBorder="1" applyAlignment="1">
      <alignment horizontal="center" vertical="top"/>
    </xf>
    <xf numFmtId="1" fontId="6" fillId="0" borderId="75" xfId="0" applyNumberFormat="1" applyFont="1" applyFill="1" applyBorder="1" applyAlignment="1">
      <alignment horizontal="center" vertical="top"/>
    </xf>
    <xf numFmtId="3" fontId="8" fillId="8" borderId="25" xfId="0" applyNumberFormat="1" applyFont="1" applyFill="1" applyBorder="1" applyAlignment="1">
      <alignment horizontal="center" vertical="top" wrapText="1"/>
    </xf>
    <xf numFmtId="0" fontId="6" fillId="0" borderId="76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75" xfId="0" applyNumberFormat="1" applyFont="1" applyBorder="1" applyAlignment="1">
      <alignment horizontal="center" vertical="top" wrapText="1"/>
    </xf>
    <xf numFmtId="49" fontId="9" fillId="0" borderId="68" xfId="0" applyNumberFormat="1" applyFont="1" applyBorder="1" applyAlignment="1">
      <alignment vertical="center" textRotation="90"/>
    </xf>
    <xf numFmtId="49" fontId="9" fillId="0" borderId="36" xfId="0" applyNumberFormat="1" applyFont="1" applyBorder="1" applyAlignment="1">
      <alignment vertical="top" wrapText="1"/>
    </xf>
    <xf numFmtId="3" fontId="9" fillId="8" borderId="41" xfId="0" applyNumberFormat="1" applyFont="1" applyFill="1" applyBorder="1" applyAlignment="1">
      <alignment horizontal="center" vertical="top" wrapText="1"/>
    </xf>
    <xf numFmtId="0" fontId="9" fillId="7" borderId="64" xfId="0" applyNumberFormat="1" applyFont="1" applyFill="1" applyBorder="1" applyAlignment="1">
      <alignment horizontal="center" vertical="top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44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vertical="top"/>
    </xf>
    <xf numFmtId="0" fontId="6" fillId="0" borderId="74" xfId="0" applyFont="1" applyFill="1" applyBorder="1" applyAlignment="1">
      <alignment vertical="top" wrapText="1"/>
    </xf>
    <xf numFmtId="1" fontId="6" fillId="0" borderId="38" xfId="0" applyNumberFormat="1" applyFont="1" applyFill="1" applyBorder="1" applyAlignment="1">
      <alignment horizontal="center" vertical="top"/>
    </xf>
    <xf numFmtId="3" fontId="6" fillId="8" borderId="52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vertical="top"/>
    </xf>
    <xf numFmtId="49" fontId="9" fillId="2" borderId="76" xfId="0" applyNumberFormat="1" applyFont="1" applyFill="1" applyBorder="1" applyAlignment="1">
      <alignment horizontal="center" vertical="top"/>
    </xf>
    <xf numFmtId="0" fontId="9" fillId="0" borderId="76" xfId="0" applyFont="1" applyBorder="1" applyAlignment="1">
      <alignment horizontal="center" vertical="center" textRotation="90"/>
    </xf>
    <xf numFmtId="0" fontId="9" fillId="8" borderId="13" xfId="0" applyFont="1" applyFill="1" applyBorder="1" applyAlignment="1">
      <alignment horizontal="center" vertical="top"/>
    </xf>
    <xf numFmtId="3" fontId="9" fillId="8" borderId="54" xfId="0" applyNumberFormat="1" applyFont="1" applyFill="1" applyBorder="1" applyAlignment="1">
      <alignment horizontal="center" vertical="top"/>
    </xf>
    <xf numFmtId="3" fontId="9" fillId="8" borderId="13" xfId="0" applyNumberFormat="1" applyFont="1" applyFill="1" applyBorder="1" applyAlignment="1">
      <alignment horizontal="center" vertical="top"/>
    </xf>
    <xf numFmtId="3" fontId="9" fillId="8" borderId="60" xfId="0" applyNumberFormat="1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vertical="top"/>
    </xf>
    <xf numFmtId="1" fontId="6" fillId="0" borderId="39" xfId="0" applyNumberFormat="1" applyFont="1" applyFill="1" applyBorder="1" applyAlignment="1">
      <alignment vertical="top"/>
    </xf>
    <xf numFmtId="1" fontId="6" fillId="0" borderId="36" xfId="0" applyNumberFormat="1" applyFont="1" applyFill="1" applyBorder="1" applyAlignment="1">
      <alignment vertical="top"/>
    </xf>
    <xf numFmtId="1" fontId="6" fillId="7" borderId="10" xfId="0" applyNumberFormat="1" applyFont="1" applyFill="1" applyBorder="1" applyAlignment="1">
      <alignment horizontal="center" vertical="top"/>
    </xf>
    <xf numFmtId="1" fontId="6" fillId="7" borderId="12" xfId="0" applyNumberFormat="1" applyFont="1" applyFill="1" applyBorder="1" applyAlignment="1">
      <alignment horizontal="center" vertical="top"/>
    </xf>
    <xf numFmtId="1" fontId="6" fillId="7" borderId="34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vertical="top"/>
    </xf>
    <xf numFmtId="1" fontId="6" fillId="0" borderId="19" xfId="0" applyNumberFormat="1" applyFont="1" applyFill="1" applyBorder="1" applyAlignment="1">
      <alignment vertical="top"/>
    </xf>
    <xf numFmtId="1" fontId="6" fillId="0" borderId="31" xfId="0" applyNumberFormat="1" applyFont="1" applyFill="1" applyBorder="1" applyAlignment="1">
      <alignment vertical="top"/>
    </xf>
    <xf numFmtId="3" fontId="8" fillId="3" borderId="3" xfId="0" applyNumberFormat="1" applyFont="1" applyFill="1" applyBorder="1" applyAlignment="1">
      <alignment horizontal="center" vertical="top"/>
    </xf>
    <xf numFmtId="3" fontId="9" fillId="2" borderId="66" xfId="0" applyNumberFormat="1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top"/>
    </xf>
    <xf numFmtId="3" fontId="9" fillId="5" borderId="66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69" xfId="0" applyNumberFormat="1" applyFont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center" vertical="top" wrapText="1"/>
    </xf>
    <xf numFmtId="3" fontId="8" fillId="5" borderId="69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6" fillId="0" borderId="65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9" fillId="8" borderId="23" xfId="0" applyNumberFormat="1" applyFont="1" applyFill="1" applyBorder="1" applyAlignment="1">
      <alignment horizontal="center" vertical="top" wrapText="1"/>
    </xf>
    <xf numFmtId="3" fontId="8" fillId="8" borderId="69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7" borderId="12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left" vertical="top" wrapText="1"/>
    </xf>
    <xf numFmtId="3" fontId="8" fillId="8" borderId="13" xfId="0" applyNumberFormat="1" applyFont="1" applyFill="1" applyBorder="1" applyAlignment="1">
      <alignment horizontal="center" vertical="top" wrapText="1"/>
    </xf>
    <xf numFmtId="49" fontId="8" fillId="0" borderId="18" xfId="0" applyNumberFormat="1" applyFont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 wrapText="1"/>
    </xf>
    <xf numFmtId="0" fontId="8" fillId="8" borderId="40" xfId="0" applyFont="1" applyFill="1" applyBorder="1" applyAlignment="1">
      <alignment horizontal="center" vertical="top"/>
    </xf>
    <xf numFmtId="49" fontId="6" fillId="7" borderId="17" xfId="0" applyNumberFormat="1" applyFont="1" applyFill="1" applyBorder="1" applyAlignment="1">
      <alignment vertical="top"/>
    </xf>
    <xf numFmtId="1" fontId="6" fillId="7" borderId="19" xfId="0" applyNumberFormat="1" applyFont="1" applyFill="1" applyBorder="1" applyAlignment="1">
      <alignment vertical="top"/>
    </xf>
    <xf numFmtId="1" fontId="6" fillId="7" borderId="31" xfId="0" applyNumberFormat="1" applyFont="1" applyFill="1" applyBorder="1" applyAlignment="1">
      <alignment vertical="top"/>
    </xf>
    <xf numFmtId="0" fontId="8" fillId="8" borderId="40" xfId="0" applyFont="1" applyFill="1" applyBorder="1" applyAlignment="1">
      <alignment horizontal="center" vertical="top" wrapText="1"/>
    </xf>
    <xf numFmtId="3" fontId="9" fillId="3" borderId="27" xfId="0" applyNumberFormat="1" applyFont="1" applyFill="1" applyBorder="1" applyAlignment="1">
      <alignment horizontal="center" vertical="top"/>
    </xf>
    <xf numFmtId="3" fontId="9" fillId="2" borderId="64" xfId="0" applyNumberFormat="1" applyFont="1" applyFill="1" applyBorder="1" applyAlignment="1">
      <alignment horizontal="center" vertical="top"/>
    </xf>
    <xf numFmtId="3" fontId="9" fillId="5" borderId="64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top"/>
    </xf>
    <xf numFmtId="3" fontId="6" fillId="7" borderId="74" xfId="0" applyNumberFormat="1" applyFont="1" applyFill="1" applyBorder="1" applyAlignment="1">
      <alignment horizontal="center" vertical="top" wrapText="1"/>
    </xf>
    <xf numFmtId="3" fontId="8" fillId="3" borderId="71" xfId="0" applyNumberFormat="1" applyFont="1" applyFill="1" applyBorder="1" applyAlignment="1">
      <alignment horizontal="center" vertical="top"/>
    </xf>
    <xf numFmtId="3" fontId="6" fillId="7" borderId="12" xfId="0" applyNumberFormat="1" applyFont="1" applyFill="1" applyBorder="1" applyAlignment="1">
      <alignment horizontal="center" vertical="top"/>
    </xf>
    <xf numFmtId="3" fontId="9" fillId="8" borderId="2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 wrapText="1"/>
    </xf>
    <xf numFmtId="3" fontId="8" fillId="8" borderId="43" xfId="0" applyNumberFormat="1" applyFont="1" applyFill="1" applyBorder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 wrapText="1"/>
    </xf>
    <xf numFmtId="3" fontId="6" fillId="7" borderId="72" xfId="0" applyNumberFormat="1" applyFont="1" applyFill="1" applyBorder="1" applyAlignment="1">
      <alignment horizontal="center" vertical="top" wrapText="1"/>
    </xf>
    <xf numFmtId="3" fontId="8" fillId="8" borderId="63" xfId="0" applyNumberFormat="1" applyFont="1" applyFill="1" applyBorder="1" applyAlignment="1">
      <alignment horizontal="center" vertical="top" wrapText="1"/>
    </xf>
    <xf numFmtId="3" fontId="6" fillId="7" borderId="73" xfId="0" applyNumberFormat="1" applyFont="1" applyFill="1" applyBorder="1" applyAlignment="1">
      <alignment horizontal="center" vertical="top" wrapText="1"/>
    </xf>
    <xf numFmtId="3" fontId="1" fillId="7" borderId="75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/>
    </xf>
    <xf numFmtId="3" fontId="6" fillId="7" borderId="37" xfId="0" applyNumberFormat="1" applyFont="1" applyFill="1" applyBorder="1" applyAlignment="1">
      <alignment horizontal="center" vertical="top"/>
    </xf>
    <xf numFmtId="3" fontId="8" fillId="8" borderId="63" xfId="0" applyNumberFormat="1" applyFont="1" applyFill="1" applyBorder="1" applyAlignment="1">
      <alignment horizontal="center" vertical="top"/>
    </xf>
    <xf numFmtId="3" fontId="6" fillId="7" borderId="75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top"/>
    </xf>
    <xf numFmtId="3" fontId="6" fillId="7" borderId="1" xfId="0" applyNumberFormat="1" applyFont="1" applyFill="1" applyBorder="1" applyAlignment="1">
      <alignment horizontal="center" vertical="top" wrapText="1"/>
    </xf>
    <xf numFmtId="3" fontId="6" fillId="7" borderId="12" xfId="0" applyNumberFormat="1" applyFont="1" applyFill="1" applyBorder="1" applyAlignment="1">
      <alignment horizontal="center" vertical="top" wrapText="1"/>
    </xf>
    <xf numFmtId="3" fontId="6" fillId="7" borderId="47" xfId="0" applyNumberFormat="1" applyFont="1" applyFill="1" applyBorder="1" applyAlignment="1">
      <alignment horizontal="center" vertical="top" wrapText="1"/>
    </xf>
    <xf numFmtId="3" fontId="6" fillId="7" borderId="1" xfId="0" applyNumberFormat="1" applyFont="1" applyFill="1" applyBorder="1" applyAlignment="1">
      <alignment horizontal="center" vertical="top"/>
    </xf>
    <xf numFmtId="3" fontId="9" fillId="8" borderId="19" xfId="0" applyNumberFormat="1" applyFont="1" applyFill="1" applyBorder="1" applyAlignment="1">
      <alignment horizontal="center" vertical="top"/>
    </xf>
    <xf numFmtId="3" fontId="9" fillId="3" borderId="4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 wrapText="1"/>
    </xf>
    <xf numFmtId="3" fontId="6" fillId="7" borderId="43" xfId="0" applyNumberFormat="1" applyFont="1" applyFill="1" applyBorder="1" applyAlignment="1">
      <alignment horizontal="center" vertical="top" wrapText="1"/>
    </xf>
    <xf numFmtId="3" fontId="9" fillId="3" borderId="19" xfId="0" applyNumberFormat="1" applyFont="1" applyFill="1" applyBorder="1" applyAlignment="1">
      <alignment horizontal="center" vertical="top"/>
    </xf>
    <xf numFmtId="3" fontId="9" fillId="8" borderId="43" xfId="0" applyNumberFormat="1" applyFont="1" applyFill="1" applyBorder="1" applyAlignment="1">
      <alignment horizontal="center" vertical="top" wrapText="1"/>
    </xf>
    <xf numFmtId="3" fontId="9" fillId="8" borderId="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/>
    </xf>
    <xf numFmtId="3" fontId="9" fillId="2" borderId="19" xfId="0" applyNumberFormat="1" applyFont="1" applyFill="1" applyBorder="1" applyAlignment="1">
      <alignment horizontal="center" vertical="top"/>
    </xf>
    <xf numFmtId="3" fontId="9" fillId="5" borderId="19" xfId="0" applyNumberFormat="1" applyFont="1" applyFill="1" applyBorder="1" applyAlignment="1">
      <alignment horizontal="center" vertical="center"/>
    </xf>
    <xf numFmtId="3" fontId="6" fillId="7" borderId="50" xfId="0" applyNumberFormat="1" applyFont="1" applyFill="1" applyBorder="1" applyAlignment="1">
      <alignment horizontal="center" vertical="top" wrapText="1"/>
    </xf>
    <xf numFmtId="3" fontId="6" fillId="7" borderId="50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horizontal="center" vertical="top" wrapText="1"/>
    </xf>
    <xf numFmtId="3" fontId="9" fillId="3" borderId="30" xfId="0" applyNumberFormat="1" applyFont="1" applyFill="1" applyBorder="1" applyAlignment="1">
      <alignment horizontal="center" vertical="top"/>
    </xf>
    <xf numFmtId="3" fontId="6" fillId="7" borderId="75" xfId="0" applyNumberFormat="1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3" fontId="9" fillId="8" borderId="1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/>
    </xf>
    <xf numFmtId="3" fontId="9" fillId="3" borderId="71" xfId="0" applyNumberFormat="1" applyFont="1" applyFill="1" applyBorder="1" applyAlignment="1">
      <alignment horizontal="center" vertical="top"/>
    </xf>
    <xf numFmtId="3" fontId="9" fillId="8" borderId="37" xfId="0" applyNumberFormat="1" applyFont="1" applyFill="1" applyBorder="1" applyAlignment="1">
      <alignment horizontal="center" vertical="top" wrapText="1"/>
    </xf>
    <xf numFmtId="3" fontId="8" fillId="8" borderId="21" xfId="0" applyNumberFormat="1" applyFont="1" applyFill="1" applyBorder="1" applyAlignment="1">
      <alignment horizontal="center" vertical="top" wrapText="1"/>
    </xf>
    <xf numFmtId="3" fontId="6" fillId="0" borderId="43" xfId="0" applyNumberFormat="1" applyFont="1" applyBorder="1" applyAlignment="1">
      <alignment horizontal="center" vertical="top" wrapText="1"/>
    </xf>
    <xf numFmtId="3" fontId="6" fillId="0" borderId="65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9" fillId="5" borderId="12" xfId="0" applyNumberFormat="1" applyFont="1" applyFill="1" applyBorder="1" applyAlignment="1">
      <alignment horizontal="center" vertical="top" wrapText="1"/>
    </xf>
    <xf numFmtId="3" fontId="9" fillId="8" borderId="19" xfId="0" applyNumberFormat="1" applyFont="1" applyFill="1" applyBorder="1" applyAlignment="1">
      <alignment horizontal="center" vertical="top" wrapText="1"/>
    </xf>
    <xf numFmtId="3" fontId="9" fillId="5" borderId="43" xfId="0" applyNumberFormat="1" applyFont="1" applyFill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3" borderId="7" xfId="0" applyNumberFormat="1" applyFont="1" applyFill="1" applyBorder="1" applyAlignment="1">
      <alignment vertical="top" wrapText="1"/>
    </xf>
    <xf numFmtId="49" fontId="9" fillId="3" borderId="12" xfId="0" applyNumberFormat="1" applyFont="1" applyFill="1" applyBorder="1" applyAlignment="1">
      <alignment vertical="top" wrapText="1"/>
    </xf>
    <xf numFmtId="49" fontId="9" fillId="0" borderId="31" xfId="0" applyNumberFormat="1" applyFont="1" applyBorder="1" applyAlignment="1">
      <alignment vertical="top" wrapText="1"/>
    </xf>
    <xf numFmtId="49" fontId="8" fillId="0" borderId="34" xfId="0" applyNumberFormat="1" applyFont="1" applyBorder="1" applyAlignment="1">
      <alignment vertical="top" wrapText="1"/>
    </xf>
    <xf numFmtId="49" fontId="8" fillId="0" borderId="31" xfId="0" applyNumberFormat="1" applyFont="1" applyBorder="1" applyAlignment="1">
      <alignment vertical="top" wrapText="1"/>
    </xf>
    <xf numFmtId="0" fontId="6" fillId="0" borderId="75" xfId="0" applyFont="1" applyFill="1" applyBorder="1" applyAlignment="1">
      <alignment horizontal="center" vertical="top"/>
    </xf>
    <xf numFmtId="0" fontId="9" fillId="0" borderId="24" xfId="0" applyFont="1" applyBorder="1" applyAlignment="1">
      <alignment vertical="center" textRotation="90"/>
    </xf>
    <xf numFmtId="49" fontId="8" fillId="4" borderId="35" xfId="0" applyNumberFormat="1" applyFont="1" applyFill="1" applyBorder="1" applyAlignment="1">
      <alignment vertical="top"/>
    </xf>
    <xf numFmtId="0" fontId="9" fillId="0" borderId="55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 textRotation="90"/>
    </xf>
    <xf numFmtId="3" fontId="6" fillId="7" borderId="37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/>
    </xf>
    <xf numFmtId="49" fontId="9" fillId="2" borderId="45" xfId="0" applyNumberFormat="1" applyFont="1" applyFill="1" applyBorder="1" applyAlignment="1">
      <alignment horizontal="center" vertical="top" wrapText="1"/>
    </xf>
    <xf numFmtId="3" fontId="6" fillId="0" borderId="54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7" fillId="0" borderId="2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2" fillId="0" borderId="0" xfId="0" applyNumberFormat="1" applyFont="1" applyBorder="1"/>
    <xf numFmtId="3" fontId="1" fillId="0" borderId="13" xfId="0" applyNumberFormat="1" applyFont="1" applyFill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/>
    </xf>
    <xf numFmtId="3" fontId="6" fillId="0" borderId="25" xfId="0" applyNumberFormat="1" applyFont="1" applyBorder="1" applyAlignment="1">
      <alignment vertical="top"/>
    </xf>
    <xf numFmtId="3" fontId="6" fillId="7" borderId="0" xfId="0" applyNumberFormat="1" applyFont="1" applyFill="1" applyAlignment="1">
      <alignment vertical="top"/>
    </xf>
    <xf numFmtId="0" fontId="6" fillId="7" borderId="0" xfId="0" applyFont="1" applyFill="1" applyAlignment="1">
      <alignment vertical="top"/>
    </xf>
    <xf numFmtId="3" fontId="6" fillId="7" borderId="26" xfId="0" applyNumberFormat="1" applyFont="1" applyFill="1" applyBorder="1" applyAlignment="1">
      <alignment horizontal="center" vertical="top"/>
    </xf>
    <xf numFmtId="3" fontId="6" fillId="7" borderId="25" xfId="0" applyNumberFormat="1" applyFont="1" applyFill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 wrapText="1"/>
    </xf>
    <xf numFmtId="3" fontId="8" fillId="8" borderId="37" xfId="0" applyNumberFormat="1" applyFont="1" applyFill="1" applyBorder="1" applyAlignment="1">
      <alignment horizontal="center" vertical="top" wrapText="1"/>
    </xf>
    <xf numFmtId="3" fontId="8" fillId="8" borderId="72" xfId="0" applyNumberFormat="1" applyFont="1" applyFill="1" applyBorder="1" applyAlignment="1">
      <alignment horizontal="center" vertical="top" wrapText="1"/>
    </xf>
    <xf numFmtId="3" fontId="9" fillId="3" borderId="44" xfId="0" applyNumberFormat="1" applyFont="1" applyFill="1" applyBorder="1" applyAlignment="1">
      <alignment horizontal="center" vertical="top"/>
    </xf>
    <xf numFmtId="3" fontId="9" fillId="8" borderId="63" xfId="0" applyNumberFormat="1" applyFont="1" applyFill="1" applyBorder="1" applyAlignment="1">
      <alignment horizontal="center" vertical="top" wrapText="1"/>
    </xf>
    <xf numFmtId="3" fontId="9" fillId="8" borderId="72" xfId="0" applyNumberFormat="1" applyFont="1" applyFill="1" applyBorder="1" applyAlignment="1">
      <alignment horizontal="center" vertical="top"/>
    </xf>
    <xf numFmtId="3" fontId="9" fillId="2" borderId="31" xfId="0" applyNumberFormat="1" applyFont="1" applyFill="1" applyBorder="1" applyAlignment="1">
      <alignment horizontal="center" vertical="top"/>
    </xf>
    <xf numFmtId="3" fontId="9" fillId="5" borderId="31" xfId="0" applyNumberFormat="1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horizontal="center"/>
    </xf>
    <xf numFmtId="3" fontId="9" fillId="5" borderId="37" xfId="0" applyNumberFormat="1" applyFont="1" applyFill="1" applyBorder="1" applyAlignment="1">
      <alignment horizontal="center" vertical="top" wrapText="1"/>
    </xf>
    <xf numFmtId="3" fontId="6" fillId="0" borderId="75" xfId="0" applyNumberFormat="1" applyFont="1" applyBorder="1" applyAlignment="1">
      <alignment horizontal="center" vertical="top" wrapText="1"/>
    </xf>
    <xf numFmtId="0" fontId="6" fillId="4" borderId="7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6" fillId="8" borderId="1" xfId="0" applyNumberFormat="1" applyFont="1" applyFill="1" applyBorder="1" applyAlignment="1">
      <alignment horizontal="center" vertical="top" wrapText="1"/>
    </xf>
    <xf numFmtId="3" fontId="6" fillId="4" borderId="8" xfId="0" applyNumberFormat="1" applyFont="1" applyFill="1" applyBorder="1" applyAlignment="1">
      <alignment horizontal="center" vertical="top" wrapText="1"/>
    </xf>
    <xf numFmtId="0" fontId="6" fillId="0" borderId="17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3" fontId="9" fillId="5" borderId="36" xfId="0" applyNumberFormat="1" applyFont="1" applyFill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center" wrapText="1"/>
    </xf>
    <xf numFmtId="3" fontId="9" fillId="5" borderId="52" xfId="0" applyNumberFormat="1" applyFont="1" applyFill="1" applyBorder="1" applyAlignment="1">
      <alignment horizontal="center" vertical="top" wrapText="1"/>
    </xf>
    <xf numFmtId="3" fontId="6" fillId="0" borderId="52" xfId="0" applyNumberFormat="1" applyFont="1" applyBorder="1" applyAlignment="1">
      <alignment horizontal="center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9" fillId="5" borderId="28" xfId="0" applyNumberFormat="1" applyFont="1" applyFill="1" applyBorder="1" applyAlignment="1">
      <alignment horizontal="center" vertical="top" wrapText="1"/>
    </xf>
    <xf numFmtId="3" fontId="6" fillId="0" borderId="76" xfId="0" applyNumberFormat="1" applyFont="1" applyBorder="1" applyAlignment="1">
      <alignment horizontal="center" vertical="top" wrapText="1"/>
    </xf>
    <xf numFmtId="3" fontId="9" fillId="8" borderId="64" xfId="0" applyNumberFormat="1" applyFont="1" applyFill="1" applyBorder="1" applyAlignment="1">
      <alignment horizontal="center" vertical="top" wrapText="1"/>
    </xf>
    <xf numFmtId="3" fontId="6" fillId="0" borderId="59" xfId="0" applyNumberFormat="1" applyFont="1" applyFill="1" applyBorder="1" applyAlignment="1">
      <alignment horizontal="center" vertical="top" wrapText="1"/>
    </xf>
    <xf numFmtId="0" fontId="6" fillId="7" borderId="24" xfId="0" applyNumberFormat="1" applyFont="1" applyFill="1" applyBorder="1" applyAlignment="1">
      <alignment horizontal="center" vertical="top" wrapText="1"/>
    </xf>
    <xf numFmtId="0" fontId="6" fillId="7" borderId="28" xfId="0" applyNumberFormat="1" applyFont="1" applyFill="1" applyBorder="1" applyAlignment="1">
      <alignment horizontal="center" vertical="top" wrapText="1"/>
    </xf>
    <xf numFmtId="0" fontId="6" fillId="7" borderId="52" xfId="0" applyNumberFormat="1" applyFont="1" applyFill="1" applyBorder="1" applyAlignment="1">
      <alignment horizontal="center" vertical="top" wrapText="1"/>
    </xf>
    <xf numFmtId="0" fontId="6" fillId="7" borderId="46" xfId="0" applyNumberFormat="1" applyFont="1" applyFill="1" applyBorder="1" applyAlignment="1">
      <alignment horizontal="center" vertical="top"/>
    </xf>
    <xf numFmtId="0" fontId="6" fillId="7" borderId="51" xfId="0" applyNumberFormat="1" applyFont="1" applyFill="1" applyBorder="1" applyAlignment="1">
      <alignment horizontal="center" vertical="top"/>
    </xf>
    <xf numFmtId="3" fontId="10" fillId="4" borderId="14" xfId="0" applyNumberFormat="1" applyFont="1" applyFill="1" applyBorder="1" applyAlignment="1">
      <alignment horizontal="center" vertical="top" wrapText="1"/>
    </xf>
    <xf numFmtId="3" fontId="6" fillId="8" borderId="14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vertical="top"/>
    </xf>
    <xf numFmtId="49" fontId="9" fillId="4" borderId="36" xfId="0" applyNumberFormat="1" applyFont="1" applyFill="1" applyBorder="1" applyAlignment="1">
      <alignment vertical="top"/>
    </xf>
    <xf numFmtId="3" fontId="6" fillId="0" borderId="52" xfId="0" applyNumberFormat="1" applyFont="1" applyFill="1" applyBorder="1" applyAlignment="1">
      <alignment horizontal="center" vertical="top"/>
    </xf>
    <xf numFmtId="1" fontId="6" fillId="7" borderId="51" xfId="0" applyNumberFormat="1" applyFont="1" applyFill="1" applyBorder="1" applyAlignment="1">
      <alignment horizontal="center" vertical="top"/>
    </xf>
    <xf numFmtId="1" fontId="6" fillId="7" borderId="43" xfId="0" applyNumberFormat="1" applyFont="1" applyFill="1" applyBorder="1" applyAlignment="1">
      <alignment horizontal="center" vertical="top"/>
    </xf>
    <xf numFmtId="1" fontId="6" fillId="7" borderId="53" xfId="0" applyNumberFormat="1" applyFont="1" applyFill="1" applyBorder="1" applyAlignment="1">
      <alignment horizontal="center" vertical="top"/>
    </xf>
    <xf numFmtId="49" fontId="9" fillId="2" borderId="56" xfId="0" applyNumberFormat="1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3" fontId="6" fillId="7" borderId="47" xfId="0" applyNumberFormat="1" applyFont="1" applyFill="1" applyBorder="1" applyAlignment="1">
      <alignment horizontal="center" vertical="top"/>
    </xf>
    <xf numFmtId="3" fontId="10" fillId="7" borderId="39" xfId="0" applyNumberFormat="1" applyFont="1" applyFill="1" applyBorder="1" applyAlignment="1">
      <alignment horizontal="center" vertical="top" wrapText="1"/>
    </xf>
    <xf numFmtId="3" fontId="10" fillId="7" borderId="12" xfId="0" applyNumberFormat="1" applyFont="1" applyFill="1" applyBorder="1" applyAlignment="1">
      <alignment horizontal="center" vertical="top" wrapText="1"/>
    </xf>
    <xf numFmtId="3" fontId="10" fillId="4" borderId="39" xfId="0" applyNumberFormat="1" applyFont="1" applyFill="1" applyBorder="1" applyAlignment="1">
      <alignment horizontal="center" vertical="top" wrapText="1"/>
    </xf>
    <xf numFmtId="3" fontId="6" fillId="0" borderId="37" xfId="0" applyNumberFormat="1" applyFont="1" applyBorder="1" applyAlignment="1">
      <alignment horizontal="center" vertical="top" wrapText="1"/>
    </xf>
    <xf numFmtId="3" fontId="6" fillId="0" borderId="72" xfId="0" applyNumberFormat="1" applyFont="1" applyFill="1" applyBorder="1" applyAlignment="1">
      <alignment horizontal="center" vertical="top" wrapText="1"/>
    </xf>
    <xf numFmtId="3" fontId="6" fillId="0" borderId="72" xfId="0" applyNumberFormat="1" applyFont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 wrapText="1"/>
    </xf>
    <xf numFmtId="3" fontId="6" fillId="8" borderId="55" xfId="0" applyNumberFormat="1" applyFont="1" applyFill="1" applyBorder="1" applyAlignment="1">
      <alignment horizontal="center" vertical="top"/>
    </xf>
    <xf numFmtId="3" fontId="6" fillId="8" borderId="68" xfId="0" applyNumberFormat="1" applyFont="1" applyFill="1" applyBorder="1" applyAlignment="1">
      <alignment horizontal="center" vertical="top"/>
    </xf>
    <xf numFmtId="3" fontId="6" fillId="8" borderId="61" xfId="0" applyNumberFormat="1" applyFont="1" applyFill="1" applyBorder="1" applyAlignment="1">
      <alignment horizontal="center" vertical="top"/>
    </xf>
    <xf numFmtId="3" fontId="6" fillId="8" borderId="61" xfId="0" applyNumberFormat="1" applyFont="1" applyFill="1" applyBorder="1" applyAlignment="1">
      <alignment horizontal="center" vertical="top" wrapText="1"/>
    </xf>
    <xf numFmtId="3" fontId="8" fillId="8" borderId="55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/>
    </xf>
    <xf numFmtId="3" fontId="6" fillId="8" borderId="47" xfId="0" applyNumberFormat="1" applyFont="1" applyFill="1" applyBorder="1" applyAlignment="1">
      <alignment horizontal="center" vertical="top" wrapText="1"/>
    </xf>
    <xf numFmtId="3" fontId="10" fillId="8" borderId="39" xfId="0" applyNumberFormat="1" applyFont="1" applyFill="1" applyBorder="1" applyAlignment="1">
      <alignment horizontal="center" vertical="top" wrapText="1"/>
    </xf>
    <xf numFmtId="3" fontId="10" fillId="8" borderId="1" xfId="0" applyNumberFormat="1" applyFont="1" applyFill="1" applyBorder="1" applyAlignment="1">
      <alignment horizontal="center" vertical="top" wrapText="1"/>
    </xf>
    <xf numFmtId="3" fontId="10" fillId="8" borderId="12" xfId="0" applyNumberFormat="1" applyFont="1" applyFill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 wrapText="1"/>
    </xf>
    <xf numFmtId="3" fontId="10" fillId="8" borderId="14" xfId="0" applyNumberFormat="1" applyFont="1" applyFill="1" applyBorder="1" applyAlignment="1">
      <alignment horizontal="center" vertical="top" wrapText="1"/>
    </xf>
    <xf numFmtId="3" fontId="6" fillId="8" borderId="49" xfId="0" applyNumberFormat="1" applyFont="1" applyFill="1" applyBorder="1" applyAlignment="1">
      <alignment horizontal="center" vertical="top"/>
    </xf>
    <xf numFmtId="3" fontId="6" fillId="8" borderId="60" xfId="0" applyNumberFormat="1" applyFont="1" applyFill="1" applyBorder="1" applyAlignment="1">
      <alignment horizontal="center" vertical="top" wrapText="1"/>
    </xf>
    <xf numFmtId="3" fontId="6" fillId="8" borderId="49" xfId="0" applyNumberFormat="1" applyFont="1" applyFill="1" applyBorder="1" applyAlignment="1">
      <alignment horizontal="center" vertical="top" wrapText="1"/>
    </xf>
    <xf numFmtId="3" fontId="6" fillId="8" borderId="68" xfId="0" applyNumberFormat="1" applyFont="1" applyFill="1" applyBorder="1" applyAlignment="1">
      <alignment horizontal="center" vertical="top" wrapText="1"/>
    </xf>
    <xf numFmtId="3" fontId="9" fillId="8" borderId="58" xfId="0" applyNumberFormat="1" applyFont="1" applyFill="1" applyBorder="1" applyAlignment="1">
      <alignment horizontal="center" vertical="top" wrapText="1"/>
    </xf>
    <xf numFmtId="3" fontId="6" fillId="8" borderId="60" xfId="0" applyNumberFormat="1" applyFont="1" applyFill="1" applyBorder="1" applyAlignment="1">
      <alignment horizontal="center" vertical="top"/>
    </xf>
    <xf numFmtId="3" fontId="9" fillId="8" borderId="67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9" fillId="8" borderId="66" xfId="0" applyFont="1" applyFill="1" applyBorder="1" applyAlignment="1">
      <alignment horizontal="center" vertical="top"/>
    </xf>
    <xf numFmtId="3" fontId="9" fillId="8" borderId="54" xfId="0" applyNumberFormat="1" applyFont="1" applyFill="1" applyBorder="1" applyAlignment="1">
      <alignment horizontal="center" vertical="top" wrapText="1"/>
    </xf>
    <xf numFmtId="3" fontId="9" fillId="8" borderId="28" xfId="0" applyNumberFormat="1" applyFont="1" applyFill="1" applyBorder="1" applyAlignment="1">
      <alignment horizontal="center" vertical="top" wrapText="1"/>
    </xf>
    <xf numFmtId="0" fontId="6" fillId="4" borderId="24" xfId="0" applyNumberFormat="1" applyFont="1" applyFill="1" applyBorder="1" applyAlignment="1">
      <alignment vertical="top" wrapText="1"/>
    </xf>
    <xf numFmtId="0" fontId="6" fillId="4" borderId="76" xfId="0" applyNumberFormat="1" applyFont="1" applyFill="1" applyBorder="1" applyAlignment="1">
      <alignment vertical="top" wrapText="1"/>
    </xf>
    <xf numFmtId="0" fontId="6" fillId="4" borderId="54" xfId="0" applyFont="1" applyFill="1" applyBorder="1" applyAlignment="1">
      <alignment horizontal="left" vertical="top" wrapText="1"/>
    </xf>
    <xf numFmtId="0" fontId="6" fillId="7" borderId="28" xfId="0" applyNumberFormat="1" applyFont="1" applyFill="1" applyBorder="1" applyAlignment="1">
      <alignment vertical="top" wrapText="1"/>
    </xf>
    <xf numFmtId="0" fontId="6" fillId="7" borderId="54" xfId="0" applyNumberFormat="1" applyFont="1" applyFill="1" applyBorder="1" applyAlignment="1">
      <alignment vertical="top" wrapText="1"/>
    </xf>
    <xf numFmtId="0" fontId="6" fillId="4" borderId="7" xfId="0" applyNumberFormat="1" applyFont="1" applyFill="1" applyBorder="1" applyAlignment="1">
      <alignment vertical="top" wrapText="1"/>
    </xf>
    <xf numFmtId="0" fontId="6" fillId="4" borderId="22" xfId="0" applyNumberFormat="1" applyFont="1" applyFill="1" applyBorder="1" applyAlignment="1">
      <alignment vertical="top" wrapText="1"/>
    </xf>
    <xf numFmtId="0" fontId="6" fillId="4" borderId="51" xfId="0" applyNumberFormat="1" applyFont="1" applyFill="1" applyBorder="1" applyAlignment="1">
      <alignment horizontal="center" wrapText="1"/>
    </xf>
    <xf numFmtId="0" fontId="6" fillId="4" borderId="10" xfId="0" applyNumberFormat="1" applyFont="1" applyFill="1" applyBorder="1" applyAlignment="1">
      <alignment vertical="top" wrapText="1"/>
    </xf>
    <xf numFmtId="0" fontId="6" fillId="0" borderId="76" xfId="0" applyFont="1" applyBorder="1" applyAlignment="1">
      <alignment vertical="top"/>
    </xf>
    <xf numFmtId="0" fontId="6" fillId="0" borderId="50" xfId="0" applyFont="1" applyBorder="1" applyAlignment="1">
      <alignment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7" borderId="54" xfId="0" applyFont="1" applyFill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4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9" fontId="9" fillId="0" borderId="36" xfId="0" applyNumberFormat="1" applyFont="1" applyBorder="1" applyAlignment="1">
      <alignment vertical="top"/>
    </xf>
    <xf numFmtId="3" fontId="6" fillId="8" borderId="47" xfId="0" applyNumberFormat="1" applyFont="1" applyFill="1" applyBorder="1" applyAlignment="1">
      <alignment horizontal="center" vertical="top"/>
    </xf>
    <xf numFmtId="3" fontId="10" fillId="7" borderId="1" xfId="0" applyNumberFormat="1" applyFont="1" applyFill="1" applyBorder="1" applyAlignment="1">
      <alignment horizontal="center" vertical="top" wrapText="1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53" xfId="0" applyNumberFormat="1" applyFont="1" applyFill="1" applyBorder="1" applyAlignment="1">
      <alignment horizontal="center" vertical="top"/>
    </xf>
    <xf numFmtId="49" fontId="9" fillId="3" borderId="62" xfId="0" applyNumberFormat="1" applyFont="1" applyFill="1" applyBorder="1" applyAlignment="1">
      <alignment horizontal="center" vertical="top"/>
    </xf>
    <xf numFmtId="0" fontId="6" fillId="0" borderId="57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applyFont="1" applyFill="1"/>
    <xf numFmtId="0" fontId="8" fillId="0" borderId="34" xfId="0" applyNumberFormat="1" applyFont="1" applyBorder="1" applyAlignment="1">
      <alignment horizontal="center" vertical="top"/>
    </xf>
    <xf numFmtId="0" fontId="1" fillId="7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4" borderId="12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0" fontId="8" fillId="0" borderId="34" xfId="0" applyNumberFormat="1" applyFont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8" fillId="0" borderId="34" xfId="0" applyNumberFormat="1" applyFont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 textRotation="180" wrapText="1"/>
    </xf>
    <xf numFmtId="0" fontId="1" fillId="4" borderId="26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center" vertical="top" wrapText="1"/>
    </xf>
    <xf numFmtId="49" fontId="8" fillId="4" borderId="62" xfId="0" applyNumberFormat="1" applyFont="1" applyFill="1" applyBorder="1" applyAlignment="1">
      <alignment vertical="top"/>
    </xf>
    <xf numFmtId="0" fontId="1" fillId="7" borderId="13" xfId="0" applyFont="1" applyFill="1" applyBorder="1" applyAlignment="1">
      <alignment horizontal="left" vertical="top" wrapText="1"/>
    </xf>
    <xf numFmtId="0" fontId="8" fillId="7" borderId="36" xfId="0" applyNumberFormat="1" applyFont="1" applyFill="1" applyBorder="1" applyAlignment="1">
      <alignment horizontal="center" vertical="top"/>
    </xf>
    <xf numFmtId="49" fontId="9" fillId="0" borderId="18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3" fontId="6" fillId="8" borderId="1" xfId="0" applyNumberFormat="1" applyFont="1" applyFill="1" applyBorder="1" applyAlignment="1">
      <alignment horizontal="center" vertical="top"/>
    </xf>
    <xf numFmtId="3" fontId="6" fillId="7" borderId="72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 wrapText="1"/>
    </xf>
    <xf numFmtId="3" fontId="10" fillId="8" borderId="15" xfId="0" applyNumberFormat="1" applyFont="1" applyFill="1" applyBorder="1" applyAlignment="1">
      <alignment horizontal="center" vertical="top"/>
    </xf>
    <xf numFmtId="3" fontId="10" fillId="7" borderId="0" xfId="0" applyNumberFormat="1" applyFont="1" applyFill="1" applyBorder="1" applyAlignment="1">
      <alignment horizontal="center" vertical="top"/>
    </xf>
    <xf numFmtId="3" fontId="10" fillId="7" borderId="15" xfId="0" applyNumberFormat="1" applyFont="1" applyFill="1" applyBorder="1" applyAlignment="1">
      <alignment horizontal="center" vertical="top"/>
    </xf>
    <xf numFmtId="3" fontId="10" fillId="7" borderId="8" xfId="0" applyNumberFormat="1" applyFont="1" applyFill="1" applyBorder="1" applyAlignment="1">
      <alignment horizontal="center" vertical="top"/>
    </xf>
    <xf numFmtId="3" fontId="10" fillId="7" borderId="9" xfId="0" applyNumberFormat="1" applyFont="1" applyFill="1" applyBorder="1" applyAlignment="1">
      <alignment horizontal="center" vertical="top"/>
    </xf>
    <xf numFmtId="3" fontId="6" fillId="7" borderId="65" xfId="0" applyNumberFormat="1" applyFont="1" applyFill="1" applyBorder="1" applyAlignment="1">
      <alignment horizontal="center" vertical="top"/>
    </xf>
    <xf numFmtId="3" fontId="6" fillId="7" borderId="13" xfId="0" applyNumberFormat="1" applyFont="1" applyFill="1" applyBorder="1" applyAlignment="1">
      <alignment horizontal="center" vertical="top"/>
    </xf>
    <xf numFmtId="1" fontId="6" fillId="0" borderId="72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3" fontId="6" fillId="8" borderId="13" xfId="0" applyNumberFormat="1" applyFont="1" applyFill="1" applyBorder="1" applyAlignment="1">
      <alignment horizontal="center" vertical="top"/>
    </xf>
    <xf numFmtId="1" fontId="6" fillId="7" borderId="54" xfId="0" applyNumberFormat="1" applyFont="1" applyFill="1" applyBorder="1" applyAlignment="1">
      <alignment horizontal="center" vertical="top"/>
    </xf>
    <xf numFmtId="3" fontId="6" fillId="8" borderId="32" xfId="0" applyNumberFormat="1" applyFont="1" applyFill="1" applyBorder="1" applyAlignment="1">
      <alignment horizontal="center" vertical="top"/>
    </xf>
    <xf numFmtId="3" fontId="1" fillId="8" borderId="28" xfId="0" applyNumberFormat="1" applyFont="1" applyFill="1" applyBorder="1" applyAlignment="1">
      <alignment horizontal="center" vertical="top"/>
    </xf>
    <xf numFmtId="3" fontId="6" fillId="8" borderId="16" xfId="0" applyNumberFormat="1" applyFont="1" applyFill="1" applyBorder="1" applyAlignment="1">
      <alignment horizontal="center" vertical="top"/>
    </xf>
    <xf numFmtId="1" fontId="6" fillId="7" borderId="39" xfId="0" applyNumberFormat="1" applyFont="1" applyFill="1" applyBorder="1" applyAlignment="1">
      <alignment horizontal="center" vertical="top"/>
    </xf>
    <xf numFmtId="1" fontId="6" fillId="7" borderId="36" xfId="0" applyNumberFormat="1" applyFont="1" applyFill="1" applyBorder="1" applyAlignment="1">
      <alignment horizontal="center" vertical="top"/>
    </xf>
    <xf numFmtId="3" fontId="14" fillId="0" borderId="0" xfId="0" applyNumberFormat="1" applyFont="1" applyAlignment="1">
      <alignment horizontal="center"/>
    </xf>
    <xf numFmtId="0" fontId="6" fillId="0" borderId="19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7" borderId="66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4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1" fontId="6" fillId="0" borderId="3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0" fontId="1" fillId="7" borderId="15" xfId="0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49" fontId="9" fillId="0" borderId="34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50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49" fontId="9" fillId="4" borderId="12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3" fontId="6" fillId="7" borderId="73" xfId="0" applyNumberFormat="1" applyFont="1" applyFill="1" applyBorder="1" applyAlignment="1">
      <alignment horizontal="center" vertical="top"/>
    </xf>
    <xf numFmtId="3" fontId="15" fillId="7" borderId="47" xfId="0" applyNumberFormat="1" applyFont="1" applyFill="1" applyBorder="1" applyAlignment="1">
      <alignment horizontal="center" vertical="top"/>
    </xf>
    <xf numFmtId="3" fontId="15" fillId="7" borderId="73" xfId="0" applyNumberFormat="1" applyFont="1" applyFill="1" applyBorder="1" applyAlignment="1">
      <alignment horizontal="center" vertical="top"/>
    </xf>
    <xf numFmtId="3" fontId="6" fillId="8" borderId="77" xfId="0" applyNumberFormat="1" applyFont="1" applyFill="1" applyBorder="1" applyAlignment="1">
      <alignment horizontal="center" vertical="top"/>
    </xf>
    <xf numFmtId="3" fontId="15" fillId="0" borderId="47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49" fontId="9" fillId="2" borderId="46" xfId="0" applyNumberFormat="1" applyFont="1" applyFill="1" applyBorder="1" applyAlignment="1">
      <alignment vertical="top"/>
    </xf>
    <xf numFmtId="49" fontId="9" fillId="3" borderId="47" xfId="0" applyNumberFormat="1" applyFont="1" applyFill="1" applyBorder="1" applyAlignment="1">
      <alignment horizontal="center" vertical="top"/>
    </xf>
    <xf numFmtId="49" fontId="9" fillId="4" borderId="47" xfId="0" applyNumberFormat="1" applyFont="1" applyFill="1" applyBorder="1" applyAlignment="1">
      <alignment horizontal="center" vertical="top"/>
    </xf>
    <xf numFmtId="49" fontId="9" fillId="4" borderId="16" xfId="0" applyNumberFormat="1" applyFont="1" applyFill="1" applyBorder="1" applyAlignment="1">
      <alignment vertical="top" wrapText="1"/>
    </xf>
    <xf numFmtId="0" fontId="9" fillId="0" borderId="32" xfId="0" applyFont="1" applyBorder="1" applyAlignment="1">
      <alignment vertical="center" textRotation="90"/>
    </xf>
    <xf numFmtId="49" fontId="9" fillId="0" borderId="48" xfId="0" applyNumberFormat="1" applyFont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 wrapText="1"/>
    </xf>
    <xf numFmtId="1" fontId="6" fillId="0" borderId="46" xfId="0" applyNumberFormat="1" applyFont="1" applyFill="1" applyBorder="1" applyAlignment="1">
      <alignment horizontal="center" vertical="top"/>
    </xf>
    <xf numFmtId="1" fontId="6" fillId="0" borderId="48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49" fontId="9" fillId="6" borderId="32" xfId="0" applyNumberFormat="1" applyFont="1" applyFill="1" applyBorder="1" applyAlignment="1">
      <alignment horizontal="left" vertical="top" wrapText="1"/>
    </xf>
    <xf numFmtId="49" fontId="9" fillId="6" borderId="33" xfId="0" applyNumberFormat="1" applyFont="1" applyFill="1" applyBorder="1" applyAlignment="1">
      <alignment horizontal="left" vertical="top" wrapText="1"/>
    </xf>
    <xf numFmtId="49" fontId="9" fillId="6" borderId="73" xfId="0" applyNumberFormat="1" applyFont="1" applyFill="1" applyBorder="1" applyAlignment="1">
      <alignment horizontal="left" vertical="top" wrapText="1"/>
    </xf>
    <xf numFmtId="0" fontId="12" fillId="5" borderId="54" xfId="0" applyFont="1" applyFill="1" applyBorder="1" applyAlignment="1">
      <alignment horizontal="left" vertical="top" wrapText="1"/>
    </xf>
    <xf numFmtId="0" fontId="12" fillId="5" borderId="57" xfId="0" applyFont="1" applyFill="1" applyBorder="1" applyAlignment="1">
      <alignment horizontal="left" vertical="top" wrapText="1"/>
    </xf>
    <xf numFmtId="0" fontId="12" fillId="5" borderId="37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/>
    </xf>
    <xf numFmtId="0" fontId="9" fillId="2" borderId="71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66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3" fontId="6" fillId="0" borderId="9" xfId="0" applyNumberFormat="1" applyFont="1" applyBorder="1" applyAlignment="1">
      <alignment horizontal="center" vertical="center" textRotation="90" wrapText="1"/>
    </xf>
    <xf numFmtId="3" fontId="6" fillId="0" borderId="15" xfId="0" applyNumberFormat="1" applyFont="1" applyBorder="1" applyAlignment="1">
      <alignment horizontal="center" vertical="center" textRotation="90" wrapText="1"/>
    </xf>
    <xf numFmtId="3" fontId="6" fillId="0" borderId="66" xfId="0" applyNumberFormat="1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textRotation="90" wrapText="1"/>
    </xf>
    <xf numFmtId="0" fontId="1" fillId="0" borderId="34" xfId="0" applyNumberFormat="1" applyFont="1" applyBorder="1" applyAlignment="1">
      <alignment horizontal="center" vertical="center" textRotation="90" wrapText="1"/>
    </xf>
    <xf numFmtId="0" fontId="1" fillId="0" borderId="31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66" xfId="0" applyFont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66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4" xfId="0" applyFont="1" applyFill="1" applyBorder="1" applyAlignment="1">
      <alignment horizontal="center" vertical="top" wrapText="1"/>
    </xf>
    <xf numFmtId="0" fontId="6" fillId="7" borderId="15" xfId="0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1" fontId="6" fillId="0" borderId="35" xfId="0" applyNumberFormat="1" applyFont="1" applyFill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0" fontId="6" fillId="0" borderId="61" xfId="0" applyFont="1" applyFill="1" applyBorder="1" applyAlignment="1">
      <alignment horizontal="center" vertical="top" wrapText="1"/>
    </xf>
    <xf numFmtId="0" fontId="6" fillId="0" borderId="67" xfId="0" applyFont="1" applyFill="1" applyBorder="1" applyAlignment="1">
      <alignment horizontal="center" vertical="top" wrapText="1"/>
    </xf>
    <xf numFmtId="49" fontId="9" fillId="3" borderId="70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1" xfId="0" applyNumberFormat="1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 textRotation="1"/>
    </xf>
    <xf numFmtId="1" fontId="1" fillId="0" borderId="19" xfId="0" applyNumberFormat="1" applyFont="1" applyFill="1" applyBorder="1" applyAlignment="1">
      <alignment horizontal="center" vertical="top" textRotation="1"/>
    </xf>
    <xf numFmtId="1" fontId="1" fillId="0" borderId="35" xfId="0" applyNumberFormat="1" applyFont="1" applyFill="1" applyBorder="1" applyAlignment="1">
      <alignment horizontal="center" vertical="top" textRotation="1"/>
    </xf>
    <xf numFmtId="1" fontId="1" fillId="0" borderId="31" xfId="0" applyNumberFormat="1" applyFont="1" applyFill="1" applyBorder="1" applyAlignment="1">
      <alignment horizontal="center" vertical="top" textRotation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left" vertical="top" wrapText="1"/>
    </xf>
    <xf numFmtId="164" fontId="6" fillId="0" borderId="66" xfId="0" applyNumberFormat="1" applyFont="1" applyFill="1" applyBorder="1" applyAlignment="1">
      <alignment horizontal="left" vertical="top" wrapText="1"/>
    </xf>
    <xf numFmtId="1" fontId="2" fillId="0" borderId="31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horizontal="center" vertical="top" textRotation="1"/>
    </xf>
    <xf numFmtId="1" fontId="1" fillId="0" borderId="17" xfId="0" applyNumberFormat="1" applyFont="1" applyFill="1" applyBorder="1" applyAlignment="1">
      <alignment horizontal="center" vertical="top" textRotation="1"/>
    </xf>
    <xf numFmtId="3" fontId="6" fillId="0" borderId="0" xfId="0" applyNumberFormat="1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1" fillId="4" borderId="66" xfId="0" applyFont="1" applyFill="1" applyBorder="1" applyAlignment="1">
      <alignment horizontal="left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0" fontId="6" fillId="4" borderId="9" xfId="0" applyNumberFormat="1" applyFont="1" applyFill="1" applyBorder="1" applyAlignment="1">
      <alignment horizontal="left" vertical="top" wrapText="1"/>
    </xf>
    <xf numFmtId="0" fontId="6" fillId="4" borderId="15" xfId="0" applyNumberFormat="1" applyFont="1" applyFill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center" vertical="top"/>
    </xf>
    <xf numFmtId="49" fontId="8" fillId="2" borderId="10" xfId="0" applyNumberFormat="1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top"/>
    </xf>
    <xf numFmtId="49" fontId="8" fillId="3" borderId="7" xfId="0" applyNumberFormat="1" applyFont="1" applyFill="1" applyBorder="1" applyAlignment="1">
      <alignment horizontal="center" vertical="top"/>
    </xf>
    <xf numFmtId="49" fontId="8" fillId="3" borderId="12" xfId="0" applyNumberFormat="1" applyFont="1" applyFill="1" applyBorder="1" applyAlignment="1">
      <alignment horizontal="center" vertical="top"/>
    </xf>
    <xf numFmtId="49" fontId="8" fillId="3" borderId="19" xfId="0" applyNumberFormat="1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64" xfId="0" applyFont="1" applyFill="1" applyBorder="1" applyAlignment="1">
      <alignment horizontal="center" vertical="center" textRotation="90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164" fontId="6" fillId="0" borderId="76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8" fillId="0" borderId="31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6" fillId="0" borderId="66" xfId="0" applyNumberFormat="1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6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49" fontId="9" fillId="0" borderId="51" xfId="0" applyNumberFormat="1" applyFont="1" applyBorder="1" applyAlignment="1">
      <alignment horizontal="center" vertical="center" textRotation="90"/>
    </xf>
    <xf numFmtId="49" fontId="9" fillId="0" borderId="10" xfId="0" applyNumberFormat="1" applyFont="1" applyBorder="1" applyAlignment="1">
      <alignment horizontal="center" vertical="center" textRotation="90"/>
    </xf>
    <xf numFmtId="0" fontId="6" fillId="7" borderId="25" xfId="0" applyFont="1" applyFill="1" applyBorder="1" applyAlignment="1">
      <alignment horizontal="left" vertical="top" wrapText="1"/>
    </xf>
    <xf numFmtId="0" fontId="6" fillId="7" borderId="26" xfId="0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/>
    </xf>
    <xf numFmtId="49" fontId="9" fillId="3" borderId="23" xfId="0" applyNumberFormat="1" applyFont="1" applyFill="1" applyBorder="1" applyAlignment="1">
      <alignment horizontal="left" vertical="top"/>
    </xf>
    <xf numFmtId="49" fontId="9" fillId="3" borderId="71" xfId="0" applyNumberFormat="1" applyFont="1" applyFill="1" applyBorder="1" applyAlignment="1">
      <alignment horizontal="left" vertical="top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4" borderId="26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66" xfId="0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0" fontId="6" fillId="7" borderId="28" xfId="0" applyFont="1" applyFill="1" applyBorder="1" applyAlignment="1">
      <alignment horizontal="left" vertical="top" wrapText="1"/>
    </xf>
    <xf numFmtId="0" fontId="6" fillId="7" borderId="64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textRotation="90" wrapText="1"/>
    </xf>
    <xf numFmtId="0" fontId="6" fillId="0" borderId="28" xfId="0" applyFont="1" applyFill="1" applyBorder="1" applyAlignment="1">
      <alignment horizontal="center" vertical="top" textRotation="90" wrapText="1"/>
    </xf>
    <xf numFmtId="0" fontId="6" fillId="0" borderId="64" xfId="0" applyFont="1" applyFill="1" applyBorder="1" applyAlignment="1">
      <alignment horizontal="center" vertical="top" textRotation="90" wrapText="1"/>
    </xf>
    <xf numFmtId="0" fontId="1" fillId="7" borderId="9" xfId="0" applyFont="1" applyFill="1" applyBorder="1" applyAlignment="1">
      <alignment horizontal="left" vertical="top" wrapText="1"/>
    </xf>
    <xf numFmtId="0" fontId="8" fillId="7" borderId="66" xfId="0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19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0" fontId="1" fillId="7" borderId="25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0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3" xfId="0" applyFont="1" applyFill="1" applyBorder="1" applyAlignment="1">
      <alignment horizontal="left" vertical="top" wrapText="1"/>
    </xf>
    <xf numFmtId="0" fontId="9" fillId="8" borderId="41" xfId="0" applyFont="1" applyFill="1" applyBorder="1" applyAlignment="1">
      <alignment horizontal="center" vertical="top" wrapText="1"/>
    </xf>
    <xf numFmtId="0" fontId="9" fillId="8" borderId="63" xfId="0" applyFont="1" applyFill="1" applyBorder="1" applyAlignment="1">
      <alignment horizontal="center" vertical="top" wrapText="1"/>
    </xf>
    <xf numFmtId="49" fontId="9" fillId="0" borderId="53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0" fontId="6" fillId="0" borderId="52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76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right" vertical="top" wrapText="1"/>
    </xf>
    <xf numFmtId="0" fontId="9" fillId="8" borderId="4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right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66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1" xfId="0" applyNumberFormat="1" applyFont="1" applyFill="1" applyBorder="1" applyAlignment="1">
      <alignment horizontal="center" vertical="top"/>
    </xf>
    <xf numFmtId="2" fontId="9" fillId="5" borderId="29" xfId="0" applyNumberFormat="1" applyFont="1" applyFill="1" applyBorder="1" applyAlignment="1">
      <alignment horizontal="right" vertical="center"/>
    </xf>
    <xf numFmtId="2" fontId="9" fillId="5" borderId="23" xfId="0" applyNumberFormat="1" applyFont="1" applyFill="1" applyBorder="1" applyAlignment="1">
      <alignment horizontal="right" vertical="center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7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horizontal="center" vertical="top"/>
    </xf>
    <xf numFmtId="49" fontId="9" fillId="3" borderId="23" xfId="0" applyNumberFormat="1" applyFont="1" applyFill="1" applyBorder="1" applyAlignment="1">
      <alignment horizontal="right" vertical="top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6" fillId="7" borderId="5" xfId="0" applyNumberFormat="1" applyFont="1" applyFill="1" applyBorder="1" applyAlignment="1">
      <alignment horizontal="center" vertical="top"/>
    </xf>
    <xf numFmtId="0" fontId="6" fillId="7" borderId="10" xfId="0" applyNumberFormat="1" applyFont="1" applyFill="1" applyBorder="1" applyAlignment="1">
      <alignment horizontal="center" vertical="top"/>
    </xf>
    <xf numFmtId="0" fontId="6" fillId="7" borderId="17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12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1" fontId="6" fillId="0" borderId="50" xfId="0" applyNumberFormat="1" applyFont="1" applyFill="1" applyBorder="1" applyAlignment="1">
      <alignment horizontal="center" vertical="top"/>
    </xf>
    <xf numFmtId="1" fontId="6" fillId="0" borderId="42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0" fontId="6" fillId="4" borderId="53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11" fillId="8" borderId="40" xfId="0" applyFont="1" applyFill="1" applyBorder="1" applyAlignment="1">
      <alignment horizontal="center" vertical="top" wrapText="1"/>
    </xf>
    <xf numFmtId="0" fontId="11" fillId="8" borderId="41" xfId="0" applyFont="1" applyFill="1" applyBorder="1" applyAlignment="1">
      <alignment horizontal="center" vertical="top" wrapText="1"/>
    </xf>
    <xf numFmtId="0" fontId="11" fillId="8" borderId="63" xfId="0" applyFont="1" applyFill="1" applyBorder="1" applyAlignment="1">
      <alignment horizontal="center" vertical="top" wrapText="1"/>
    </xf>
    <xf numFmtId="49" fontId="9" fillId="3" borderId="71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1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top"/>
    </xf>
    <xf numFmtId="0" fontId="8" fillId="3" borderId="71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left" vertical="top" wrapText="1"/>
    </xf>
    <xf numFmtId="0" fontId="6" fillId="4" borderId="28" xfId="0" applyNumberFormat="1" applyFont="1" applyFill="1" applyBorder="1" applyAlignment="1">
      <alignment horizontal="left" vertical="top" wrapText="1"/>
    </xf>
    <xf numFmtId="0" fontId="6" fillId="4" borderId="76" xfId="0" applyNumberFormat="1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49" fontId="9" fillId="4" borderId="12" xfId="0" applyNumberFormat="1" applyFont="1" applyFill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/>
    </xf>
    <xf numFmtId="0" fontId="9" fillId="3" borderId="71" xfId="0" applyFont="1" applyFill="1" applyBorder="1" applyAlignment="1">
      <alignment horizontal="left" vertical="top"/>
    </xf>
    <xf numFmtId="49" fontId="9" fillId="8" borderId="40" xfId="0" applyNumberFormat="1" applyFont="1" applyFill="1" applyBorder="1" applyAlignment="1">
      <alignment horizontal="center" vertical="top"/>
    </xf>
    <xf numFmtId="49" fontId="9" fillId="8" borderId="41" xfId="0" applyNumberFormat="1" applyFont="1" applyFill="1" applyBorder="1" applyAlignment="1">
      <alignment horizontal="center" vertical="top"/>
    </xf>
    <xf numFmtId="49" fontId="9" fillId="8" borderId="63" xfId="0" applyNumberFormat="1" applyFont="1" applyFill="1" applyBorder="1" applyAlignment="1">
      <alignment horizontal="center" vertical="top"/>
    </xf>
    <xf numFmtId="0" fontId="1" fillId="7" borderId="6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52" xfId="0" applyNumberFormat="1" applyFont="1" applyFill="1" applyBorder="1" applyAlignment="1">
      <alignment horizontal="left" vertical="top" wrapText="1"/>
    </xf>
    <xf numFmtId="0" fontId="1" fillId="4" borderId="28" xfId="0" applyNumberFormat="1" applyFont="1" applyFill="1" applyBorder="1" applyAlignment="1">
      <alignment horizontal="left" vertical="top" wrapText="1"/>
    </xf>
    <xf numFmtId="0" fontId="1" fillId="4" borderId="64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right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6" fillId="0" borderId="25" xfId="0" applyNumberFormat="1" applyFont="1" applyFill="1" applyBorder="1" applyAlignment="1">
      <alignment horizontal="left" vertical="top" wrapText="1"/>
    </xf>
    <xf numFmtId="1" fontId="6" fillId="0" borderId="45" xfId="0" applyNumberFormat="1" applyFont="1" applyFill="1" applyBorder="1" applyAlignment="1">
      <alignment horizontal="center" vertical="top"/>
    </xf>
    <xf numFmtId="1" fontId="6" fillId="0" borderId="56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12" xfId="0" applyNumberFormat="1" applyFont="1" applyFill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3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left" vertical="top" wrapText="1"/>
    </xf>
    <xf numFmtId="0" fontId="1" fillId="4" borderId="52" xfId="0" applyNumberFormat="1" applyFont="1" applyFill="1" applyBorder="1" applyAlignment="1">
      <alignment horizontal="center" vertical="top" wrapText="1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4" borderId="64" xfId="0" applyNumberFormat="1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3" fontId="1" fillId="4" borderId="5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right" vertical="top" wrapText="1"/>
    </xf>
    <xf numFmtId="0" fontId="9" fillId="8" borderId="19" xfId="0" applyFont="1" applyFill="1" applyBorder="1" applyAlignment="1">
      <alignment horizontal="right" vertical="top" wrapText="1"/>
    </xf>
    <xf numFmtId="0" fontId="9" fillId="8" borderId="31" xfId="0" applyFont="1" applyFill="1" applyBorder="1" applyAlignment="1">
      <alignment horizontal="right" vertical="top" wrapText="1"/>
    </xf>
    <xf numFmtId="3" fontId="6" fillId="0" borderId="7" xfId="0" applyNumberFormat="1" applyFont="1" applyBorder="1" applyAlignment="1">
      <alignment horizontal="center" vertical="center" textRotation="90" wrapText="1"/>
    </xf>
    <xf numFmtId="3" fontId="6" fillId="0" borderId="12" xfId="0" applyNumberFormat="1" applyFont="1" applyBorder="1" applyAlignment="1">
      <alignment horizontal="center" vertical="center" textRotation="90" wrapText="1"/>
    </xf>
    <xf numFmtId="3" fontId="6" fillId="0" borderId="19" xfId="0" applyNumberFormat="1" applyFont="1" applyBorder="1" applyAlignment="1">
      <alignment horizontal="center" vertical="center" textRotation="90" wrapText="1"/>
    </xf>
    <xf numFmtId="3" fontId="6" fillId="0" borderId="22" xfId="0" applyNumberFormat="1" applyFont="1" applyBorder="1" applyAlignment="1">
      <alignment horizontal="center" vertical="center" textRotation="90" wrapText="1"/>
    </xf>
    <xf numFmtId="3" fontId="6" fillId="0" borderId="21" xfId="0" applyNumberFormat="1" applyFont="1" applyBorder="1" applyAlignment="1">
      <alignment horizontal="center" vertical="center" textRotation="90" wrapText="1"/>
    </xf>
    <xf numFmtId="3" fontId="6" fillId="0" borderId="44" xfId="0" applyNumberFormat="1" applyFont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34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horizontal="left" vertical="top" wrapText="1"/>
    </xf>
    <xf numFmtId="0" fontId="9" fillId="5" borderId="51" xfId="0" applyFont="1" applyFill="1" applyBorder="1" applyAlignment="1">
      <alignment horizontal="left" vertical="top" wrapText="1"/>
    </xf>
    <xf numFmtId="0" fontId="9" fillId="5" borderId="43" xfId="0" applyFont="1" applyFill="1" applyBorder="1" applyAlignment="1">
      <alignment horizontal="left" vertical="top" wrapText="1"/>
    </xf>
    <xf numFmtId="0" fontId="9" fillId="5" borderId="53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right"/>
    </xf>
    <xf numFmtId="0" fontId="12" fillId="5" borderId="52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65" xfId="0" applyFont="1" applyFill="1" applyBorder="1" applyAlignment="1">
      <alignment horizontal="left" vertical="top"/>
    </xf>
    <xf numFmtId="0" fontId="9" fillId="2" borderId="72" xfId="0" applyFont="1" applyFill="1" applyBorder="1" applyAlignment="1">
      <alignment horizontal="left" vertical="top"/>
    </xf>
    <xf numFmtId="0" fontId="9" fillId="3" borderId="41" xfId="0" applyFont="1" applyFill="1" applyBorder="1" applyAlignment="1">
      <alignment horizontal="left" vertical="top" wrapText="1"/>
    </xf>
    <xf numFmtId="0" fontId="9" fillId="3" borderId="63" xfId="0" applyFont="1" applyFill="1" applyBorder="1" applyAlignment="1">
      <alignment horizontal="left" vertical="top" wrapText="1"/>
    </xf>
    <xf numFmtId="3" fontId="6" fillId="0" borderId="24" xfId="0" applyNumberFormat="1" applyFont="1" applyBorder="1" applyAlignment="1">
      <alignment horizontal="center" vertical="center" textRotation="90" wrapText="1"/>
    </xf>
    <xf numFmtId="3" fontId="6" fillId="0" borderId="28" xfId="0" applyNumberFormat="1" applyFont="1" applyBorder="1" applyAlignment="1">
      <alignment horizontal="center" vertical="center" textRotation="90" wrapText="1"/>
    </xf>
    <xf numFmtId="3" fontId="6" fillId="0" borderId="64" xfId="0" applyNumberFormat="1" applyFont="1" applyBorder="1" applyAlignment="1">
      <alignment horizontal="center" vertical="center" textRotation="90" wrapText="1"/>
    </xf>
    <xf numFmtId="3" fontId="3" fillId="0" borderId="0" xfId="0" applyNumberFormat="1" applyFont="1" applyAlignment="1">
      <alignment horizontal="right" vertical="top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823" t="s">
        <v>74</v>
      </c>
      <c r="B1" s="823"/>
    </row>
    <row r="2" spans="1:2" ht="31.5" x14ac:dyDescent="0.25">
      <c r="A2" s="2" t="s">
        <v>5</v>
      </c>
      <c r="B2" s="3" t="s">
        <v>75</v>
      </c>
    </row>
    <row r="3" spans="1:2" x14ac:dyDescent="0.25">
      <c r="A3" s="2">
        <v>1</v>
      </c>
      <c r="B3" s="3" t="s">
        <v>76</v>
      </c>
    </row>
    <row r="4" spans="1:2" x14ac:dyDescent="0.25">
      <c r="A4" s="2">
        <v>2</v>
      </c>
      <c r="B4" s="3" t="s">
        <v>77</v>
      </c>
    </row>
    <row r="5" spans="1:2" x14ac:dyDescent="0.25">
      <c r="A5" s="2">
        <v>3</v>
      </c>
      <c r="B5" s="3" t="s">
        <v>78</v>
      </c>
    </row>
    <row r="6" spans="1:2" x14ac:dyDescent="0.25">
      <c r="A6" s="2">
        <v>4</v>
      </c>
      <c r="B6" s="3" t="s">
        <v>79</v>
      </c>
    </row>
    <row r="7" spans="1:2" x14ac:dyDescent="0.25">
      <c r="A7" s="2">
        <v>5</v>
      </c>
      <c r="B7" s="3" t="s">
        <v>80</v>
      </c>
    </row>
    <row r="8" spans="1:2" x14ac:dyDescent="0.25">
      <c r="A8" s="2">
        <v>6</v>
      </c>
      <c r="B8" s="3" t="s">
        <v>81</v>
      </c>
    </row>
    <row r="9" spans="1:2" ht="15.75" customHeight="1" x14ac:dyDescent="0.25"/>
    <row r="10" spans="1:2" ht="15.75" customHeight="1" x14ac:dyDescent="0.25">
      <c r="A10" s="824" t="s">
        <v>82</v>
      </c>
      <c r="B10" s="824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6"/>
  <sheetViews>
    <sheetView tabSelected="1" zoomScaleNormal="100" zoomScaleSheetLayoutView="100" workbookViewId="0">
      <selection activeCell="T22" sqref="T22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29.7109375" style="10" customWidth="1"/>
    <col min="5" max="5" width="3.7109375" style="52" customWidth="1"/>
    <col min="6" max="6" width="2.7109375" style="53" customWidth="1"/>
    <col min="7" max="7" width="9.42578125" style="52" customWidth="1"/>
    <col min="8" max="8" width="10.5703125" style="451" customWidth="1"/>
    <col min="9" max="9" width="10.140625" style="452" customWidth="1"/>
    <col min="10" max="10" width="9.85546875" style="452" customWidth="1"/>
    <col min="11" max="11" width="26.7109375" style="453" customWidth="1"/>
    <col min="12" max="12" width="5.7109375" style="52" customWidth="1"/>
    <col min="13" max="13" width="5.5703125" style="52" customWidth="1"/>
    <col min="14" max="14" width="5.7109375" style="454" customWidth="1"/>
    <col min="15" max="15" width="9.140625" style="10"/>
    <col min="16" max="16" width="9.140625" style="452"/>
    <col min="17" max="16384" width="9.140625" style="10"/>
  </cols>
  <sheetData>
    <row r="1" spans="1:19" x14ac:dyDescent="0.2">
      <c r="A1" s="839" t="s">
        <v>185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</row>
    <row r="2" spans="1:19" s="11" customFormat="1" x14ac:dyDescent="0.25">
      <c r="A2" s="840" t="s">
        <v>72</v>
      </c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P2" s="543"/>
    </row>
    <row r="3" spans="1:19" s="11" customFormat="1" x14ac:dyDescent="0.25">
      <c r="A3" s="841" t="s">
        <v>129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P3" s="543"/>
    </row>
    <row r="4" spans="1:19" s="11" customFormat="1" ht="13.5" thickBot="1" x14ac:dyDescent="0.3">
      <c r="A4" s="842" t="s">
        <v>176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P4" s="543"/>
    </row>
    <row r="5" spans="1:19" s="12" customFormat="1" ht="12.75" customHeight="1" x14ac:dyDescent="0.25">
      <c r="A5" s="843" t="s">
        <v>0</v>
      </c>
      <c r="B5" s="846" t="s">
        <v>1</v>
      </c>
      <c r="C5" s="849" t="s">
        <v>2</v>
      </c>
      <c r="D5" s="852" t="s">
        <v>3</v>
      </c>
      <c r="E5" s="855" t="s">
        <v>4</v>
      </c>
      <c r="F5" s="869" t="s">
        <v>5</v>
      </c>
      <c r="G5" s="872" t="s">
        <v>6</v>
      </c>
      <c r="H5" s="858" t="s">
        <v>131</v>
      </c>
      <c r="I5" s="836" t="s">
        <v>157</v>
      </c>
      <c r="J5" s="836" t="s">
        <v>158</v>
      </c>
      <c r="K5" s="866" t="s">
        <v>130</v>
      </c>
      <c r="L5" s="867"/>
      <c r="M5" s="867"/>
      <c r="N5" s="868"/>
      <c r="P5" s="188"/>
    </row>
    <row r="6" spans="1:19" s="12" customFormat="1" ht="12" customHeight="1" x14ac:dyDescent="0.25">
      <c r="A6" s="844"/>
      <c r="B6" s="847"/>
      <c r="C6" s="850"/>
      <c r="D6" s="853"/>
      <c r="E6" s="856"/>
      <c r="F6" s="870"/>
      <c r="G6" s="873"/>
      <c r="H6" s="859"/>
      <c r="I6" s="837"/>
      <c r="J6" s="837"/>
      <c r="K6" s="861" t="s">
        <v>3</v>
      </c>
      <c r="L6" s="863" t="s">
        <v>177</v>
      </c>
      <c r="M6" s="864"/>
      <c r="N6" s="865"/>
      <c r="P6" s="188"/>
    </row>
    <row r="7" spans="1:19" s="12" customFormat="1" ht="86.25" customHeight="1" thickBot="1" x14ac:dyDescent="0.3">
      <c r="A7" s="845"/>
      <c r="B7" s="848"/>
      <c r="C7" s="851"/>
      <c r="D7" s="854"/>
      <c r="E7" s="857"/>
      <c r="F7" s="871"/>
      <c r="G7" s="874"/>
      <c r="H7" s="860"/>
      <c r="I7" s="838"/>
      <c r="J7" s="838"/>
      <c r="K7" s="862"/>
      <c r="L7" s="110" t="s">
        <v>53</v>
      </c>
      <c r="M7" s="110" t="s">
        <v>96</v>
      </c>
      <c r="N7" s="111" t="s">
        <v>132</v>
      </c>
      <c r="P7" s="188"/>
    </row>
    <row r="8" spans="1:19" s="11" customFormat="1" x14ac:dyDescent="0.25">
      <c r="A8" s="825" t="s">
        <v>124</v>
      </c>
      <c r="B8" s="826"/>
      <c r="C8" s="826"/>
      <c r="D8" s="826"/>
      <c r="E8" s="826"/>
      <c r="F8" s="826"/>
      <c r="G8" s="826"/>
      <c r="H8" s="826"/>
      <c r="I8" s="826"/>
      <c r="J8" s="826"/>
      <c r="K8" s="826"/>
      <c r="L8" s="826"/>
      <c r="M8" s="826"/>
      <c r="N8" s="827"/>
      <c r="P8" s="543"/>
    </row>
    <row r="9" spans="1:19" s="11" customFormat="1" ht="13.5" thickBot="1" x14ac:dyDescent="0.3">
      <c r="A9" s="828" t="s">
        <v>7</v>
      </c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30"/>
      <c r="P9" s="543"/>
      <c r="S9" s="12"/>
    </row>
    <row r="10" spans="1:19" s="12" customFormat="1" ht="15" customHeight="1" thickBot="1" x14ac:dyDescent="0.3">
      <c r="A10" s="13" t="s">
        <v>8</v>
      </c>
      <c r="B10" s="831" t="s">
        <v>9</v>
      </c>
      <c r="C10" s="831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832"/>
      <c r="P10" s="188"/>
    </row>
    <row r="11" spans="1:19" s="12" customFormat="1" ht="13.5" thickBot="1" x14ac:dyDescent="0.3">
      <c r="A11" s="14" t="s">
        <v>8</v>
      </c>
      <c r="B11" s="15" t="s">
        <v>8</v>
      </c>
      <c r="C11" s="833" t="s">
        <v>10</v>
      </c>
      <c r="D11" s="833"/>
      <c r="E11" s="833"/>
      <c r="F11" s="833"/>
      <c r="G11" s="834"/>
      <c r="H11" s="834"/>
      <c r="I11" s="834"/>
      <c r="J11" s="834"/>
      <c r="K11" s="834"/>
      <c r="L11" s="834"/>
      <c r="M11" s="834"/>
      <c r="N11" s="835"/>
      <c r="P11" s="188"/>
    </row>
    <row r="12" spans="1:19" s="12" customFormat="1" ht="44.25" customHeight="1" x14ac:dyDescent="0.25">
      <c r="A12" s="749" t="s">
        <v>8</v>
      </c>
      <c r="B12" s="16" t="s">
        <v>8</v>
      </c>
      <c r="C12" s="753" t="s">
        <v>8</v>
      </c>
      <c r="D12" s="889" t="s">
        <v>54</v>
      </c>
      <c r="E12" s="54"/>
      <c r="F12" s="760" t="s">
        <v>21</v>
      </c>
      <c r="G12" s="143" t="s">
        <v>12</v>
      </c>
      <c r="H12" s="294">
        <v>991856</v>
      </c>
      <c r="I12" s="731">
        <v>1102626</v>
      </c>
      <c r="J12" s="732">
        <v>1102626</v>
      </c>
      <c r="K12" s="105" t="s">
        <v>150</v>
      </c>
      <c r="L12" s="114">
        <v>5</v>
      </c>
      <c r="M12" s="115">
        <v>5</v>
      </c>
      <c r="N12" s="116">
        <v>5</v>
      </c>
      <c r="O12" s="188"/>
      <c r="P12" s="188"/>
    </row>
    <row r="13" spans="1:19" s="12" customFormat="1" ht="29.25" customHeight="1" x14ac:dyDescent="0.25">
      <c r="A13" s="763"/>
      <c r="B13" s="18"/>
      <c r="C13" s="784"/>
      <c r="D13" s="893"/>
      <c r="E13" s="55"/>
      <c r="F13" s="117"/>
      <c r="G13" s="118"/>
      <c r="H13" s="728"/>
      <c r="I13" s="729"/>
      <c r="J13" s="730"/>
      <c r="K13" s="126" t="s">
        <v>106</v>
      </c>
      <c r="L13" s="127">
        <f>183-8</f>
        <v>175</v>
      </c>
      <c r="M13" s="655">
        <v>183</v>
      </c>
      <c r="N13" s="656">
        <v>183</v>
      </c>
      <c r="O13" s="188"/>
      <c r="P13" s="188"/>
    </row>
    <row r="14" spans="1:19" s="12" customFormat="1" ht="12.75" customHeight="1" x14ac:dyDescent="0.25">
      <c r="A14" s="763"/>
      <c r="B14" s="18"/>
      <c r="C14" s="784"/>
      <c r="D14" s="893"/>
      <c r="E14" s="55"/>
      <c r="F14" s="117"/>
      <c r="G14" s="118"/>
      <c r="H14" s="172"/>
      <c r="I14" s="469"/>
      <c r="J14" s="121"/>
      <c r="K14" s="879" t="s">
        <v>188</v>
      </c>
      <c r="L14" s="122">
        <v>50</v>
      </c>
      <c r="M14" s="655">
        <v>50</v>
      </c>
      <c r="N14" s="123">
        <v>50</v>
      </c>
      <c r="O14" s="188"/>
      <c r="P14" s="188"/>
    </row>
    <row r="15" spans="1:19" s="12" customFormat="1" x14ac:dyDescent="0.25">
      <c r="A15" s="763"/>
      <c r="B15" s="18"/>
      <c r="C15" s="784"/>
      <c r="D15" s="893"/>
      <c r="E15" s="55"/>
      <c r="F15" s="117"/>
      <c r="G15" s="118"/>
      <c r="H15" s="172"/>
      <c r="I15" s="469"/>
      <c r="J15" s="121"/>
      <c r="K15" s="880"/>
      <c r="L15" s="409"/>
      <c r="M15" s="774"/>
      <c r="N15" s="769"/>
      <c r="P15" s="188"/>
    </row>
    <row r="16" spans="1:19" s="12" customFormat="1" ht="26.25" customHeight="1" x14ac:dyDescent="0.25">
      <c r="A16" s="763"/>
      <c r="B16" s="18"/>
      <c r="C16" s="784"/>
      <c r="D16" s="155"/>
      <c r="E16" s="55"/>
      <c r="F16" s="117"/>
      <c r="G16" s="4" t="s">
        <v>22</v>
      </c>
      <c r="H16" s="739">
        <f>6013508-47340-337557-15000</f>
        <v>5613611</v>
      </c>
      <c r="I16" s="733">
        <f>21089.3/3.4528*1000</f>
        <v>6107883</v>
      </c>
      <c r="J16" s="734">
        <f>21089.3/3.4528*1000</f>
        <v>6107883</v>
      </c>
      <c r="K16" s="736" t="s">
        <v>98</v>
      </c>
      <c r="L16" s="740">
        <v>3500</v>
      </c>
      <c r="M16" s="799">
        <v>4200</v>
      </c>
      <c r="N16" s="735">
        <v>4200</v>
      </c>
      <c r="P16" s="188"/>
    </row>
    <row r="17" spans="1:19" s="12" customFormat="1" ht="27.75" customHeight="1" thickBot="1" x14ac:dyDescent="0.3">
      <c r="A17" s="763"/>
      <c r="B17" s="18"/>
      <c r="C17" s="784"/>
      <c r="D17" s="755"/>
      <c r="E17" s="55"/>
      <c r="F17" s="117"/>
      <c r="G17" s="79" t="s">
        <v>13</v>
      </c>
      <c r="H17" s="132">
        <f>SUM(H12:H16)</f>
        <v>6605467</v>
      </c>
      <c r="I17" s="140">
        <f>SUM(I12:I16)</f>
        <v>7210509</v>
      </c>
      <c r="J17" s="132">
        <f>SUM(J12:J16)</f>
        <v>7210509</v>
      </c>
      <c r="K17" s="128" t="s">
        <v>97</v>
      </c>
      <c r="L17" s="122">
        <v>18220</v>
      </c>
      <c r="M17" s="655">
        <v>18220</v>
      </c>
      <c r="N17" s="123">
        <v>18220</v>
      </c>
      <c r="P17" s="188"/>
    </row>
    <row r="18" spans="1:19" s="12" customFormat="1" ht="24.75" customHeight="1" x14ac:dyDescent="0.25">
      <c r="A18" s="749" t="s">
        <v>8</v>
      </c>
      <c r="B18" s="16" t="s">
        <v>8</v>
      </c>
      <c r="C18" s="753" t="s">
        <v>14</v>
      </c>
      <c r="D18" s="881" t="s">
        <v>55</v>
      </c>
      <c r="E18" s="54"/>
      <c r="F18" s="760" t="s">
        <v>21</v>
      </c>
      <c r="G18" s="4" t="s">
        <v>12</v>
      </c>
      <c r="H18" s="135">
        <v>1561132</v>
      </c>
      <c r="I18" s="136">
        <f>5829.8/3.4528*1000</f>
        <v>1688427</v>
      </c>
      <c r="J18" s="136">
        <f>5829.8/3.4528*1000</f>
        <v>1688427</v>
      </c>
      <c r="K18" s="881" t="s">
        <v>107</v>
      </c>
      <c r="L18" s="137">
        <v>464</v>
      </c>
      <c r="M18" s="138">
        <v>464</v>
      </c>
      <c r="N18" s="139">
        <v>464</v>
      </c>
      <c r="P18" s="188"/>
    </row>
    <row r="19" spans="1:19" s="12" customFormat="1" ht="15.75" customHeight="1" thickBot="1" x14ac:dyDescent="0.3">
      <c r="A19" s="763"/>
      <c r="B19" s="18"/>
      <c r="C19" s="784"/>
      <c r="D19" s="882"/>
      <c r="E19" s="55"/>
      <c r="F19" s="117"/>
      <c r="G19" s="79" t="s">
        <v>13</v>
      </c>
      <c r="H19" s="131">
        <f>H18</f>
        <v>1561132</v>
      </c>
      <c r="I19" s="132">
        <f>SUM(I18:I18)</f>
        <v>1688427</v>
      </c>
      <c r="J19" s="140">
        <f>SUM(J18:J18)</f>
        <v>1688427</v>
      </c>
      <c r="K19" s="882"/>
      <c r="L19" s="757"/>
      <c r="M19" s="747"/>
      <c r="N19" s="141"/>
      <c r="P19" s="188"/>
    </row>
    <row r="20" spans="1:19" s="12" customFormat="1" ht="27" customHeight="1" x14ac:dyDescent="0.25">
      <c r="A20" s="749" t="s">
        <v>8</v>
      </c>
      <c r="B20" s="16" t="s">
        <v>8</v>
      </c>
      <c r="C20" s="753" t="s">
        <v>17</v>
      </c>
      <c r="D20" s="881" t="s">
        <v>56</v>
      </c>
      <c r="E20" s="54"/>
      <c r="F20" s="760" t="s">
        <v>21</v>
      </c>
      <c r="G20" s="112" t="s">
        <v>12</v>
      </c>
      <c r="H20" s="219">
        <v>171467</v>
      </c>
      <c r="I20" s="551">
        <v>171467</v>
      </c>
      <c r="J20" s="551">
        <v>171467</v>
      </c>
      <c r="K20" s="881" t="s">
        <v>57</v>
      </c>
      <c r="L20" s="902">
        <v>17</v>
      </c>
      <c r="M20" s="875">
        <v>17</v>
      </c>
      <c r="N20" s="877">
        <v>17</v>
      </c>
      <c r="P20" s="188"/>
    </row>
    <row r="21" spans="1:19" s="12" customFormat="1" ht="13.5" thickBot="1" x14ac:dyDescent="0.3">
      <c r="A21" s="750"/>
      <c r="B21" s="21"/>
      <c r="C21" s="754"/>
      <c r="D21" s="882"/>
      <c r="E21" s="100"/>
      <c r="F21" s="761"/>
      <c r="G21" s="79" t="s">
        <v>13</v>
      </c>
      <c r="H21" s="131">
        <f>H20</f>
        <v>171467</v>
      </c>
      <c r="I21" s="142">
        <f>+I20</f>
        <v>171467</v>
      </c>
      <c r="J21" s="142">
        <f>+J20</f>
        <v>171467</v>
      </c>
      <c r="K21" s="882"/>
      <c r="L21" s="903"/>
      <c r="M21" s="876"/>
      <c r="N21" s="878"/>
      <c r="P21" s="188"/>
    </row>
    <row r="22" spans="1:19" s="12" customFormat="1" ht="28.5" customHeight="1" x14ac:dyDescent="0.25">
      <c r="A22" s="749" t="s">
        <v>8</v>
      </c>
      <c r="B22" s="16" t="s">
        <v>8</v>
      </c>
      <c r="C22" s="753" t="s">
        <v>19</v>
      </c>
      <c r="D22" s="889" t="s">
        <v>58</v>
      </c>
      <c r="E22" s="54"/>
      <c r="F22" s="760" t="s">
        <v>21</v>
      </c>
      <c r="G22" s="112" t="s">
        <v>12</v>
      </c>
      <c r="H22" s="743">
        <f>692974-51326-73609</f>
        <v>568039</v>
      </c>
      <c r="I22" s="113">
        <v>692974</v>
      </c>
      <c r="J22" s="113">
        <v>692974</v>
      </c>
      <c r="K22" s="881" t="s">
        <v>166</v>
      </c>
      <c r="L22" s="894">
        <v>2100</v>
      </c>
      <c r="M22" s="896">
        <v>2700</v>
      </c>
      <c r="N22" s="900">
        <v>2700</v>
      </c>
      <c r="P22" s="188"/>
    </row>
    <row r="23" spans="1:19" s="12" customFormat="1" ht="13.5" thickBot="1" x14ac:dyDescent="0.3">
      <c r="A23" s="750"/>
      <c r="B23" s="21"/>
      <c r="C23" s="754"/>
      <c r="D23" s="890"/>
      <c r="E23" s="100"/>
      <c r="F23" s="761"/>
      <c r="G23" s="79" t="s">
        <v>13</v>
      </c>
      <c r="H23" s="132">
        <f>H22</f>
        <v>568039</v>
      </c>
      <c r="I23" s="142">
        <f>+I22</f>
        <v>692974</v>
      </c>
      <c r="J23" s="142">
        <f>+J22</f>
        <v>692974</v>
      </c>
      <c r="K23" s="882"/>
      <c r="L23" s="895"/>
      <c r="M23" s="897"/>
      <c r="N23" s="901"/>
      <c r="P23" s="188"/>
    </row>
    <row r="24" spans="1:19" s="12" customFormat="1" ht="42.75" customHeight="1" x14ac:dyDescent="0.25">
      <c r="A24" s="883" t="s">
        <v>8</v>
      </c>
      <c r="B24" s="885" t="s">
        <v>8</v>
      </c>
      <c r="C24" s="887" t="s">
        <v>23</v>
      </c>
      <c r="D24" s="889" t="s">
        <v>15</v>
      </c>
      <c r="E24" s="891"/>
      <c r="F24" s="898" t="s">
        <v>21</v>
      </c>
      <c r="G24" s="143" t="s">
        <v>16</v>
      </c>
      <c r="H24" s="144">
        <f>36503/3.4528*1000</f>
        <v>10572000</v>
      </c>
      <c r="I24" s="145">
        <f>36503/3.4528*1000</f>
        <v>10572000</v>
      </c>
      <c r="J24" s="145">
        <f>36503/3.4528*1000</f>
        <v>10572000</v>
      </c>
      <c r="K24" s="105" t="s">
        <v>59</v>
      </c>
      <c r="L24" s="146">
        <v>6460</v>
      </c>
      <c r="M24" s="147">
        <v>6419</v>
      </c>
      <c r="N24" s="148">
        <v>6419</v>
      </c>
      <c r="P24" s="188"/>
    </row>
    <row r="25" spans="1:19" s="12" customFormat="1" ht="13.5" thickBot="1" x14ac:dyDescent="0.3">
      <c r="A25" s="884"/>
      <c r="B25" s="886"/>
      <c r="C25" s="888"/>
      <c r="D25" s="890"/>
      <c r="E25" s="892"/>
      <c r="F25" s="899"/>
      <c r="G25" s="79" t="s">
        <v>13</v>
      </c>
      <c r="H25" s="131">
        <f>H24</f>
        <v>10572000</v>
      </c>
      <c r="I25" s="142">
        <f>+I24</f>
        <v>10572000</v>
      </c>
      <c r="J25" s="132">
        <f>+J24</f>
        <v>10572000</v>
      </c>
      <c r="K25" s="102"/>
      <c r="L25" s="149"/>
      <c r="M25" s="150"/>
      <c r="N25" s="151"/>
      <c r="P25" s="188"/>
    </row>
    <row r="26" spans="1:19" s="12" customFormat="1" ht="14.25" customHeight="1" x14ac:dyDescent="0.25">
      <c r="A26" s="749" t="s">
        <v>8</v>
      </c>
      <c r="B26" s="16" t="s">
        <v>8</v>
      </c>
      <c r="C26" s="753" t="s">
        <v>31</v>
      </c>
      <c r="D26" s="889" t="s">
        <v>18</v>
      </c>
      <c r="E26" s="756"/>
      <c r="F26" s="152" t="s">
        <v>21</v>
      </c>
      <c r="G26" s="756" t="s">
        <v>16</v>
      </c>
      <c r="H26" s="153">
        <f>8981/3.4528*1000</f>
        <v>2601077</v>
      </c>
      <c r="I26" s="136">
        <f>9002/3.4528*1000</f>
        <v>2607159</v>
      </c>
      <c r="J26" s="136">
        <f>9002/3.4528*1000</f>
        <v>2607159</v>
      </c>
      <c r="K26" s="921" t="s">
        <v>59</v>
      </c>
      <c r="L26" s="923">
        <v>3457</v>
      </c>
      <c r="M26" s="910">
        <v>3702</v>
      </c>
      <c r="N26" s="912">
        <v>3702</v>
      </c>
      <c r="P26" s="188"/>
    </row>
    <row r="27" spans="1:19" s="12" customFormat="1" ht="13.5" thickBot="1" x14ac:dyDescent="0.3">
      <c r="A27" s="750"/>
      <c r="B27" s="21"/>
      <c r="C27" s="754"/>
      <c r="D27" s="890"/>
      <c r="E27" s="100"/>
      <c r="F27" s="761"/>
      <c r="G27" s="79" t="s">
        <v>13</v>
      </c>
      <c r="H27" s="131">
        <f>H26</f>
        <v>2601077</v>
      </c>
      <c r="I27" s="142">
        <f t="shared" ref="I27:J27" si="0">+I26</f>
        <v>2607159</v>
      </c>
      <c r="J27" s="142">
        <f t="shared" si="0"/>
        <v>2607159</v>
      </c>
      <c r="K27" s="922"/>
      <c r="L27" s="924"/>
      <c r="M27" s="911"/>
      <c r="N27" s="913"/>
      <c r="P27" s="188"/>
    </row>
    <row r="28" spans="1:19" s="11" customFormat="1" ht="27.75" customHeight="1" x14ac:dyDescent="0.25">
      <c r="A28" s="883" t="s">
        <v>8</v>
      </c>
      <c r="B28" s="885" t="s">
        <v>8</v>
      </c>
      <c r="C28" s="916" t="s">
        <v>33</v>
      </c>
      <c r="D28" s="76" t="s">
        <v>20</v>
      </c>
      <c r="E28" s="756"/>
      <c r="F28" s="776" t="s">
        <v>21</v>
      </c>
      <c r="G28" s="154" t="s">
        <v>22</v>
      </c>
      <c r="H28" s="742">
        <f>532.1/3.4528*1000-2768</f>
        <v>151339</v>
      </c>
      <c r="I28" s="120">
        <f>532.1/3.4528*1000</f>
        <v>154107</v>
      </c>
      <c r="J28" s="120">
        <f>532.1/3.4528*1000</f>
        <v>154107</v>
      </c>
      <c r="K28" s="918" t="s">
        <v>93</v>
      </c>
      <c r="L28" s="894">
        <v>1983</v>
      </c>
      <c r="M28" s="896">
        <v>1980</v>
      </c>
      <c r="N28" s="900">
        <v>1980</v>
      </c>
      <c r="P28" s="543"/>
    </row>
    <row r="29" spans="1:19" s="12" customFormat="1" ht="13.5" thickBot="1" x14ac:dyDescent="0.3">
      <c r="A29" s="914"/>
      <c r="B29" s="915"/>
      <c r="C29" s="917"/>
      <c r="D29" s="155"/>
      <c r="E29" s="55"/>
      <c r="F29" s="117"/>
      <c r="G29" s="79" t="s">
        <v>13</v>
      </c>
      <c r="H29" s="131">
        <f>H28</f>
        <v>151339</v>
      </c>
      <c r="I29" s="142">
        <f t="shared" ref="I29:J29" si="1">+I28</f>
        <v>154107</v>
      </c>
      <c r="J29" s="142">
        <f t="shared" si="1"/>
        <v>154107</v>
      </c>
      <c r="K29" s="919"/>
      <c r="L29" s="895"/>
      <c r="M29" s="897"/>
      <c r="N29" s="920"/>
      <c r="P29" s="188"/>
    </row>
    <row r="30" spans="1:19" s="12" customFormat="1" ht="25.5" customHeight="1" x14ac:dyDescent="0.25">
      <c r="A30" s="883" t="s">
        <v>8</v>
      </c>
      <c r="B30" s="885" t="s">
        <v>8</v>
      </c>
      <c r="C30" s="24" t="s">
        <v>60</v>
      </c>
      <c r="D30" s="889" t="s">
        <v>24</v>
      </c>
      <c r="E30" s="54"/>
      <c r="F30" s="92">
        <v>3</v>
      </c>
      <c r="G30" s="756" t="s">
        <v>22</v>
      </c>
      <c r="H30" s="224">
        <f>570.1/3.4528*1000-11672</f>
        <v>153440</v>
      </c>
      <c r="I30" s="156">
        <f>570.1/3.4528*1000</f>
        <v>165112</v>
      </c>
      <c r="J30" s="156">
        <f>570.1/3.4528*1000</f>
        <v>165112</v>
      </c>
      <c r="K30" s="801" t="s">
        <v>108</v>
      </c>
      <c r="L30" s="758">
        <v>4900</v>
      </c>
      <c r="M30" s="759">
        <v>4900</v>
      </c>
      <c r="N30" s="762">
        <v>4900</v>
      </c>
      <c r="P30" s="188"/>
    </row>
    <row r="31" spans="1:19" s="12" customFormat="1" ht="16.5" customHeight="1" thickBot="1" x14ac:dyDescent="0.3">
      <c r="A31" s="884"/>
      <c r="B31" s="886"/>
      <c r="C31" s="26"/>
      <c r="D31" s="890"/>
      <c r="E31" s="55"/>
      <c r="F31" s="157"/>
      <c r="G31" s="465" t="s">
        <v>13</v>
      </c>
      <c r="H31" s="257">
        <f>H30</f>
        <v>153440</v>
      </c>
      <c r="I31" s="159">
        <f>+I30</f>
        <v>165112</v>
      </c>
      <c r="J31" s="132">
        <f>+J30</f>
        <v>165112</v>
      </c>
      <c r="K31" s="767"/>
      <c r="L31" s="160"/>
      <c r="M31" s="150"/>
      <c r="N31" s="151"/>
      <c r="P31" s="188"/>
    </row>
    <row r="32" spans="1:19" s="11" customFormat="1" ht="13.5" thickBot="1" x14ac:dyDescent="0.3">
      <c r="A32" s="14" t="s">
        <v>8</v>
      </c>
      <c r="B32" s="15" t="s">
        <v>8</v>
      </c>
      <c r="C32" s="904" t="s">
        <v>25</v>
      </c>
      <c r="D32" s="905"/>
      <c r="E32" s="905"/>
      <c r="F32" s="905"/>
      <c r="G32" s="906"/>
      <c r="H32" s="161">
        <f>H31+H29+H27+H25+H23+H21+H19+H17</f>
        <v>22383961</v>
      </c>
      <c r="I32" s="162">
        <f>I31+I29+I27+I25+I23+I21+I19+I17</f>
        <v>23261755</v>
      </c>
      <c r="J32" s="163">
        <f>J31+J29+J27+J25+J23+J21+J19+J17</f>
        <v>23261755</v>
      </c>
      <c r="K32" s="907"/>
      <c r="L32" s="908"/>
      <c r="M32" s="908"/>
      <c r="N32" s="909"/>
      <c r="P32" s="543"/>
      <c r="Q32" s="89"/>
      <c r="S32" s="12"/>
    </row>
    <row r="33" spans="1:18" s="11" customFormat="1" ht="13.5" thickBot="1" x14ac:dyDescent="0.3">
      <c r="A33" s="35" t="s">
        <v>8</v>
      </c>
      <c r="B33" s="15" t="s">
        <v>14</v>
      </c>
      <c r="C33" s="1091" t="s">
        <v>26</v>
      </c>
      <c r="D33" s="1091"/>
      <c r="E33" s="1091"/>
      <c r="F33" s="1091"/>
      <c r="G33" s="1091"/>
      <c r="H33" s="1091"/>
      <c r="I33" s="1091"/>
      <c r="J33" s="1091"/>
      <c r="K33" s="1091"/>
      <c r="L33" s="1091"/>
      <c r="M33" s="1091"/>
      <c r="N33" s="1092"/>
      <c r="P33" s="188"/>
      <c r="Q33" s="12"/>
    </row>
    <row r="34" spans="1:18" s="12" customFormat="1" ht="14.25" customHeight="1" x14ac:dyDescent="0.25">
      <c r="A34" s="749" t="s">
        <v>8</v>
      </c>
      <c r="B34" s="751" t="s">
        <v>14</v>
      </c>
      <c r="C34" s="164" t="s">
        <v>8</v>
      </c>
      <c r="D34" s="927" t="s">
        <v>51</v>
      </c>
      <c r="E34" s="165"/>
      <c r="F34" s="92">
        <v>3</v>
      </c>
      <c r="G34" s="166" t="s">
        <v>22</v>
      </c>
      <c r="H34" s="743">
        <f>2651893+20394</f>
        <v>2672287</v>
      </c>
      <c r="I34" s="167">
        <f>10003.9/3.4528*1000</f>
        <v>2897330</v>
      </c>
      <c r="J34" s="167">
        <f>10051.6/3.4528*1000</f>
        <v>2911145</v>
      </c>
      <c r="K34" s="932" t="s">
        <v>110</v>
      </c>
      <c r="L34" s="583">
        <v>418</v>
      </c>
      <c r="M34" s="168">
        <v>418</v>
      </c>
      <c r="N34" s="169">
        <v>418</v>
      </c>
      <c r="O34" s="170"/>
      <c r="P34" s="925"/>
      <c r="Q34" s="171"/>
    </row>
    <row r="35" spans="1:18" s="12" customFormat="1" ht="14.25" customHeight="1" x14ac:dyDescent="0.25">
      <c r="A35" s="763"/>
      <c r="B35" s="764"/>
      <c r="C35" s="28"/>
      <c r="D35" s="928"/>
      <c r="E35" s="85"/>
      <c r="F35" s="806"/>
      <c r="G35" s="118" t="s">
        <v>27</v>
      </c>
      <c r="H35" s="172">
        <f>1689.5/3.4528*1000+23100+31780</f>
        <v>544193</v>
      </c>
      <c r="I35" s="173">
        <f>1820.2/3.4528*1000</f>
        <v>527166</v>
      </c>
      <c r="J35" s="173">
        <f>1830.2/3.4528*1000</f>
        <v>530063</v>
      </c>
      <c r="K35" s="933"/>
      <c r="L35" s="584"/>
      <c r="M35" s="793"/>
      <c r="N35" s="802"/>
      <c r="O35" s="170"/>
      <c r="P35" s="925"/>
    </row>
    <row r="36" spans="1:18" s="12" customFormat="1" ht="14.25" customHeight="1" x14ac:dyDescent="0.25">
      <c r="A36" s="763"/>
      <c r="B36" s="764"/>
      <c r="C36" s="28"/>
      <c r="D36" s="175"/>
      <c r="E36" s="85"/>
      <c r="F36" s="806"/>
      <c r="G36" s="176" t="s">
        <v>12</v>
      </c>
      <c r="H36" s="177">
        <f>456353+8375</f>
        <v>464728</v>
      </c>
      <c r="I36" s="552">
        <v>456353</v>
      </c>
      <c r="J36" s="552">
        <v>456353</v>
      </c>
      <c r="K36" s="182" t="s">
        <v>111</v>
      </c>
      <c r="L36" s="585">
        <f>718+5</f>
        <v>723</v>
      </c>
      <c r="M36" s="792">
        <v>718</v>
      </c>
      <c r="N36" s="794">
        <v>718</v>
      </c>
      <c r="O36" s="170"/>
      <c r="P36" s="925"/>
    </row>
    <row r="37" spans="1:18" s="12" customFormat="1" ht="14.25" customHeight="1" x14ac:dyDescent="0.25">
      <c r="A37" s="763"/>
      <c r="B37" s="764"/>
      <c r="C37" s="28"/>
      <c r="D37" s="175"/>
      <c r="E37" s="85"/>
      <c r="F37" s="806"/>
      <c r="G37" s="179" t="s">
        <v>16</v>
      </c>
      <c r="H37" s="180">
        <f>681/3.4528*1000</f>
        <v>197231</v>
      </c>
      <c r="I37" s="541">
        <f>691/3.4528*1000</f>
        <v>200127</v>
      </c>
      <c r="J37" s="541">
        <f>691/3.4528*1000</f>
        <v>200127</v>
      </c>
      <c r="K37" s="186"/>
      <c r="L37" s="584"/>
      <c r="M37" s="793"/>
      <c r="N37" s="795"/>
      <c r="O37" s="170"/>
      <c r="P37" s="925"/>
    </row>
    <row r="38" spans="1:18" s="12" customFormat="1" ht="14.25" customHeight="1" x14ac:dyDescent="0.25">
      <c r="A38" s="763"/>
      <c r="B38" s="764"/>
      <c r="C38" s="28"/>
      <c r="D38" s="175"/>
      <c r="E38" s="85"/>
      <c r="F38" s="806"/>
      <c r="G38" s="176" t="s">
        <v>37</v>
      </c>
      <c r="H38" s="177">
        <f>88.1/3.4528*1000</f>
        <v>25516</v>
      </c>
      <c r="I38" s="185">
        <f>4/3.4528*1000</f>
        <v>1158</v>
      </c>
      <c r="J38" s="185">
        <f>4/3.4528*1000</f>
        <v>1158</v>
      </c>
      <c r="K38" s="186"/>
      <c r="L38" s="174"/>
      <c r="M38" s="793"/>
      <c r="N38" s="187"/>
      <c r="O38" s="170"/>
      <c r="P38" s="925"/>
    </row>
    <row r="39" spans="1:18" s="12" customFormat="1" ht="17.25" customHeight="1" x14ac:dyDescent="0.25">
      <c r="A39" s="763"/>
      <c r="B39" s="764"/>
      <c r="C39" s="28"/>
      <c r="D39" s="56" t="s">
        <v>109</v>
      </c>
      <c r="E39" s="85"/>
      <c r="F39" s="806"/>
      <c r="G39" s="547" t="s">
        <v>100</v>
      </c>
      <c r="H39" s="177">
        <v>5263</v>
      </c>
      <c r="I39" s="548"/>
      <c r="J39" s="548"/>
      <c r="K39" s="189"/>
      <c r="L39" s="160"/>
      <c r="M39" s="150"/>
      <c r="N39" s="151"/>
      <c r="O39" s="87"/>
      <c r="P39" s="925"/>
      <c r="Q39" s="87"/>
      <c r="R39" s="87"/>
    </row>
    <row r="40" spans="1:18" s="12" customFormat="1" ht="24.75" customHeight="1" x14ac:dyDescent="0.25">
      <c r="A40" s="763"/>
      <c r="B40" s="764"/>
      <c r="C40" s="28"/>
      <c r="D40" s="56" t="s">
        <v>99</v>
      </c>
      <c r="E40" s="85"/>
      <c r="F40" s="806"/>
      <c r="G40" s="176" t="s">
        <v>195</v>
      </c>
      <c r="H40" s="177">
        <v>52926</v>
      </c>
      <c r="I40" s="185"/>
      <c r="J40" s="185"/>
      <c r="K40" s="190"/>
      <c r="L40" s="191"/>
      <c r="M40" s="192"/>
      <c r="N40" s="193"/>
      <c r="P40" s="925"/>
    </row>
    <row r="41" spans="1:18" s="12" customFormat="1" ht="27" customHeight="1" x14ac:dyDescent="0.25">
      <c r="A41" s="763"/>
      <c r="B41" s="764"/>
      <c r="C41" s="28"/>
      <c r="D41" s="926" t="s">
        <v>112</v>
      </c>
      <c r="E41" s="85"/>
      <c r="F41" s="806"/>
      <c r="G41" s="125"/>
      <c r="H41" s="194"/>
      <c r="I41" s="181"/>
      <c r="J41" s="181"/>
      <c r="K41" s="196"/>
      <c r="L41" s="197"/>
      <c r="M41" s="198"/>
      <c r="N41" s="199"/>
      <c r="P41" s="188"/>
    </row>
    <row r="42" spans="1:18" s="12" customFormat="1" ht="23.25" customHeight="1" x14ac:dyDescent="0.25">
      <c r="A42" s="763"/>
      <c r="B42" s="764"/>
      <c r="C42" s="28"/>
      <c r="D42" s="926"/>
      <c r="E42" s="85"/>
      <c r="F42" s="806"/>
      <c r="G42" s="125"/>
      <c r="H42" s="194"/>
      <c r="I42" s="181"/>
      <c r="J42" s="181"/>
      <c r="K42" s="196"/>
      <c r="L42" s="197"/>
      <c r="M42" s="198"/>
      <c r="N42" s="199"/>
      <c r="P42" s="188"/>
    </row>
    <row r="43" spans="1:18" s="12" customFormat="1" ht="15" customHeight="1" x14ac:dyDescent="0.25">
      <c r="A43" s="763"/>
      <c r="B43" s="764"/>
      <c r="C43" s="28"/>
      <c r="D43" s="56" t="s">
        <v>113</v>
      </c>
      <c r="E43" s="85"/>
      <c r="F43" s="806"/>
      <c r="G43" s="118"/>
      <c r="H43" s="172"/>
      <c r="I43" s="201"/>
      <c r="J43" s="201"/>
      <c r="K43" s="189"/>
      <c r="L43" s="202"/>
      <c r="M43" s="203"/>
      <c r="N43" s="204"/>
      <c r="P43" s="188"/>
    </row>
    <row r="44" spans="1:18" s="12" customFormat="1" ht="25.5" x14ac:dyDescent="0.25">
      <c r="A44" s="763"/>
      <c r="B44" s="764"/>
      <c r="C44" s="28"/>
      <c r="D44" s="56" t="s">
        <v>153</v>
      </c>
      <c r="E44" s="805"/>
      <c r="F44" s="806"/>
      <c r="G44" s="118"/>
      <c r="H44" s="172"/>
      <c r="I44" s="205"/>
      <c r="J44" s="205"/>
      <c r="K44" s="189"/>
      <c r="L44" s="118"/>
      <c r="M44" s="206"/>
      <c r="N44" s="151"/>
      <c r="P44" s="188"/>
    </row>
    <row r="45" spans="1:18" s="12" customFormat="1" ht="38.25" x14ac:dyDescent="0.25">
      <c r="A45" s="763"/>
      <c r="B45" s="764"/>
      <c r="C45" s="28"/>
      <c r="D45" s="56" t="s">
        <v>154</v>
      </c>
      <c r="E45" s="805"/>
      <c r="F45" s="806"/>
      <c r="G45" s="118"/>
      <c r="H45" s="172"/>
      <c r="I45" s="205"/>
      <c r="J45" s="205"/>
      <c r="K45" s="189"/>
      <c r="L45" s="118"/>
      <c r="M45" s="206"/>
      <c r="N45" s="151"/>
      <c r="P45" s="188"/>
    </row>
    <row r="46" spans="1:18" s="12" customFormat="1" ht="16.5" customHeight="1" x14ac:dyDescent="0.25">
      <c r="A46" s="763"/>
      <c r="B46" s="764"/>
      <c r="C46" s="28"/>
      <c r="D46" s="56" t="s">
        <v>114</v>
      </c>
      <c r="E46" s="805"/>
      <c r="F46" s="806"/>
      <c r="G46" s="118"/>
      <c r="H46" s="172"/>
      <c r="I46" s="181"/>
      <c r="J46" s="181"/>
      <c r="K46" s="189"/>
      <c r="L46" s="191"/>
      <c r="M46" s="198"/>
      <c r="N46" s="199"/>
      <c r="P46" s="188"/>
    </row>
    <row r="47" spans="1:18" s="12" customFormat="1" x14ac:dyDescent="0.25">
      <c r="A47" s="763"/>
      <c r="B47" s="764"/>
      <c r="C47" s="28"/>
      <c r="D47" s="926" t="s">
        <v>115</v>
      </c>
      <c r="E47" s="805"/>
      <c r="F47" s="806"/>
      <c r="G47" s="118"/>
      <c r="H47" s="172"/>
      <c r="I47" s="205"/>
      <c r="J47" s="205"/>
      <c r="K47" s="189"/>
      <c r="L47" s="207"/>
      <c r="M47" s="208"/>
      <c r="N47" s="798"/>
      <c r="P47" s="188"/>
    </row>
    <row r="48" spans="1:18" s="12" customFormat="1" ht="12" customHeight="1" x14ac:dyDescent="0.25">
      <c r="A48" s="763"/>
      <c r="B48" s="764"/>
      <c r="C48" s="777"/>
      <c r="D48" s="926"/>
      <c r="E48" s="57"/>
      <c r="F48" s="806"/>
      <c r="G48" s="118"/>
      <c r="H48" s="172"/>
      <c r="I48" s="205"/>
      <c r="J48" s="205"/>
      <c r="K48" s="209"/>
      <c r="L48" s="160"/>
      <c r="M48" s="150"/>
      <c r="N48" s="151"/>
      <c r="P48" s="188"/>
    </row>
    <row r="49" spans="1:22" s="12" customFormat="1" x14ac:dyDescent="0.25">
      <c r="A49" s="763"/>
      <c r="B49" s="764"/>
      <c r="C49" s="210"/>
      <c r="D49" s="926" t="s">
        <v>151</v>
      </c>
      <c r="E49" s="84"/>
      <c r="F49" s="211"/>
      <c r="G49" s="118"/>
      <c r="H49" s="172"/>
      <c r="I49" s="212"/>
      <c r="J49" s="212"/>
      <c r="K49" s="189"/>
      <c r="L49" s="160"/>
      <c r="M49" s="150"/>
      <c r="N49" s="151"/>
      <c r="P49" s="188"/>
    </row>
    <row r="50" spans="1:22" s="12" customFormat="1" ht="12" customHeight="1" x14ac:dyDescent="0.25">
      <c r="A50" s="763"/>
      <c r="B50" s="764"/>
      <c r="C50" s="210"/>
      <c r="D50" s="926"/>
      <c r="E50" s="84"/>
      <c r="F50" s="211"/>
      <c r="G50" s="118"/>
      <c r="H50" s="172"/>
      <c r="I50" s="201"/>
      <c r="J50" s="201"/>
      <c r="K50" s="209"/>
      <c r="L50" s="160"/>
      <c r="M50" s="150"/>
      <c r="N50" s="151"/>
      <c r="P50" s="188"/>
    </row>
    <row r="51" spans="1:22" s="27" customFormat="1" x14ac:dyDescent="0.25">
      <c r="A51" s="763"/>
      <c r="B51" s="764"/>
      <c r="C51" s="213"/>
      <c r="D51" s="926" t="s">
        <v>116</v>
      </c>
      <c r="E51" s="85"/>
      <c r="F51" s="806"/>
      <c r="G51" s="118"/>
      <c r="H51" s="172"/>
      <c r="I51" s="201"/>
      <c r="J51" s="201"/>
      <c r="K51" s="189"/>
      <c r="L51" s="214"/>
      <c r="M51" s="150"/>
      <c r="N51" s="151"/>
      <c r="P51" s="544"/>
    </row>
    <row r="52" spans="1:22" s="27" customFormat="1" ht="16.5" customHeight="1" x14ac:dyDescent="0.25">
      <c r="A52" s="763"/>
      <c r="B52" s="764"/>
      <c r="C52" s="213"/>
      <c r="D52" s="926"/>
      <c r="E52" s="85"/>
      <c r="F52" s="806"/>
      <c r="G52" s="118"/>
      <c r="H52" s="172"/>
      <c r="I52" s="201"/>
      <c r="J52" s="201"/>
      <c r="K52" s="189"/>
      <c r="L52" s="160"/>
      <c r="M52" s="150"/>
      <c r="N52" s="151"/>
      <c r="P52" s="544"/>
    </row>
    <row r="53" spans="1:22" s="12" customFormat="1" ht="41.25" customHeight="1" x14ac:dyDescent="0.25">
      <c r="A53" s="763"/>
      <c r="B53" s="764"/>
      <c r="C53" s="777"/>
      <c r="D53" s="771" t="s">
        <v>117</v>
      </c>
      <c r="E53" s="805"/>
      <c r="F53" s="806"/>
      <c r="G53" s="118"/>
      <c r="H53" s="172"/>
      <c r="I53" s="201"/>
      <c r="J53" s="201"/>
      <c r="K53" s="772"/>
      <c r="L53" s="773"/>
      <c r="M53" s="774"/>
      <c r="N53" s="769"/>
      <c r="P53" s="188"/>
    </row>
    <row r="54" spans="1:22" s="12" customFormat="1" ht="20.25" customHeight="1" x14ac:dyDescent="0.25">
      <c r="A54" s="763"/>
      <c r="B54" s="764"/>
      <c r="C54" s="28"/>
      <c r="D54" s="946" t="s">
        <v>152</v>
      </c>
      <c r="E54" s="805"/>
      <c r="F54" s="806"/>
      <c r="G54" s="118"/>
      <c r="H54" s="172"/>
      <c r="I54" s="201"/>
      <c r="J54" s="201"/>
      <c r="K54" s="948"/>
      <c r="L54" s="950"/>
      <c r="M54" s="952"/>
      <c r="N54" s="930"/>
      <c r="P54" s="188"/>
    </row>
    <row r="55" spans="1:22" s="12" customFormat="1" ht="20.25" customHeight="1" x14ac:dyDescent="0.25">
      <c r="A55" s="215"/>
      <c r="B55" s="657"/>
      <c r="C55" s="561"/>
      <c r="D55" s="947"/>
      <c r="E55" s="217"/>
      <c r="F55" s="218"/>
      <c r="G55" s="166"/>
      <c r="H55" s="219"/>
      <c r="I55" s="173"/>
      <c r="J55" s="173"/>
      <c r="K55" s="949"/>
      <c r="L55" s="951"/>
      <c r="M55" s="953"/>
      <c r="N55" s="931"/>
      <c r="P55" s="188"/>
    </row>
    <row r="56" spans="1:22" s="12" customFormat="1" ht="18.75" customHeight="1" x14ac:dyDescent="0.25">
      <c r="A56" s="763"/>
      <c r="B56" s="764"/>
      <c r="C56" s="28"/>
      <c r="D56" s="926" t="s">
        <v>62</v>
      </c>
      <c r="E56" s="805"/>
      <c r="F56" s="806"/>
      <c r="G56" s="118"/>
      <c r="H56" s="172"/>
      <c r="I56" s="201"/>
      <c r="J56" s="201"/>
      <c r="K56" s="220"/>
      <c r="L56" s="221"/>
      <c r="M56" s="222"/>
      <c r="N56" s="223"/>
      <c r="P56" s="188"/>
    </row>
    <row r="57" spans="1:22" s="12" customFormat="1" ht="14.25" customHeight="1" x14ac:dyDescent="0.25">
      <c r="A57" s="763"/>
      <c r="B57" s="18"/>
      <c r="C57" s="28"/>
      <c r="D57" s="926"/>
      <c r="E57" s="805"/>
      <c r="F57" s="806"/>
      <c r="G57" s="118"/>
      <c r="H57" s="172"/>
      <c r="I57" s="201"/>
      <c r="J57" s="201"/>
      <c r="K57" s="220"/>
      <c r="L57" s="221"/>
      <c r="M57" s="222"/>
      <c r="N57" s="223"/>
      <c r="P57" s="188"/>
    </row>
    <row r="58" spans="1:22" s="12" customFormat="1" ht="12.75" customHeight="1" thickBot="1" x14ac:dyDescent="0.3">
      <c r="A58" s="750"/>
      <c r="B58" s="21"/>
      <c r="C58" s="459"/>
      <c r="D58" s="929"/>
      <c r="E58" s="460"/>
      <c r="F58" s="157"/>
      <c r="G58" s="461" t="s">
        <v>13</v>
      </c>
      <c r="H58" s="275">
        <f>SUM(H34:H56)</f>
        <v>3962144</v>
      </c>
      <c r="I58" s="275">
        <f>SUM(I34:I56)</f>
        <v>4082134</v>
      </c>
      <c r="J58" s="275">
        <f>SUM(J34:J56)</f>
        <v>4098846</v>
      </c>
      <c r="K58" s="767"/>
      <c r="L58" s="462"/>
      <c r="M58" s="463"/>
      <c r="N58" s="464"/>
      <c r="P58" s="188"/>
    </row>
    <row r="59" spans="1:22" s="11" customFormat="1" ht="20.25" customHeight="1" x14ac:dyDescent="0.25">
      <c r="A59" s="934" t="s">
        <v>8</v>
      </c>
      <c r="B59" s="937" t="s">
        <v>14</v>
      </c>
      <c r="C59" s="940" t="s">
        <v>14</v>
      </c>
      <c r="D59" s="881" t="s">
        <v>49</v>
      </c>
      <c r="E59" s="943"/>
      <c r="F59" s="954" t="s">
        <v>21</v>
      </c>
      <c r="G59" s="30" t="s">
        <v>22</v>
      </c>
      <c r="H59" s="224">
        <f>960/3.4528*1000</f>
        <v>278035</v>
      </c>
      <c r="I59" s="225">
        <f>960/3.4528*1000</f>
        <v>278035</v>
      </c>
      <c r="J59" s="225">
        <f>960/3.4528*1000</f>
        <v>278035</v>
      </c>
      <c r="K59" s="957" t="s">
        <v>167</v>
      </c>
      <c r="L59" s="226">
        <v>70</v>
      </c>
      <c r="M59" s="227">
        <v>70</v>
      </c>
      <c r="N59" s="228">
        <v>70</v>
      </c>
      <c r="P59" s="543"/>
    </row>
    <row r="60" spans="1:22" s="11" customFormat="1" ht="20.25" customHeight="1" x14ac:dyDescent="0.25">
      <c r="A60" s="935"/>
      <c r="B60" s="938"/>
      <c r="C60" s="941"/>
      <c r="D60" s="880"/>
      <c r="E60" s="944"/>
      <c r="F60" s="955"/>
      <c r="G60" s="33"/>
      <c r="H60" s="553"/>
      <c r="I60" s="470"/>
      <c r="J60" s="269"/>
      <c r="K60" s="958"/>
      <c r="L60" s="271"/>
      <c r="M60" s="242"/>
      <c r="N60" s="538"/>
      <c r="P60" s="543"/>
    </row>
    <row r="61" spans="1:22" s="12" customFormat="1" ht="13.5" thickBot="1" x14ac:dyDescent="0.3">
      <c r="A61" s="936"/>
      <c r="B61" s="939"/>
      <c r="C61" s="942"/>
      <c r="D61" s="882"/>
      <c r="E61" s="945"/>
      <c r="F61" s="956"/>
      <c r="G61" s="78" t="s">
        <v>13</v>
      </c>
      <c r="H61" s="132">
        <f>SUM(H59:H60)</f>
        <v>278035</v>
      </c>
      <c r="I61" s="229">
        <f>SUM(I59)</f>
        <v>278035</v>
      </c>
      <c r="J61" s="132">
        <f>SUM(J59)</f>
        <v>278035</v>
      </c>
      <c r="K61" s="959"/>
      <c r="L61" s="230"/>
      <c r="M61" s="231"/>
      <c r="N61" s="232"/>
      <c r="P61" s="188"/>
    </row>
    <row r="62" spans="1:22" s="11" customFormat="1" ht="27.75" customHeight="1" x14ac:dyDescent="0.25">
      <c r="A62" s="779" t="s">
        <v>8</v>
      </c>
      <c r="B62" s="781" t="s">
        <v>14</v>
      </c>
      <c r="C62" s="753" t="s">
        <v>17</v>
      </c>
      <c r="D62" s="1102" t="s">
        <v>50</v>
      </c>
      <c r="E62" s="233"/>
      <c r="F62" s="785" t="s">
        <v>21</v>
      </c>
      <c r="G62" s="30" t="s">
        <v>22</v>
      </c>
      <c r="H62" s="224">
        <f>1217.9/3.4528*1000</f>
        <v>352728</v>
      </c>
      <c r="I62" s="234">
        <f>1008.9/3.4528*1000</f>
        <v>292198</v>
      </c>
      <c r="J62" s="234">
        <f>1008.9/3.4528*1000</f>
        <v>292198</v>
      </c>
      <c r="K62" s="778" t="s">
        <v>122</v>
      </c>
      <c r="L62" s="235">
        <v>89</v>
      </c>
      <c r="M62" s="227">
        <v>71</v>
      </c>
      <c r="N62" s="236">
        <v>71</v>
      </c>
      <c r="P62" s="543"/>
      <c r="R62" s="12"/>
    </row>
    <row r="63" spans="1:22" s="11" customFormat="1" ht="53.25" customHeight="1" x14ac:dyDescent="0.25">
      <c r="A63" s="780"/>
      <c r="B63" s="782"/>
      <c r="C63" s="784"/>
      <c r="D63" s="1103"/>
      <c r="E63" s="237"/>
      <c r="F63" s="786"/>
      <c r="G63" s="82"/>
      <c r="H63" s="194"/>
      <c r="I63" s="200"/>
      <c r="J63" s="201"/>
      <c r="K63" s="1104" t="s">
        <v>123</v>
      </c>
      <c r="L63" s="238">
        <v>208</v>
      </c>
      <c r="M63" s="239">
        <v>208</v>
      </c>
      <c r="N63" s="240">
        <v>208</v>
      </c>
      <c r="P63" s="543"/>
      <c r="R63" s="12"/>
    </row>
    <row r="64" spans="1:22" s="11" customFormat="1" ht="39.75" customHeight="1" x14ac:dyDescent="0.25">
      <c r="A64" s="780"/>
      <c r="B64" s="782"/>
      <c r="C64" s="784"/>
      <c r="D64" s="83" t="s">
        <v>118</v>
      </c>
      <c r="E64" s="237"/>
      <c r="F64" s="786"/>
      <c r="G64" s="82"/>
      <c r="H64" s="194"/>
      <c r="I64" s="195"/>
      <c r="J64" s="181"/>
      <c r="K64" s="958"/>
      <c r="L64" s="241"/>
      <c r="M64" s="242"/>
      <c r="N64" s="243"/>
      <c r="P64" s="543"/>
      <c r="V64" s="12"/>
    </row>
    <row r="65" spans="1:18" s="11" customFormat="1" ht="38.25" x14ac:dyDescent="0.25">
      <c r="A65" s="780"/>
      <c r="B65" s="782"/>
      <c r="C65" s="784"/>
      <c r="D65" s="83" t="s">
        <v>119</v>
      </c>
      <c r="E65" s="237"/>
      <c r="F65" s="786"/>
      <c r="G65" s="82"/>
      <c r="H65" s="194"/>
      <c r="I65" s="200"/>
      <c r="J65" s="201"/>
      <c r="K65" s="83"/>
      <c r="L65" s="244"/>
      <c r="M65" s="198"/>
      <c r="N65" s="199"/>
      <c r="P65" s="543"/>
    </row>
    <row r="66" spans="1:18" s="11" customFormat="1" ht="40.5" customHeight="1" x14ac:dyDescent="0.25">
      <c r="A66" s="780"/>
      <c r="B66" s="782"/>
      <c r="C66" s="784"/>
      <c r="D66" s="83" t="s">
        <v>120</v>
      </c>
      <c r="E66" s="237"/>
      <c r="F66" s="786"/>
      <c r="G66" s="82"/>
      <c r="H66" s="194"/>
      <c r="I66" s="200"/>
      <c r="J66" s="201"/>
      <c r="K66" s="83"/>
      <c r="L66" s="245"/>
      <c r="M66" s="198"/>
      <c r="N66" s="199"/>
      <c r="P66" s="543"/>
    </row>
    <row r="67" spans="1:18" s="11" customFormat="1" ht="68.25" customHeight="1" x14ac:dyDescent="0.25">
      <c r="A67" s="780"/>
      <c r="B67" s="782"/>
      <c r="C67" s="784"/>
      <c r="D67" s="155" t="s">
        <v>121</v>
      </c>
      <c r="E67" s="237"/>
      <c r="F67" s="786"/>
      <c r="G67" s="82"/>
      <c r="H67" s="194"/>
      <c r="I67" s="200"/>
      <c r="J67" s="201"/>
      <c r="K67" s="83"/>
      <c r="L67" s="55"/>
      <c r="M67" s="198"/>
      <c r="N67" s="246"/>
      <c r="P67" s="543"/>
      <c r="Q67" s="12"/>
    </row>
    <row r="68" spans="1:18" s="11" customFormat="1" ht="31.5" customHeight="1" x14ac:dyDescent="0.25">
      <c r="A68" s="780"/>
      <c r="B68" s="782"/>
      <c r="C68" s="784"/>
      <c r="D68" s="880" t="s">
        <v>145</v>
      </c>
      <c r="E68" s="237"/>
      <c r="F68" s="786"/>
      <c r="G68" s="88"/>
      <c r="H68" s="194"/>
      <c r="I68" s="200"/>
      <c r="J68" s="201"/>
      <c r="K68" s="880"/>
      <c r="L68" s="55"/>
      <c r="M68" s="198"/>
      <c r="N68" s="246"/>
      <c r="P68" s="543"/>
    </row>
    <row r="69" spans="1:18" s="11" customFormat="1" ht="34.5" customHeight="1" x14ac:dyDescent="0.25">
      <c r="A69" s="780"/>
      <c r="B69" s="782"/>
      <c r="C69" s="784"/>
      <c r="D69" s="880"/>
      <c r="E69" s="237"/>
      <c r="F69" s="786"/>
      <c r="G69" s="88"/>
      <c r="H69" s="194"/>
      <c r="I69" s="247"/>
      <c r="J69" s="248"/>
      <c r="K69" s="880"/>
      <c r="L69" s="55"/>
      <c r="M69" s="198"/>
      <c r="N69" s="246"/>
      <c r="P69" s="543"/>
    </row>
    <row r="70" spans="1:18" s="12" customFormat="1" ht="13.5" thickBot="1" x14ac:dyDescent="0.3">
      <c r="A70" s="6"/>
      <c r="B70" s="783"/>
      <c r="C70" s="8"/>
      <c r="D70" s="882"/>
      <c r="E70" s="249"/>
      <c r="F70" s="787"/>
      <c r="G70" s="78" t="s">
        <v>13</v>
      </c>
      <c r="H70" s="132">
        <f>SUM(H62:H69)</f>
        <v>352728</v>
      </c>
      <c r="I70" s="131">
        <f t="shared" ref="I70:J70" si="2">SUM(I62:I69)</f>
        <v>292198</v>
      </c>
      <c r="J70" s="131">
        <f t="shared" si="2"/>
        <v>292198</v>
      </c>
      <c r="K70" s="102"/>
      <c r="L70" s="250"/>
      <c r="M70" s="251"/>
      <c r="N70" s="252"/>
      <c r="P70" s="188"/>
    </row>
    <row r="71" spans="1:18" s="11" customFormat="1" ht="28.5" customHeight="1" x14ac:dyDescent="0.25">
      <c r="A71" s="962" t="s">
        <v>8</v>
      </c>
      <c r="B71" s="965" t="s">
        <v>14</v>
      </c>
      <c r="C71" s="887" t="s">
        <v>19</v>
      </c>
      <c r="D71" s="253" t="s">
        <v>160</v>
      </c>
      <c r="E71" s="943"/>
      <c r="F71" s="971" t="s">
        <v>21</v>
      </c>
      <c r="G71" s="30"/>
      <c r="H71" s="224"/>
      <c r="I71" s="254"/>
      <c r="J71" s="254"/>
      <c r="K71" s="957" t="s">
        <v>103</v>
      </c>
      <c r="L71" s="1059">
        <f>24+1</f>
        <v>25</v>
      </c>
      <c r="M71" s="1062">
        <v>24</v>
      </c>
      <c r="N71" s="1065">
        <v>24</v>
      </c>
      <c r="P71" s="543"/>
      <c r="R71" s="12"/>
    </row>
    <row r="72" spans="1:18" s="11" customFormat="1" ht="43.5" customHeight="1" x14ac:dyDescent="0.25">
      <c r="A72" s="963"/>
      <c r="B72" s="966"/>
      <c r="C72" s="968"/>
      <c r="D72" s="807" t="s">
        <v>28</v>
      </c>
      <c r="E72" s="944"/>
      <c r="F72" s="972"/>
      <c r="G72" s="82" t="s">
        <v>22</v>
      </c>
      <c r="H72" s="194">
        <f>110/3.4528*1000</f>
        <v>31858</v>
      </c>
      <c r="I72" s="129">
        <f>110/3.4528*1000</f>
        <v>31858</v>
      </c>
      <c r="J72" s="129">
        <f>110/3.4528*1000</f>
        <v>31858</v>
      </c>
      <c r="K72" s="958"/>
      <c r="L72" s="1060"/>
      <c r="M72" s="1063"/>
      <c r="N72" s="1066"/>
      <c r="P72" s="543"/>
    </row>
    <row r="73" spans="1:18" s="11" customFormat="1" ht="87" customHeight="1" x14ac:dyDescent="0.25">
      <c r="A73" s="963"/>
      <c r="B73" s="966"/>
      <c r="C73" s="968"/>
      <c r="D73" s="969" t="s">
        <v>202</v>
      </c>
      <c r="E73" s="944"/>
      <c r="F73" s="972"/>
      <c r="G73" s="255" t="s">
        <v>22</v>
      </c>
      <c r="H73" s="180">
        <f>160/3.4528*1000+31000+28000</f>
        <v>105339</v>
      </c>
      <c r="I73" s="178"/>
      <c r="J73" s="256"/>
      <c r="K73" s="958"/>
      <c r="L73" s="1060"/>
      <c r="M73" s="1063"/>
      <c r="N73" s="1066"/>
      <c r="P73" s="543"/>
    </row>
    <row r="74" spans="1:18" s="11" customFormat="1" ht="27" customHeight="1" thickBot="1" x14ac:dyDescent="0.3">
      <c r="A74" s="964"/>
      <c r="B74" s="967"/>
      <c r="C74" s="888"/>
      <c r="D74" s="970"/>
      <c r="E74" s="945"/>
      <c r="F74" s="973"/>
      <c r="G74" s="80" t="s">
        <v>13</v>
      </c>
      <c r="H74" s="257">
        <f>SUM(H71:H73)</f>
        <v>137197</v>
      </c>
      <c r="I74" s="257">
        <f t="shared" ref="I74:J74" si="3">SUM(I71:I73)</f>
        <v>31858</v>
      </c>
      <c r="J74" s="257">
        <f t="shared" si="3"/>
        <v>31858</v>
      </c>
      <c r="K74" s="959"/>
      <c r="L74" s="1061"/>
      <c r="M74" s="1064"/>
      <c r="N74" s="1067"/>
      <c r="P74" s="543"/>
    </row>
    <row r="75" spans="1:18" s="11" customFormat="1" ht="12" customHeight="1" x14ac:dyDescent="0.25">
      <c r="A75" s="883" t="s">
        <v>8</v>
      </c>
      <c r="B75" s="885" t="s">
        <v>14</v>
      </c>
      <c r="C75" s="765" t="s">
        <v>23</v>
      </c>
      <c r="D75" s="889" t="s">
        <v>29</v>
      </c>
      <c r="E75" s="60"/>
      <c r="F75" s="259" t="s">
        <v>30</v>
      </c>
      <c r="G75" s="31" t="s">
        <v>22</v>
      </c>
      <c r="H75" s="260">
        <f>100/3.4528*1000+35000</f>
        <v>63962</v>
      </c>
      <c r="I75" s="261">
        <f>100/3.4528*1000</f>
        <v>28962</v>
      </c>
      <c r="J75" s="261">
        <f>100/3.4528*1000</f>
        <v>28962</v>
      </c>
      <c r="K75" s="960" t="s">
        <v>168</v>
      </c>
      <c r="L75" s="1117">
        <f>6+10</f>
        <v>16</v>
      </c>
      <c r="M75" s="1107">
        <v>6</v>
      </c>
      <c r="N75" s="1110">
        <v>6</v>
      </c>
      <c r="O75" s="549"/>
      <c r="P75" s="549"/>
    </row>
    <row r="76" spans="1:18" s="11" customFormat="1" ht="12" customHeight="1" x14ac:dyDescent="0.25">
      <c r="A76" s="914"/>
      <c r="B76" s="915"/>
      <c r="C76" s="766"/>
      <c r="D76" s="893"/>
      <c r="E76" s="61"/>
      <c r="F76" s="262"/>
      <c r="G76" s="255" t="s">
        <v>100</v>
      </c>
      <c r="H76" s="180">
        <v>716</v>
      </c>
      <c r="I76" s="346"/>
      <c r="J76" s="346"/>
      <c r="K76" s="961"/>
      <c r="L76" s="1118"/>
      <c r="M76" s="1108"/>
      <c r="N76" s="1111"/>
      <c r="O76" s="549"/>
      <c r="P76" s="549"/>
    </row>
    <row r="77" spans="1:18" s="11" customFormat="1" x14ac:dyDescent="0.25">
      <c r="A77" s="914"/>
      <c r="B77" s="915"/>
      <c r="C77" s="766"/>
      <c r="D77" s="893"/>
      <c r="E77" s="61"/>
      <c r="F77" s="262"/>
      <c r="G77" s="82" t="s">
        <v>16</v>
      </c>
      <c r="H77" s="194">
        <v>52699</v>
      </c>
      <c r="I77" s="263">
        <f>151.2/3.4528*1000</f>
        <v>43791</v>
      </c>
      <c r="J77" s="263">
        <f>151.2/3.4528*1000</f>
        <v>43791</v>
      </c>
      <c r="K77" s="961"/>
      <c r="L77" s="1118"/>
      <c r="M77" s="1109"/>
      <c r="N77" s="1111"/>
      <c r="O77" s="550"/>
      <c r="P77" s="549"/>
    </row>
    <row r="78" spans="1:18" s="11" customFormat="1" ht="13.5" thickBot="1" x14ac:dyDescent="0.3">
      <c r="A78" s="763"/>
      <c r="B78" s="764"/>
      <c r="C78" s="766"/>
      <c r="D78" s="890"/>
      <c r="E78" s="61"/>
      <c r="F78" s="262"/>
      <c r="G78" s="80" t="s">
        <v>13</v>
      </c>
      <c r="H78" s="257">
        <f>SUM(H75:H77)</f>
        <v>117377</v>
      </c>
      <c r="I78" s="132">
        <f>SUM(I75:I77)</f>
        <v>72753</v>
      </c>
      <c r="J78" s="132">
        <f>SUM(J75:J77)</f>
        <v>72753</v>
      </c>
      <c r="K78" s="264"/>
      <c r="L78" s="265"/>
      <c r="M78" s="266"/>
      <c r="N78" s="267"/>
      <c r="P78" s="543"/>
    </row>
    <row r="79" spans="1:18" s="11" customFormat="1" ht="12" customHeight="1" x14ac:dyDescent="0.25">
      <c r="A79" s="883" t="s">
        <v>8</v>
      </c>
      <c r="B79" s="885" t="s">
        <v>14</v>
      </c>
      <c r="C79" s="765" t="s">
        <v>31</v>
      </c>
      <c r="D79" s="881" t="s">
        <v>32</v>
      </c>
      <c r="E79" s="60"/>
      <c r="F79" s="785" t="s">
        <v>21</v>
      </c>
      <c r="G79" s="33" t="s">
        <v>22</v>
      </c>
      <c r="H79" s="268">
        <f>74.8/3.4528*1000</f>
        <v>21664</v>
      </c>
      <c r="I79" s="269">
        <f>72.3/3.4528*1000</f>
        <v>20940</v>
      </c>
      <c r="J79" s="269">
        <f>72.3/3.4528*1000</f>
        <v>20940</v>
      </c>
      <c r="K79" s="957" t="s">
        <v>169</v>
      </c>
      <c r="L79" s="226">
        <v>21</v>
      </c>
      <c r="M79" s="227">
        <v>21</v>
      </c>
      <c r="N79" s="236">
        <v>21</v>
      </c>
      <c r="P79" s="543"/>
    </row>
    <row r="80" spans="1:18" s="11" customFormat="1" x14ac:dyDescent="0.2">
      <c r="A80" s="914"/>
      <c r="B80" s="915"/>
      <c r="C80" s="766"/>
      <c r="D80" s="880"/>
      <c r="E80" s="62"/>
      <c r="F80" s="270"/>
      <c r="G80" s="20" t="s">
        <v>16</v>
      </c>
      <c r="H80" s="172">
        <f>722.4/3.4528*1000</f>
        <v>209222</v>
      </c>
      <c r="I80" s="178">
        <f>692/3.4528*1000</f>
        <v>200417</v>
      </c>
      <c r="J80" s="178">
        <f>692/3.4528*1000</f>
        <v>200417</v>
      </c>
      <c r="K80" s="958"/>
      <c r="L80" s="271"/>
      <c r="M80" s="242"/>
      <c r="N80" s="272"/>
      <c r="P80" s="543"/>
    </row>
    <row r="81" spans="1:18" s="11" customFormat="1" x14ac:dyDescent="0.2">
      <c r="A81" s="763"/>
      <c r="B81" s="764"/>
      <c r="C81" s="766"/>
      <c r="D81" s="880"/>
      <c r="E81" s="62"/>
      <c r="F81" s="270"/>
      <c r="G81" s="19" t="s">
        <v>16</v>
      </c>
      <c r="H81" s="177">
        <f>36.1/3.4528*1000</f>
        <v>10455</v>
      </c>
      <c r="I81" s="273">
        <f>38.1/3.4528*1000</f>
        <v>11035</v>
      </c>
      <c r="J81" s="273">
        <f>38.1/3.4528*1000</f>
        <v>11035</v>
      </c>
      <c r="K81" s="264"/>
      <c r="L81" s="271"/>
      <c r="M81" s="242"/>
      <c r="N81" s="272"/>
      <c r="P81" s="543"/>
    </row>
    <row r="82" spans="1:18" s="11" customFormat="1" ht="13.5" thickBot="1" x14ac:dyDescent="0.25">
      <c r="A82" s="750"/>
      <c r="B82" s="752"/>
      <c r="C82" s="599"/>
      <c r="D82" s="882"/>
      <c r="E82" s="63"/>
      <c r="F82" s="274"/>
      <c r="G82" s="81" t="s">
        <v>13</v>
      </c>
      <c r="H82" s="275">
        <f>SUM(H79:H81)</f>
        <v>241341</v>
      </c>
      <c r="I82" s="132">
        <f>SUM(I79:I81)</f>
        <v>232392</v>
      </c>
      <c r="J82" s="258">
        <f>SUM(J79:J81)</f>
        <v>232392</v>
      </c>
      <c r="K82" s="276"/>
      <c r="L82" s="265"/>
      <c r="M82" s="266"/>
      <c r="N82" s="267"/>
      <c r="P82" s="543"/>
    </row>
    <row r="83" spans="1:18" s="11" customFormat="1" ht="12" customHeight="1" x14ac:dyDescent="0.25">
      <c r="A83" s="883" t="s">
        <v>8</v>
      </c>
      <c r="B83" s="885" t="s">
        <v>14</v>
      </c>
      <c r="C83" s="765" t="s">
        <v>33</v>
      </c>
      <c r="D83" s="985" t="s">
        <v>179</v>
      </c>
      <c r="E83" s="60"/>
      <c r="F83" s="785" t="s">
        <v>61</v>
      </c>
      <c r="G83" s="30" t="s">
        <v>16</v>
      </c>
      <c r="H83" s="224">
        <f>500/3.4528*1000</f>
        <v>144810</v>
      </c>
      <c r="I83" s="225">
        <f>500/3.4528*1000</f>
        <v>144810</v>
      </c>
      <c r="J83" s="225">
        <f>500/3.4528*1000</f>
        <v>144810</v>
      </c>
      <c r="K83" s="957" t="s">
        <v>169</v>
      </c>
      <c r="L83" s="226"/>
      <c r="M83" s="227"/>
      <c r="N83" s="236"/>
      <c r="P83" s="543"/>
    </row>
    <row r="84" spans="1:18" s="11" customFormat="1" x14ac:dyDescent="0.2">
      <c r="A84" s="914"/>
      <c r="B84" s="915"/>
      <c r="C84" s="766"/>
      <c r="D84" s="986"/>
      <c r="E84" s="62"/>
      <c r="F84" s="277">
        <v>3</v>
      </c>
      <c r="G84" s="20"/>
      <c r="H84" s="172"/>
      <c r="I84" s="129"/>
      <c r="J84" s="130"/>
      <c r="K84" s="958"/>
      <c r="L84" s="271"/>
      <c r="M84" s="242"/>
      <c r="N84" s="272"/>
      <c r="P84" s="543"/>
    </row>
    <row r="85" spans="1:18" s="11" customFormat="1" ht="13.5" thickBot="1" x14ac:dyDescent="0.25">
      <c r="A85" s="763"/>
      <c r="B85" s="764"/>
      <c r="C85" s="599"/>
      <c r="D85" s="987"/>
      <c r="E85" s="62"/>
      <c r="F85" s="270">
        <v>6</v>
      </c>
      <c r="G85" s="81" t="s">
        <v>13</v>
      </c>
      <c r="H85" s="275">
        <f>SUM(H83:H84)</f>
        <v>144810</v>
      </c>
      <c r="I85" s="132">
        <f>SUM(I83:I84)</f>
        <v>144810</v>
      </c>
      <c r="J85" s="258">
        <f>SUM(J83:J84)</f>
        <v>144810</v>
      </c>
      <c r="K85" s="264"/>
      <c r="L85" s="271"/>
      <c r="M85" s="242"/>
      <c r="N85" s="272"/>
      <c r="P85" s="543"/>
      <c r="Q85" s="12"/>
    </row>
    <row r="86" spans="1:18" s="11" customFormat="1" ht="12" customHeight="1" x14ac:dyDescent="0.25">
      <c r="A86" s="883" t="s">
        <v>8</v>
      </c>
      <c r="B86" s="885" t="s">
        <v>14</v>
      </c>
      <c r="C86" s="765" t="s">
        <v>60</v>
      </c>
      <c r="D86" s="988" t="s">
        <v>180</v>
      </c>
      <c r="E86" s="991"/>
      <c r="F86" s="996" t="s">
        <v>21</v>
      </c>
      <c r="G86" s="17"/>
      <c r="H86" s="294"/>
      <c r="I86" s="568"/>
      <c r="J86" s="295"/>
      <c r="K86" s="1072" t="s">
        <v>170</v>
      </c>
      <c r="L86" s="758">
        <v>50</v>
      </c>
      <c r="M86" s="759"/>
      <c r="N86" s="762"/>
      <c r="P86" s="543"/>
      <c r="R86" s="12"/>
    </row>
    <row r="87" spans="1:18" s="11" customFormat="1" ht="29.25" customHeight="1" x14ac:dyDescent="0.25">
      <c r="A87" s="914"/>
      <c r="B87" s="915"/>
      <c r="C87" s="766"/>
      <c r="D87" s="989"/>
      <c r="E87" s="992"/>
      <c r="F87" s="997"/>
      <c r="G87" s="20" t="s">
        <v>36</v>
      </c>
      <c r="H87" s="172">
        <f>390.2/3.4528*1000</f>
        <v>113010</v>
      </c>
      <c r="I87" s="205"/>
      <c r="J87" s="205"/>
      <c r="K87" s="949"/>
      <c r="L87" s="409"/>
      <c r="M87" s="774"/>
      <c r="N87" s="769"/>
      <c r="P87" s="543"/>
    </row>
    <row r="88" spans="1:18" s="11" customFormat="1" ht="34.5" customHeight="1" x14ac:dyDescent="0.25">
      <c r="A88" s="763"/>
      <c r="B88" s="764"/>
      <c r="C88" s="766"/>
      <c r="D88" s="989"/>
      <c r="E88" s="992"/>
      <c r="F88" s="997"/>
      <c r="G88" s="19" t="s">
        <v>22</v>
      </c>
      <c r="H88" s="739">
        <v>15619</v>
      </c>
      <c r="I88" s="279"/>
      <c r="J88" s="279"/>
      <c r="K88" s="879" t="s">
        <v>125</v>
      </c>
      <c r="L88" s="127">
        <v>25</v>
      </c>
      <c r="M88" s="655"/>
      <c r="N88" s="656"/>
      <c r="O88" s="543"/>
      <c r="P88" s="543"/>
    </row>
    <row r="89" spans="1:18" s="11" customFormat="1" ht="34.5" customHeight="1" x14ac:dyDescent="0.25">
      <c r="A89" s="763"/>
      <c r="B89" s="764"/>
      <c r="C89" s="766"/>
      <c r="D89" s="989"/>
      <c r="E89" s="992"/>
      <c r="F89" s="997"/>
      <c r="G89" s="29" t="s">
        <v>12</v>
      </c>
      <c r="H89" s="219">
        <f>347.8/3.4528*1000</f>
        <v>100730</v>
      </c>
      <c r="I89" s="278"/>
      <c r="J89" s="278"/>
      <c r="K89" s="1090"/>
      <c r="L89" s="726"/>
      <c r="M89" s="727"/>
      <c r="N89" s="770"/>
      <c r="P89" s="543"/>
      <c r="R89" s="12"/>
    </row>
    <row r="90" spans="1:18" s="11" customFormat="1" ht="25.5" customHeight="1" x14ac:dyDescent="0.25">
      <c r="A90" s="763"/>
      <c r="B90" s="764"/>
      <c r="C90" s="766"/>
      <c r="D90" s="989"/>
      <c r="E90" s="992"/>
      <c r="F90" s="997"/>
      <c r="G90" s="29" t="s">
        <v>22</v>
      </c>
      <c r="H90" s="219">
        <v>15238</v>
      </c>
      <c r="I90" s="278"/>
      <c r="J90" s="205"/>
      <c r="K90" s="879" t="s">
        <v>133</v>
      </c>
      <c r="L90" s="280">
        <v>25</v>
      </c>
      <c r="M90" s="281"/>
      <c r="N90" s="656"/>
      <c r="P90" s="543"/>
    </row>
    <row r="91" spans="1:18" s="11" customFormat="1" ht="25.5" customHeight="1" x14ac:dyDescent="0.25">
      <c r="A91" s="763"/>
      <c r="B91" s="764"/>
      <c r="C91" s="766"/>
      <c r="D91" s="989"/>
      <c r="E91" s="992"/>
      <c r="F91" s="997"/>
      <c r="G91" s="19" t="s">
        <v>12</v>
      </c>
      <c r="H91" s="219">
        <f>327.2/3.4528*1000</f>
        <v>94764</v>
      </c>
      <c r="I91" s="278"/>
      <c r="J91" s="279"/>
      <c r="K91" s="880"/>
      <c r="L91" s="245"/>
      <c r="M91" s="198"/>
      <c r="N91" s="769"/>
      <c r="O91" s="5"/>
      <c r="P91" s="543"/>
    </row>
    <row r="92" spans="1:18" s="11" customFormat="1" ht="16.5" customHeight="1" thickBot="1" x14ac:dyDescent="0.3">
      <c r="A92" s="750"/>
      <c r="B92" s="752"/>
      <c r="C92" s="599"/>
      <c r="D92" s="990"/>
      <c r="E92" s="993"/>
      <c r="F92" s="998"/>
      <c r="G92" s="78" t="s">
        <v>13</v>
      </c>
      <c r="H92" s="132">
        <f>SUM(H86:H91)</f>
        <v>339361</v>
      </c>
      <c r="I92" s="140"/>
      <c r="J92" s="132"/>
      <c r="K92" s="882"/>
      <c r="L92" s="283"/>
      <c r="M92" s="284"/>
      <c r="N92" s="285"/>
      <c r="P92" s="543"/>
    </row>
    <row r="93" spans="1:18" s="11" customFormat="1" ht="32.25" customHeight="1" x14ac:dyDescent="0.25">
      <c r="A93" s="749" t="s">
        <v>8</v>
      </c>
      <c r="B93" s="751" t="s">
        <v>14</v>
      </c>
      <c r="C93" s="765" t="s">
        <v>73</v>
      </c>
      <c r="D93" s="889" t="s">
        <v>181</v>
      </c>
      <c r="E93" s="991"/>
      <c r="F93" s="996" t="s">
        <v>21</v>
      </c>
      <c r="G93" s="143" t="s">
        <v>36</v>
      </c>
      <c r="H93" s="144">
        <f>653.8/3.4528*1000</f>
        <v>189354</v>
      </c>
      <c r="I93" s="167"/>
      <c r="J93" s="286"/>
      <c r="K93" s="287" t="s">
        <v>126</v>
      </c>
      <c r="L93" s="288">
        <v>948.45</v>
      </c>
      <c r="M93" s="289"/>
      <c r="N93" s="290"/>
      <c r="P93" s="543"/>
    </row>
    <row r="94" spans="1:18" s="11" customFormat="1" ht="18" customHeight="1" x14ac:dyDescent="0.25">
      <c r="A94" s="763"/>
      <c r="B94" s="764"/>
      <c r="C94" s="766"/>
      <c r="D94" s="893"/>
      <c r="E94" s="992"/>
      <c r="F94" s="997"/>
      <c r="G94" s="4" t="s">
        <v>16</v>
      </c>
      <c r="H94" s="291">
        <f>115.4/3.4528*1000</f>
        <v>33422</v>
      </c>
      <c r="I94" s="201"/>
      <c r="J94" s="200"/>
      <c r="K94" s="1112" t="s">
        <v>171</v>
      </c>
      <c r="L94" s="1105">
        <v>30</v>
      </c>
      <c r="M94" s="1068">
        <v>30</v>
      </c>
      <c r="N94" s="1070">
        <v>30</v>
      </c>
      <c r="P94" s="543"/>
    </row>
    <row r="95" spans="1:18" s="11" customFormat="1" ht="13.5" thickBot="1" x14ac:dyDescent="0.3">
      <c r="A95" s="750"/>
      <c r="B95" s="752"/>
      <c r="C95" s="599"/>
      <c r="D95" s="890"/>
      <c r="E95" s="993"/>
      <c r="F95" s="998"/>
      <c r="G95" s="292" t="s">
        <v>13</v>
      </c>
      <c r="H95" s="293">
        <f>SUM(H93:H94)</f>
        <v>222776</v>
      </c>
      <c r="I95" s="132"/>
      <c r="J95" s="131"/>
      <c r="K95" s="919"/>
      <c r="L95" s="1106"/>
      <c r="M95" s="1069"/>
      <c r="N95" s="1071"/>
      <c r="P95" s="543"/>
      <c r="Q95" s="12"/>
    </row>
    <row r="96" spans="1:18" s="11" customFormat="1" ht="17.25" customHeight="1" x14ac:dyDescent="0.25">
      <c r="A96" s="749" t="s">
        <v>8</v>
      </c>
      <c r="B96" s="751" t="s">
        <v>14</v>
      </c>
      <c r="C96" s="765" t="s">
        <v>11</v>
      </c>
      <c r="D96" s="994" t="s">
        <v>146</v>
      </c>
      <c r="E96" s="991"/>
      <c r="F96" s="996" t="s">
        <v>21</v>
      </c>
      <c r="G96" s="17" t="s">
        <v>22</v>
      </c>
      <c r="H96" s="294">
        <f>40/3.4528*1000+3000+13500</f>
        <v>28085</v>
      </c>
      <c r="I96" s="295"/>
      <c r="J96" s="296"/>
      <c r="K96" s="297" t="s">
        <v>147</v>
      </c>
      <c r="L96" s="586">
        <v>1</v>
      </c>
      <c r="M96" s="298"/>
      <c r="N96" s="299"/>
      <c r="P96" s="543"/>
    </row>
    <row r="97" spans="1:16" s="11" customFormat="1" ht="15" customHeight="1" x14ac:dyDescent="0.25">
      <c r="A97" s="763"/>
      <c r="B97" s="764"/>
      <c r="C97" s="766"/>
      <c r="D97" s="946"/>
      <c r="E97" s="992"/>
      <c r="F97" s="997"/>
      <c r="G97" s="20"/>
      <c r="H97" s="172"/>
      <c r="I97" s="201"/>
      <c r="J97" s="300"/>
      <c r="K97" s="1104" t="s">
        <v>172</v>
      </c>
      <c r="L97" s="587">
        <v>1</v>
      </c>
      <c r="M97" s="301"/>
      <c r="N97" s="302"/>
      <c r="P97" s="543"/>
    </row>
    <row r="98" spans="1:16" s="11" customFormat="1" ht="13.5" thickBot="1" x14ac:dyDescent="0.3">
      <c r="A98" s="750"/>
      <c r="B98" s="752"/>
      <c r="C98" s="599"/>
      <c r="D98" s="995"/>
      <c r="E98" s="993"/>
      <c r="F98" s="998"/>
      <c r="G98" s="78" t="s">
        <v>13</v>
      </c>
      <c r="H98" s="132">
        <f>SUM(H96:H97)</f>
        <v>28085</v>
      </c>
      <c r="I98" s="132"/>
      <c r="J98" s="140"/>
      <c r="K98" s="959"/>
      <c r="L98" s="569"/>
      <c r="M98" s="133"/>
      <c r="N98" s="134"/>
      <c r="P98" s="543"/>
    </row>
    <row r="99" spans="1:16" s="11" customFormat="1" ht="13.5" thickBot="1" x14ac:dyDescent="0.3">
      <c r="A99" s="14" t="s">
        <v>8</v>
      </c>
      <c r="B99" s="15" t="s">
        <v>14</v>
      </c>
      <c r="C99" s="1055" t="s">
        <v>25</v>
      </c>
      <c r="D99" s="1055"/>
      <c r="E99" s="1055"/>
      <c r="F99" s="1055"/>
      <c r="G99" s="1078"/>
      <c r="H99" s="163">
        <f>H98+H95+H92+H85+H82+H78+H74+H70+H61+H58</f>
        <v>5823854</v>
      </c>
      <c r="I99" s="162">
        <f>I98+I95+I92+I85+I82+I78+I74+I70+I61+I58</f>
        <v>5134180</v>
      </c>
      <c r="J99" s="163">
        <f>J98+J95+J92+J85+J82+J78+J74+J70+J61+J58</f>
        <v>5150892</v>
      </c>
      <c r="K99" s="1079"/>
      <c r="L99" s="1080"/>
      <c r="M99" s="1080"/>
      <c r="N99" s="1081"/>
      <c r="P99" s="543"/>
    </row>
    <row r="100" spans="1:16" s="11" customFormat="1" ht="13.5" thickBot="1" x14ac:dyDescent="0.3">
      <c r="A100" s="35" t="s">
        <v>8</v>
      </c>
      <c r="B100" s="15" t="s">
        <v>17</v>
      </c>
      <c r="C100" s="1082" t="s">
        <v>34</v>
      </c>
      <c r="D100" s="1082"/>
      <c r="E100" s="1082"/>
      <c r="F100" s="1082"/>
      <c r="G100" s="1082"/>
      <c r="H100" s="1082"/>
      <c r="I100" s="1082"/>
      <c r="J100" s="1082"/>
      <c r="K100" s="1082"/>
      <c r="L100" s="1082"/>
      <c r="M100" s="1082"/>
      <c r="N100" s="1083"/>
      <c r="P100" s="543"/>
    </row>
    <row r="101" spans="1:16" s="12" customFormat="1" ht="38.25" x14ac:dyDescent="0.25">
      <c r="A101" s="46" t="s">
        <v>8</v>
      </c>
      <c r="B101" s="751" t="s">
        <v>17</v>
      </c>
      <c r="C101" s="93" t="s">
        <v>8</v>
      </c>
      <c r="D101" s="303" t="s">
        <v>35</v>
      </c>
      <c r="E101" s="304"/>
      <c r="F101" s="305"/>
      <c r="G101" s="107"/>
      <c r="H101" s="306"/>
      <c r="I101" s="261"/>
      <c r="J101" s="307"/>
      <c r="K101" s="308"/>
      <c r="L101" s="309"/>
      <c r="M101" s="310"/>
      <c r="N101" s="311"/>
      <c r="P101" s="188"/>
    </row>
    <row r="102" spans="1:16" s="12" customFormat="1" ht="21" customHeight="1" x14ac:dyDescent="0.25">
      <c r="A102" s="44"/>
      <c r="B102" s="764"/>
      <c r="C102" s="94"/>
      <c r="D102" s="926" t="s">
        <v>182</v>
      </c>
      <c r="E102" s="312" t="s">
        <v>83</v>
      </c>
      <c r="F102" s="806">
        <v>5</v>
      </c>
      <c r="G102" s="41" t="s">
        <v>47</v>
      </c>
      <c r="H102" s="570">
        <v>17957</v>
      </c>
      <c r="I102" s="173"/>
      <c r="J102" s="314"/>
      <c r="K102" s="1085" t="s">
        <v>173</v>
      </c>
      <c r="L102" s="174"/>
      <c r="M102" s="793"/>
      <c r="N102" s="795"/>
      <c r="P102" s="188"/>
    </row>
    <row r="103" spans="1:16" s="12" customFormat="1" ht="21" customHeight="1" x14ac:dyDescent="0.25">
      <c r="A103" s="44"/>
      <c r="B103" s="764"/>
      <c r="C103" s="94"/>
      <c r="D103" s="926"/>
      <c r="E103" s="312"/>
      <c r="F103" s="806"/>
      <c r="G103" s="37" t="s">
        <v>22</v>
      </c>
      <c r="H103" s="567">
        <f>24096+1373</f>
        <v>25469</v>
      </c>
      <c r="I103" s="201"/>
      <c r="J103" s="300"/>
      <c r="K103" s="1085"/>
      <c r="L103" s="174"/>
      <c r="M103" s="793"/>
      <c r="N103" s="795"/>
      <c r="P103" s="188"/>
    </row>
    <row r="104" spans="1:16" s="12" customFormat="1" ht="21" customHeight="1" x14ac:dyDescent="0.25">
      <c r="A104" s="44"/>
      <c r="B104" s="764"/>
      <c r="C104" s="94"/>
      <c r="D104" s="926"/>
      <c r="E104" s="312"/>
      <c r="F104" s="806"/>
      <c r="G104" s="40" t="s">
        <v>36</v>
      </c>
      <c r="H104" s="571">
        <v>127260</v>
      </c>
      <c r="I104" s="317"/>
      <c r="J104" s="318"/>
      <c r="K104" s="1085"/>
      <c r="L104" s="174"/>
      <c r="M104" s="793"/>
      <c r="N104" s="795"/>
      <c r="P104" s="188"/>
    </row>
    <row r="105" spans="1:16" s="12" customFormat="1" ht="16.5" customHeight="1" x14ac:dyDescent="0.25">
      <c r="A105" s="44"/>
      <c r="B105" s="764"/>
      <c r="C105" s="94"/>
      <c r="D105" s="1084"/>
      <c r="E105" s="319"/>
      <c r="F105" s="218"/>
      <c r="G105" s="99" t="s">
        <v>13</v>
      </c>
      <c r="H105" s="634">
        <f>SUM(H102:H104)</f>
        <v>170686</v>
      </c>
      <c r="I105" s="321"/>
      <c r="J105" s="322"/>
      <c r="K105" s="1086"/>
      <c r="L105" s="323">
        <v>100</v>
      </c>
      <c r="M105" s="324"/>
      <c r="N105" s="325"/>
      <c r="P105" s="188"/>
    </row>
    <row r="106" spans="1:16" s="12" customFormat="1" ht="21" customHeight="1" x14ac:dyDescent="0.25">
      <c r="A106" s="44"/>
      <c r="B106" s="764"/>
      <c r="C106" s="94"/>
      <c r="D106" s="1087" t="s">
        <v>183</v>
      </c>
      <c r="E106" s="326" t="s">
        <v>83</v>
      </c>
      <c r="F106" s="39">
        <v>5</v>
      </c>
      <c r="G106" s="40" t="s">
        <v>47</v>
      </c>
      <c r="H106" s="567">
        <f>75.4/3.4528*1000</f>
        <v>21837</v>
      </c>
      <c r="I106" s="173"/>
      <c r="J106" s="314"/>
      <c r="K106" s="983" t="s">
        <v>174</v>
      </c>
      <c r="L106" s="174"/>
      <c r="M106" s="793"/>
      <c r="N106" s="795"/>
      <c r="P106" s="188"/>
    </row>
    <row r="107" spans="1:16" s="12" customFormat="1" ht="21" customHeight="1" x14ac:dyDescent="0.25">
      <c r="A107" s="44"/>
      <c r="B107" s="764"/>
      <c r="C107" s="94"/>
      <c r="D107" s="926"/>
      <c r="E107" s="326"/>
      <c r="F107" s="39"/>
      <c r="G107" s="37" t="s">
        <v>22</v>
      </c>
      <c r="H107" s="567">
        <f>22967+2043</f>
        <v>25010</v>
      </c>
      <c r="I107" s="201"/>
      <c r="J107" s="300"/>
      <c r="K107" s="933"/>
      <c r="L107" s="174"/>
      <c r="M107" s="793"/>
      <c r="N107" s="795"/>
      <c r="P107" s="188"/>
    </row>
    <row r="108" spans="1:16" s="12" customFormat="1" ht="21" customHeight="1" x14ac:dyDescent="0.25">
      <c r="A108" s="44"/>
      <c r="B108" s="764"/>
      <c r="C108" s="94"/>
      <c r="D108" s="926"/>
      <c r="E108" s="326"/>
      <c r="F108" s="39"/>
      <c r="G108" s="41" t="s">
        <v>36</v>
      </c>
      <c r="H108" s="570">
        <v>145361</v>
      </c>
      <c r="I108" s="317"/>
      <c r="J108" s="318"/>
      <c r="K108" s="933"/>
      <c r="L108" s="174"/>
      <c r="M108" s="793"/>
      <c r="N108" s="795"/>
      <c r="P108" s="188"/>
    </row>
    <row r="109" spans="1:16" s="12" customFormat="1" ht="15" customHeight="1" x14ac:dyDescent="0.25">
      <c r="A109" s="44"/>
      <c r="B109" s="764"/>
      <c r="C109" s="94"/>
      <c r="D109" s="926"/>
      <c r="E109" s="326"/>
      <c r="F109" s="39"/>
      <c r="G109" s="98" t="s">
        <v>13</v>
      </c>
      <c r="H109" s="635">
        <f>SUM(H106:H108)</f>
        <v>192208</v>
      </c>
      <c r="I109" s="327"/>
      <c r="J109" s="328"/>
      <c r="K109" s="933"/>
      <c r="L109" s="174">
        <v>100</v>
      </c>
      <c r="M109" s="793"/>
      <c r="N109" s="795"/>
      <c r="P109" s="188"/>
    </row>
    <row r="110" spans="1:16" s="12" customFormat="1" ht="13.5" customHeight="1" x14ac:dyDescent="0.25">
      <c r="A110" s="44"/>
      <c r="B110" s="764"/>
      <c r="C110" s="94"/>
      <c r="D110" s="1087" t="s">
        <v>184</v>
      </c>
      <c r="E110" s="329" t="s">
        <v>83</v>
      </c>
      <c r="F110" s="330">
        <v>5</v>
      </c>
      <c r="G110" s="38" t="s">
        <v>22</v>
      </c>
      <c r="H110" s="331">
        <f>80.3/3.4528*1000</f>
        <v>23256</v>
      </c>
      <c r="I110" s="317"/>
      <c r="J110" s="318"/>
      <c r="K110" s="332" t="s">
        <v>163</v>
      </c>
      <c r="L110" s="183"/>
      <c r="M110" s="792"/>
      <c r="N110" s="794"/>
      <c r="P110" s="188"/>
    </row>
    <row r="111" spans="1:16" s="12" customFormat="1" ht="13.5" customHeight="1" x14ac:dyDescent="0.25">
      <c r="A111" s="44"/>
      <c r="B111" s="764"/>
      <c r="C111" s="94"/>
      <c r="D111" s="926"/>
      <c r="E111" s="326"/>
      <c r="F111" s="39"/>
      <c r="G111" s="38" t="s">
        <v>36</v>
      </c>
      <c r="H111" s="331">
        <f>338.5/3.4528*1000</f>
        <v>98036</v>
      </c>
      <c r="I111" s="201"/>
      <c r="J111" s="300"/>
      <c r="K111" s="333"/>
      <c r="L111" s="174"/>
      <c r="M111" s="793"/>
      <c r="N111" s="795"/>
      <c r="P111" s="188"/>
    </row>
    <row r="112" spans="1:16" s="12" customFormat="1" ht="14.25" customHeight="1" x14ac:dyDescent="0.25">
      <c r="A112" s="44"/>
      <c r="B112" s="764"/>
      <c r="C112" s="94"/>
      <c r="D112" s="926"/>
      <c r="E112" s="326"/>
      <c r="F112" s="39"/>
      <c r="G112" s="99" t="s">
        <v>13</v>
      </c>
      <c r="H112" s="634">
        <f>SUM(H110:H111)</f>
        <v>121292</v>
      </c>
      <c r="I112" s="334"/>
      <c r="J112" s="335"/>
      <c r="K112" s="333" t="s">
        <v>164</v>
      </c>
      <c r="L112" s="174">
        <v>100</v>
      </c>
      <c r="M112" s="793"/>
      <c r="N112" s="795"/>
      <c r="P112" s="188"/>
    </row>
    <row r="113" spans="1:19" s="27" customFormat="1" ht="14.25" customHeight="1" thickBot="1" x14ac:dyDescent="0.3">
      <c r="A113" s="336"/>
      <c r="B113" s="752"/>
      <c r="C113" s="104"/>
      <c r="D113" s="929"/>
      <c r="E113" s="1075" t="s">
        <v>128</v>
      </c>
      <c r="F113" s="1076"/>
      <c r="G113" s="1077"/>
      <c r="H113" s="405">
        <f>H112+H109+H105</f>
        <v>484186</v>
      </c>
      <c r="I113" s="131"/>
      <c r="J113" s="131"/>
      <c r="K113" s="337"/>
      <c r="L113" s="338"/>
      <c r="M113" s="339"/>
      <c r="N113" s="340"/>
      <c r="P113" s="544"/>
    </row>
    <row r="114" spans="1:19" s="12" customFormat="1" ht="42" customHeight="1" x14ac:dyDescent="0.25">
      <c r="A114" s="46" t="s">
        <v>8</v>
      </c>
      <c r="B114" s="751" t="s">
        <v>17</v>
      </c>
      <c r="C114" s="93" t="s">
        <v>14</v>
      </c>
      <c r="D114" s="9" t="s">
        <v>38</v>
      </c>
      <c r="E114" s="165"/>
      <c r="F114" s="341"/>
      <c r="G114" s="342"/>
      <c r="H114" s="343"/>
      <c r="I114" s="344"/>
      <c r="J114" s="344"/>
      <c r="K114" s="636"/>
      <c r="L114" s="636"/>
      <c r="M114" s="641"/>
      <c r="N114" s="642"/>
      <c r="P114" s="188"/>
    </row>
    <row r="115" spans="1:19" s="12" customFormat="1" ht="38.25" x14ac:dyDescent="0.2">
      <c r="A115" s="44"/>
      <c r="B115" s="764"/>
      <c r="C115" s="94"/>
      <c r="D115" s="1087" t="s">
        <v>200</v>
      </c>
      <c r="E115" s="312" t="s">
        <v>52</v>
      </c>
      <c r="F115" s="806">
        <v>5</v>
      </c>
      <c r="G115" s="37" t="s">
        <v>22</v>
      </c>
      <c r="H115" s="567">
        <f>93924+10207</f>
        <v>104131</v>
      </c>
      <c r="I115" s="346"/>
      <c r="J115" s="318"/>
      <c r="K115" s="182" t="s">
        <v>175</v>
      </c>
      <c r="L115" s="643">
        <v>100</v>
      </c>
      <c r="M115" s="999"/>
      <c r="N115" s="1073"/>
      <c r="P115" s="188"/>
    </row>
    <row r="116" spans="1:19" s="12" customFormat="1" ht="32.25" customHeight="1" x14ac:dyDescent="0.25">
      <c r="A116" s="44"/>
      <c r="B116" s="764"/>
      <c r="C116" s="94"/>
      <c r="D116" s="926"/>
      <c r="E116" s="348"/>
      <c r="F116" s="64"/>
      <c r="G116" s="65" t="s">
        <v>36</v>
      </c>
      <c r="H116" s="349">
        <v>21041</v>
      </c>
      <c r="I116" s="346"/>
      <c r="J116" s="318"/>
      <c r="K116" s="186"/>
      <c r="L116" s="644"/>
      <c r="M116" s="1000"/>
      <c r="N116" s="1074"/>
      <c r="P116" s="188"/>
    </row>
    <row r="117" spans="1:19" s="12" customFormat="1" ht="49.5" customHeight="1" x14ac:dyDescent="0.25">
      <c r="A117" s="44"/>
      <c r="B117" s="764"/>
      <c r="C117" s="94"/>
      <c r="D117" s="926"/>
      <c r="E117" s="348"/>
      <c r="F117" s="64"/>
      <c r="G117" s="65" t="s">
        <v>16</v>
      </c>
      <c r="H117" s="349">
        <v>3713</v>
      </c>
      <c r="I117" s="346"/>
      <c r="J117" s="318"/>
      <c r="K117" s="186"/>
      <c r="L117" s="644"/>
      <c r="M117" s="793"/>
      <c r="N117" s="795"/>
      <c r="P117" s="188"/>
    </row>
    <row r="118" spans="1:19" s="12" customFormat="1" ht="13.5" customHeight="1" x14ac:dyDescent="0.25">
      <c r="A118" s="44"/>
      <c r="B118" s="764"/>
      <c r="C118" s="94"/>
      <c r="D118" s="1084"/>
      <c r="E118" s="348"/>
      <c r="F118" s="64"/>
      <c r="G118" s="350" t="s">
        <v>13</v>
      </c>
      <c r="H118" s="351">
        <f>SUM(H115:H117)</f>
        <v>128885</v>
      </c>
      <c r="I118" s="334"/>
      <c r="J118" s="335"/>
      <c r="K118" s="637"/>
      <c r="L118" s="645"/>
      <c r="M118" s="124"/>
      <c r="N118" s="353"/>
      <c r="P118" s="188"/>
    </row>
    <row r="119" spans="1:19" s="12" customFormat="1" ht="12.75" customHeight="1" x14ac:dyDescent="0.25">
      <c r="A119" s="44"/>
      <c r="B119" s="764"/>
      <c r="C119" s="94"/>
      <c r="D119" s="946" t="s">
        <v>162</v>
      </c>
      <c r="E119" s="348"/>
      <c r="F119" s="64"/>
      <c r="G119" s="38" t="s">
        <v>22</v>
      </c>
      <c r="H119" s="331">
        <f>30/3.4528*1000</f>
        <v>8689</v>
      </c>
      <c r="I119" s="354"/>
      <c r="J119" s="355"/>
      <c r="K119" s="1085" t="s">
        <v>102</v>
      </c>
      <c r="L119" s="174">
        <v>1</v>
      </c>
      <c r="M119" s="793"/>
      <c r="N119" s="795"/>
      <c r="P119" s="188"/>
    </row>
    <row r="120" spans="1:19" s="12" customFormat="1" ht="15" customHeight="1" x14ac:dyDescent="0.25">
      <c r="A120" s="44"/>
      <c r="B120" s="764"/>
      <c r="C120" s="94"/>
      <c r="D120" s="946"/>
      <c r="E120" s="356"/>
      <c r="F120" s="66"/>
      <c r="G120" s="41"/>
      <c r="H120" s="313"/>
      <c r="I120" s="173"/>
      <c r="J120" s="314"/>
      <c r="K120" s="1085"/>
      <c r="L120" s="174"/>
      <c r="M120" s="793"/>
      <c r="N120" s="795"/>
      <c r="P120" s="188"/>
    </row>
    <row r="121" spans="1:19" s="12" customFormat="1" x14ac:dyDescent="0.25">
      <c r="A121" s="44"/>
      <c r="B121" s="764"/>
      <c r="C121" s="94"/>
      <c r="D121" s="947"/>
      <c r="E121" s="356"/>
      <c r="F121" s="66"/>
      <c r="G121" s="350" t="s">
        <v>13</v>
      </c>
      <c r="H121" s="351">
        <f>SUM(H119:H120)</f>
        <v>8689</v>
      </c>
      <c r="I121" s="334"/>
      <c r="J121" s="335"/>
      <c r="K121" s="1086"/>
      <c r="L121" s="645"/>
      <c r="M121" s="124"/>
      <c r="N121" s="353"/>
      <c r="P121" s="188"/>
    </row>
    <row r="122" spans="1:19" s="12" customFormat="1" ht="30.75" customHeight="1" x14ac:dyDescent="0.25">
      <c r="A122" s="44"/>
      <c r="B122" s="764"/>
      <c r="C122" s="94"/>
      <c r="D122" s="1005" t="s">
        <v>137</v>
      </c>
      <c r="E122" s="348"/>
      <c r="F122" s="64"/>
      <c r="G122" s="38" t="s">
        <v>22</v>
      </c>
      <c r="H122" s="331"/>
      <c r="I122" s="354">
        <f>17.9/3.4528*1000</f>
        <v>5184</v>
      </c>
      <c r="J122" s="355">
        <f>3.4/3.4528*1000</f>
        <v>985</v>
      </c>
      <c r="K122" s="649" t="s">
        <v>199</v>
      </c>
      <c r="L122" s="650"/>
      <c r="M122" s="651">
        <v>1</v>
      </c>
      <c r="N122" s="646"/>
      <c r="P122" s="188"/>
    </row>
    <row r="123" spans="1:19" s="12" customFormat="1" ht="15" customHeight="1" x14ac:dyDescent="0.25">
      <c r="A123" s="44"/>
      <c r="B123" s="764"/>
      <c r="C123" s="94"/>
      <c r="D123" s="946"/>
      <c r="E123" s="356"/>
      <c r="F123" s="66"/>
      <c r="G123" s="38" t="s">
        <v>36</v>
      </c>
      <c r="H123" s="331"/>
      <c r="I123" s="354">
        <f>45/3.4528*1000</f>
        <v>13033</v>
      </c>
      <c r="J123" s="317">
        <f>19.3/3.4528*1000</f>
        <v>5590</v>
      </c>
      <c r="K123" s="182" t="s">
        <v>102</v>
      </c>
      <c r="L123" s="183"/>
      <c r="M123" s="792"/>
      <c r="N123" s="794">
        <v>1</v>
      </c>
      <c r="P123" s="188"/>
    </row>
    <row r="124" spans="1:19" s="12" customFormat="1" x14ac:dyDescent="0.25">
      <c r="A124" s="44"/>
      <c r="B124" s="764"/>
      <c r="C124" s="94"/>
      <c r="D124" s="947"/>
      <c r="E124" s="357"/>
      <c r="F124" s="358"/>
      <c r="G124" s="350" t="s">
        <v>13</v>
      </c>
      <c r="H124" s="351"/>
      <c r="I124" s="334">
        <f>SUM(I122:I123)</f>
        <v>18217</v>
      </c>
      <c r="J124" s="335">
        <f>SUM(J122:J123)</f>
        <v>6575</v>
      </c>
      <c r="K124" s="637"/>
      <c r="L124" s="645"/>
      <c r="M124" s="124"/>
      <c r="N124" s="353"/>
      <c r="P124" s="188"/>
    </row>
    <row r="125" spans="1:19" ht="39.75" customHeight="1" x14ac:dyDescent="0.2">
      <c r="A125" s="44"/>
      <c r="B125" s="764"/>
      <c r="C125" s="101"/>
      <c r="D125" s="457" t="s">
        <v>148</v>
      </c>
      <c r="E125" s="75"/>
      <c r="F125" s="360" t="s">
        <v>30</v>
      </c>
      <c r="G125" s="361" t="s">
        <v>22</v>
      </c>
      <c r="H125" s="362">
        <f>10/3.4528*1000</f>
        <v>2896</v>
      </c>
      <c r="I125" s="317"/>
      <c r="J125" s="317"/>
      <c r="K125" s="638" t="s">
        <v>161</v>
      </c>
      <c r="L125" s="647">
        <v>100</v>
      </c>
      <c r="M125" s="799"/>
      <c r="N125" s="800"/>
      <c r="Q125" s="42"/>
      <c r="R125" s="42"/>
      <c r="S125" s="42"/>
    </row>
    <row r="126" spans="1:19" s="12" customFormat="1" ht="36.75" customHeight="1" x14ac:dyDescent="0.25">
      <c r="A126" s="44"/>
      <c r="B126" s="764"/>
      <c r="C126" s="94"/>
      <c r="D126" s="946" t="s">
        <v>178</v>
      </c>
      <c r="E126" s="312"/>
      <c r="F126" s="95"/>
      <c r="G126" s="40" t="s">
        <v>22</v>
      </c>
      <c r="H126" s="316">
        <f>100/3.4528*1000</f>
        <v>28962</v>
      </c>
      <c r="I126" s="263">
        <f>1100/3.4528*1000</f>
        <v>318582</v>
      </c>
      <c r="J126" s="365"/>
      <c r="K126" s="639" t="s">
        <v>102</v>
      </c>
      <c r="L126" s="584">
        <v>1</v>
      </c>
      <c r="M126" s="456"/>
      <c r="N126" s="795"/>
      <c r="P126" s="188"/>
    </row>
    <row r="127" spans="1:19" s="12" customFormat="1" ht="19.5" customHeight="1" x14ac:dyDescent="0.25">
      <c r="A127" s="44"/>
      <c r="B127" s="764"/>
      <c r="C127" s="94"/>
      <c r="D127" s="946"/>
      <c r="E127" s="312"/>
      <c r="F127" s="95"/>
      <c r="G127" s="363"/>
      <c r="H127" s="364"/>
      <c r="I127" s="263"/>
      <c r="J127" s="365"/>
      <c r="K127" s="640" t="s">
        <v>144</v>
      </c>
      <c r="L127" s="648"/>
      <c r="M127" s="366">
        <v>100</v>
      </c>
      <c r="N127" s="794"/>
      <c r="P127" s="188"/>
    </row>
    <row r="128" spans="1:19" s="12" customFormat="1" ht="38.25" customHeight="1" x14ac:dyDescent="0.25">
      <c r="A128" s="44"/>
      <c r="B128" s="764"/>
      <c r="C128" s="94"/>
      <c r="D128" s="1005" t="s">
        <v>135</v>
      </c>
      <c r="E128" s="1097"/>
      <c r="F128" s="1116"/>
      <c r="G128" s="38" t="s">
        <v>22</v>
      </c>
      <c r="H128" s="331">
        <f>60/3.4528*1000-7553</f>
        <v>9824</v>
      </c>
      <c r="I128" s="367"/>
      <c r="J128" s="368"/>
      <c r="K128" s="1098" t="s">
        <v>134</v>
      </c>
      <c r="L128" s="1113">
        <v>300</v>
      </c>
      <c r="M128" s="999"/>
      <c r="N128" s="1002"/>
      <c r="P128" s="188"/>
    </row>
    <row r="129" spans="1:22" s="11" customFormat="1" ht="13.5" customHeight="1" x14ac:dyDescent="0.25">
      <c r="A129" s="44"/>
      <c r="B129" s="764"/>
      <c r="C129" s="94"/>
      <c r="D129" s="946"/>
      <c r="E129" s="1097"/>
      <c r="F129" s="1116"/>
      <c r="G129" s="369" t="s">
        <v>13</v>
      </c>
      <c r="H129" s="158">
        <f>SUM(H125:H128)</f>
        <v>41682</v>
      </c>
      <c r="I129" s="370">
        <f t="shared" ref="I129:J129" si="4">SUM(I125:I128)</f>
        <v>318582</v>
      </c>
      <c r="J129" s="370">
        <f t="shared" si="4"/>
        <v>0</v>
      </c>
      <c r="K129" s="1099"/>
      <c r="L129" s="1114"/>
      <c r="M129" s="1000"/>
      <c r="N129" s="1003"/>
      <c r="P129" s="543"/>
    </row>
    <row r="130" spans="1:22" s="11" customFormat="1" ht="13.5" customHeight="1" thickBot="1" x14ac:dyDescent="0.3">
      <c r="A130" s="336"/>
      <c r="B130" s="21"/>
      <c r="C130" s="371"/>
      <c r="D130" s="1096"/>
      <c r="E130" s="1093" t="s">
        <v>128</v>
      </c>
      <c r="F130" s="1094"/>
      <c r="G130" s="1095"/>
      <c r="H130" s="140">
        <f>H129+H124+H121+H118</f>
        <v>179256</v>
      </c>
      <c r="I130" s="372">
        <f t="shared" ref="I130:J130" si="5">I129+I124+I121+I118</f>
        <v>336799</v>
      </c>
      <c r="J130" s="372">
        <f t="shared" si="5"/>
        <v>6575</v>
      </c>
      <c r="K130" s="1100"/>
      <c r="L130" s="1115"/>
      <c r="M130" s="1001"/>
      <c r="N130" s="1004"/>
      <c r="P130" s="543"/>
    </row>
    <row r="131" spans="1:22" s="11" customFormat="1" ht="13.5" thickBot="1" x14ac:dyDescent="0.3">
      <c r="A131" s="14" t="s">
        <v>8</v>
      </c>
      <c r="B131" s="43" t="s">
        <v>17</v>
      </c>
      <c r="C131" s="1101" t="s">
        <v>25</v>
      </c>
      <c r="D131" s="1055"/>
      <c r="E131" s="1055"/>
      <c r="F131" s="1055"/>
      <c r="G131" s="1078"/>
      <c r="H131" s="373">
        <f>H130+H113</f>
        <v>663442</v>
      </c>
      <c r="I131" s="374">
        <f t="shared" ref="I131:J131" si="6">I130+I113</f>
        <v>336799</v>
      </c>
      <c r="J131" s="374">
        <f t="shared" si="6"/>
        <v>6575</v>
      </c>
      <c r="K131" s="907"/>
      <c r="L131" s="908"/>
      <c r="M131" s="908"/>
      <c r="N131" s="909"/>
      <c r="P131" s="543"/>
    </row>
    <row r="132" spans="1:22" ht="13.5" thickBot="1" x14ac:dyDescent="0.25">
      <c r="A132" s="14" t="s">
        <v>8</v>
      </c>
      <c r="B132" s="43" t="s">
        <v>19</v>
      </c>
      <c r="C132" s="980" t="s">
        <v>85</v>
      </c>
      <c r="D132" s="981"/>
      <c r="E132" s="981"/>
      <c r="F132" s="981"/>
      <c r="G132" s="981"/>
      <c r="H132" s="981"/>
      <c r="I132" s="981"/>
      <c r="J132" s="981"/>
      <c r="K132" s="981"/>
      <c r="L132" s="981"/>
      <c r="M132" s="981"/>
      <c r="N132" s="982"/>
    </row>
    <row r="133" spans="1:22" x14ac:dyDescent="0.2">
      <c r="A133" s="46" t="s">
        <v>8</v>
      </c>
      <c r="B133" s="47" t="s">
        <v>19</v>
      </c>
      <c r="C133" s="106" t="s">
        <v>8</v>
      </c>
      <c r="D133" s="375" t="s">
        <v>136</v>
      </c>
      <c r="E133" s="376"/>
      <c r="F133" s="377"/>
      <c r="G133" s="36"/>
      <c r="H133" s="153"/>
      <c r="I133" s="234"/>
      <c r="J133" s="295"/>
      <c r="K133" s="345"/>
      <c r="L133" s="758"/>
      <c r="M133" s="759"/>
      <c r="N133" s="762"/>
    </row>
    <row r="134" spans="1:22" ht="12" customHeight="1" x14ac:dyDescent="0.2">
      <c r="A134" s="44"/>
      <c r="B134" s="45"/>
      <c r="C134" s="103"/>
      <c r="D134" s="378" t="s">
        <v>149</v>
      </c>
      <c r="E134" s="359"/>
      <c r="F134" s="379" t="s">
        <v>48</v>
      </c>
      <c r="G134" s="37" t="s">
        <v>22</v>
      </c>
      <c r="H134" s="315">
        <f>400/3.4528*1000</f>
        <v>115848</v>
      </c>
      <c r="I134" s="380"/>
      <c r="J134" s="317"/>
      <c r="K134" s="983" t="s">
        <v>165</v>
      </c>
      <c r="L134" s="381"/>
      <c r="M134" s="382"/>
      <c r="N134" s="383"/>
    </row>
    <row r="135" spans="1:22" ht="18.75" customHeight="1" x14ac:dyDescent="0.2">
      <c r="A135" s="44"/>
      <c r="B135" s="45"/>
      <c r="C135" s="103"/>
      <c r="D135" s="384"/>
      <c r="E135" s="385"/>
      <c r="F135" s="386"/>
      <c r="G135" s="37" t="s">
        <v>189</v>
      </c>
      <c r="H135" s="589">
        <v>94138</v>
      </c>
      <c r="I135" s="200"/>
      <c r="J135" s="201"/>
      <c r="K135" s="933"/>
      <c r="L135" s="387"/>
      <c r="M135" s="388"/>
      <c r="N135" s="389"/>
    </row>
    <row r="136" spans="1:22" x14ac:dyDescent="0.2">
      <c r="A136" s="44"/>
      <c r="B136" s="45"/>
      <c r="C136" s="103"/>
      <c r="D136" s="384"/>
      <c r="E136" s="385"/>
      <c r="F136" s="386"/>
      <c r="G136" s="390" t="s">
        <v>13</v>
      </c>
      <c r="H136" s="391">
        <f>SUM(H134:H135)</f>
        <v>209986</v>
      </c>
      <c r="I136" s="159"/>
      <c r="J136" s="282"/>
      <c r="K136" s="984"/>
      <c r="L136" s="392"/>
      <c r="M136" s="393"/>
      <c r="N136" s="394">
        <v>100</v>
      </c>
    </row>
    <row r="137" spans="1:22" ht="12" customHeight="1" x14ac:dyDescent="0.2">
      <c r="A137" s="44"/>
      <c r="B137" s="45"/>
      <c r="C137" s="103"/>
      <c r="D137" s="978" t="s">
        <v>138</v>
      </c>
      <c r="E137" s="395" t="s">
        <v>52</v>
      </c>
      <c r="F137" s="379" t="s">
        <v>84</v>
      </c>
      <c r="G137" s="37" t="s">
        <v>189</v>
      </c>
      <c r="H137" s="315">
        <f>53.7/3.4528*1000</f>
        <v>15553</v>
      </c>
      <c r="I137" s="396"/>
      <c r="J137" s="354"/>
      <c r="K137" s="983" t="s">
        <v>142</v>
      </c>
      <c r="L137" s="127">
        <v>1</v>
      </c>
      <c r="M137" s="655"/>
      <c r="N137" s="656"/>
    </row>
    <row r="138" spans="1:22" ht="14.25" customHeight="1" x14ac:dyDescent="0.2">
      <c r="A138" s="44"/>
      <c r="B138" s="45"/>
      <c r="C138" s="103"/>
      <c r="D138" s="893"/>
      <c r="E138" s="976" t="s">
        <v>139</v>
      </c>
      <c r="F138" s="91"/>
      <c r="G138" s="41" t="s">
        <v>22</v>
      </c>
      <c r="H138" s="313"/>
      <c r="I138" s="380">
        <f>386.1/3.4528*1000</f>
        <v>111822</v>
      </c>
      <c r="J138" s="317">
        <f>579.1/3.4528*1000</f>
        <v>167719</v>
      </c>
      <c r="K138" s="984"/>
      <c r="L138" s="397"/>
      <c r="M138" s="775"/>
      <c r="N138" s="398"/>
    </row>
    <row r="139" spans="1:22" x14ac:dyDescent="0.2">
      <c r="A139" s="44"/>
      <c r="B139" s="45"/>
      <c r="C139" s="103"/>
      <c r="D139" s="893"/>
      <c r="E139" s="977"/>
      <c r="F139" s="386"/>
      <c r="G139" s="38" t="s">
        <v>36</v>
      </c>
      <c r="H139" s="331"/>
      <c r="I139" s="396">
        <f>2187.8/3.4528*1000</f>
        <v>633631</v>
      </c>
      <c r="J139" s="354">
        <f>3281.7/3.4528*1000</f>
        <v>950446</v>
      </c>
      <c r="K139" s="347" t="s">
        <v>143</v>
      </c>
      <c r="L139" s="381"/>
      <c r="M139" s="382">
        <v>30</v>
      </c>
      <c r="N139" s="383">
        <v>80</v>
      </c>
    </row>
    <row r="140" spans="1:22" x14ac:dyDescent="0.2">
      <c r="A140" s="44"/>
      <c r="B140" s="45"/>
      <c r="C140" s="103"/>
      <c r="D140" s="979"/>
      <c r="E140" s="977"/>
      <c r="F140" s="386"/>
      <c r="G140" s="99" t="s">
        <v>13</v>
      </c>
      <c r="H140" s="320">
        <f>SUM(H137:H139)</f>
        <v>15553</v>
      </c>
      <c r="I140" s="320">
        <f>SUM(I137:I139)</f>
        <v>745453</v>
      </c>
      <c r="J140" s="458">
        <f>SUM(J137:J139)</f>
        <v>1118165</v>
      </c>
      <c r="K140" s="352"/>
      <c r="L140" s="400"/>
      <c r="M140" s="401"/>
      <c r="N140" s="402"/>
    </row>
    <row r="141" spans="1:22" ht="12" customHeight="1" x14ac:dyDescent="0.2">
      <c r="A141" s="44"/>
      <c r="B141" s="45"/>
      <c r="C141" s="103"/>
      <c r="D141" s="893" t="s">
        <v>141</v>
      </c>
      <c r="E141" s="67"/>
      <c r="F141" s="386"/>
      <c r="G141" s="40" t="s">
        <v>189</v>
      </c>
      <c r="H141" s="316">
        <f>112.6/3.4528*1000</f>
        <v>32611</v>
      </c>
      <c r="I141" s="200"/>
      <c r="J141" s="201"/>
      <c r="K141" s="933" t="s">
        <v>142</v>
      </c>
      <c r="L141" s="387">
        <v>1</v>
      </c>
      <c r="M141" s="388"/>
      <c r="N141" s="389"/>
    </row>
    <row r="142" spans="1:22" ht="15.75" customHeight="1" x14ac:dyDescent="0.2">
      <c r="A142" s="44"/>
      <c r="B142" s="45"/>
      <c r="C142" s="103"/>
      <c r="D142" s="893"/>
      <c r="E142" s="385"/>
      <c r="F142" s="386"/>
      <c r="G142" s="37" t="s">
        <v>22</v>
      </c>
      <c r="H142" s="315"/>
      <c r="I142" s="380">
        <f>431.4/3.4528*1000</f>
        <v>124942</v>
      </c>
      <c r="J142" s="317">
        <f>647.2/3.4528*1000</f>
        <v>187442</v>
      </c>
      <c r="K142" s="984"/>
      <c r="L142" s="400"/>
      <c r="M142" s="401"/>
      <c r="N142" s="402"/>
      <c r="Q142" s="42"/>
      <c r="V142" s="42"/>
    </row>
    <row r="143" spans="1:22" ht="12" customHeight="1" x14ac:dyDescent="0.2">
      <c r="A143" s="44"/>
      <c r="B143" s="45"/>
      <c r="C143" s="103"/>
      <c r="D143" s="893"/>
      <c r="E143" s="385"/>
      <c r="F143" s="386"/>
      <c r="G143" s="38" t="s">
        <v>36</v>
      </c>
      <c r="H143" s="331"/>
      <c r="I143" s="396">
        <f>2444.8/3.4528*1000</f>
        <v>708063</v>
      </c>
      <c r="J143" s="354">
        <f>3667.2/3.4528*1000</f>
        <v>1062095</v>
      </c>
      <c r="K143" s="790" t="s">
        <v>143</v>
      </c>
      <c r="L143" s="381"/>
      <c r="M143" s="382">
        <v>30</v>
      </c>
      <c r="N143" s="383">
        <v>80</v>
      </c>
      <c r="P143" s="545"/>
    </row>
    <row r="144" spans="1:22" ht="12" customHeight="1" x14ac:dyDescent="0.2">
      <c r="A144" s="44"/>
      <c r="B144" s="45"/>
      <c r="C144" s="103"/>
      <c r="D144" s="893"/>
      <c r="E144" s="403"/>
      <c r="F144" s="404"/>
      <c r="G144" s="369" t="s">
        <v>13</v>
      </c>
      <c r="H144" s="158">
        <f>SUM(H141:H143)</f>
        <v>32611</v>
      </c>
      <c r="I144" s="158">
        <f>SUM(I141:I143)</f>
        <v>833005</v>
      </c>
      <c r="J144" s="399">
        <f>SUM(J141:J143)</f>
        <v>1249537</v>
      </c>
      <c r="K144" s="1037"/>
      <c r="L144" s="387"/>
      <c r="M144" s="388"/>
      <c r="N144" s="389"/>
    </row>
    <row r="145" spans="1:20" ht="12.75" customHeight="1" thickBot="1" x14ac:dyDescent="0.25">
      <c r="A145" s="750"/>
      <c r="B145" s="752"/>
      <c r="C145" s="715"/>
      <c r="D145" s="890"/>
      <c r="E145" s="1027" t="s">
        <v>128</v>
      </c>
      <c r="F145" s="1027"/>
      <c r="G145" s="1028"/>
      <c r="H145" s="405">
        <f>H144+H140+H136</f>
        <v>258150</v>
      </c>
      <c r="I145" s="131">
        <f t="shared" ref="I145:J145" si="7">I144+I140+I136</f>
        <v>1578458</v>
      </c>
      <c r="J145" s="132">
        <f t="shared" si="7"/>
        <v>2367702</v>
      </c>
      <c r="K145" s="1038"/>
      <c r="L145" s="406"/>
      <c r="M145" s="407"/>
      <c r="N145" s="408"/>
      <c r="T145" s="42"/>
    </row>
    <row r="146" spans="1:20" ht="51" x14ac:dyDescent="0.2">
      <c r="A146" s="814" t="s">
        <v>8</v>
      </c>
      <c r="B146" s="815" t="s">
        <v>19</v>
      </c>
      <c r="C146" s="816" t="s">
        <v>14</v>
      </c>
      <c r="D146" s="817" t="s">
        <v>86</v>
      </c>
      <c r="E146" s="818" t="s">
        <v>140</v>
      </c>
      <c r="F146" s="819"/>
      <c r="G146" s="22"/>
      <c r="H146" s="741"/>
      <c r="I146" s="167"/>
      <c r="J146" s="307"/>
      <c r="K146" s="820"/>
      <c r="L146" s="821"/>
      <c r="M146" s="115"/>
      <c r="N146" s="822"/>
    </row>
    <row r="147" spans="1:20" ht="25.5" x14ac:dyDescent="0.2">
      <c r="A147" s="44"/>
      <c r="B147" s="764"/>
      <c r="C147" s="108"/>
      <c r="D147" s="748" t="s">
        <v>63</v>
      </c>
      <c r="E147" s="96"/>
      <c r="F147" s="791" t="s">
        <v>21</v>
      </c>
      <c r="G147" s="29" t="s">
        <v>27</v>
      </c>
      <c r="H147" s="135">
        <f>2900/3.4528*1000</f>
        <v>839898</v>
      </c>
      <c r="I147" s="173">
        <f>2900/3.4528*1000</f>
        <v>839898</v>
      </c>
      <c r="J147" s="173">
        <f>2900/3.4528*1000</f>
        <v>839898</v>
      </c>
      <c r="K147" s="411" t="s">
        <v>127</v>
      </c>
      <c r="L147" s="412">
        <v>30</v>
      </c>
      <c r="M147" s="775">
        <v>25</v>
      </c>
      <c r="N147" s="770">
        <v>20</v>
      </c>
      <c r="O147" s="69"/>
      <c r="Q147" s="69"/>
      <c r="R147" s="69"/>
      <c r="T147" s="42"/>
    </row>
    <row r="148" spans="1:20" ht="38.25" x14ac:dyDescent="0.2">
      <c r="A148" s="44"/>
      <c r="B148" s="764"/>
      <c r="C148" s="803"/>
      <c r="D148" s="748" t="s">
        <v>64</v>
      </c>
      <c r="E148" s="813"/>
      <c r="F148" s="103"/>
      <c r="G148" s="34" t="s">
        <v>195</v>
      </c>
      <c r="H148" s="413">
        <v>269965</v>
      </c>
      <c r="I148" s="354"/>
      <c r="J148" s="354"/>
      <c r="K148" s="658" t="s">
        <v>69</v>
      </c>
      <c r="L148" s="127">
        <v>40</v>
      </c>
      <c r="M148" s="655">
        <v>40</v>
      </c>
      <c r="N148" s="656">
        <v>39</v>
      </c>
      <c r="T148" s="42"/>
    </row>
    <row r="149" spans="1:20" ht="51" x14ac:dyDescent="0.2">
      <c r="A149" s="44"/>
      <c r="B149" s="764"/>
      <c r="C149" s="803"/>
      <c r="D149" s="748" t="s">
        <v>65</v>
      </c>
      <c r="E149" s="96"/>
      <c r="F149" s="103"/>
      <c r="G149" s="20"/>
      <c r="H149" s="119"/>
      <c r="I149" s="201"/>
      <c r="J149" s="201"/>
      <c r="K149" s="90" t="s">
        <v>104</v>
      </c>
      <c r="L149" s="409">
        <v>100</v>
      </c>
      <c r="M149" s="774">
        <v>110</v>
      </c>
      <c r="N149" s="769">
        <v>115</v>
      </c>
    </row>
    <row r="150" spans="1:20" ht="38.25" x14ac:dyDescent="0.2">
      <c r="A150" s="44"/>
      <c r="B150" s="764"/>
      <c r="C150" s="803"/>
      <c r="D150" s="748" t="s">
        <v>66</v>
      </c>
      <c r="E150" s="68"/>
      <c r="F150" s="103"/>
      <c r="G150" s="20"/>
      <c r="H150" s="119"/>
      <c r="I150" s="201"/>
      <c r="J150" s="201"/>
      <c r="K150" s="90" t="s">
        <v>105</v>
      </c>
      <c r="L150" s="409">
        <v>60</v>
      </c>
      <c r="M150" s="774">
        <v>50</v>
      </c>
      <c r="N150" s="769">
        <v>40</v>
      </c>
      <c r="R150" s="42"/>
    </row>
    <row r="151" spans="1:20" ht="25.5" x14ac:dyDescent="0.2">
      <c r="A151" s="44"/>
      <c r="B151" s="764"/>
      <c r="C151" s="1088"/>
      <c r="D151" s="748" t="s">
        <v>67</v>
      </c>
      <c r="E151" s="68"/>
      <c r="F151" s="103"/>
      <c r="G151" s="20"/>
      <c r="H151" s="119"/>
      <c r="I151" s="201"/>
      <c r="J151" s="201"/>
      <c r="K151" s="90" t="s">
        <v>94</v>
      </c>
      <c r="L151" s="409">
        <v>84</v>
      </c>
      <c r="M151" s="774">
        <v>85</v>
      </c>
      <c r="N151" s="769">
        <v>86</v>
      </c>
    </row>
    <row r="152" spans="1:20" ht="40.5" customHeight="1" x14ac:dyDescent="0.2">
      <c r="A152" s="44"/>
      <c r="B152" s="764"/>
      <c r="C152" s="1088"/>
      <c r="D152" s="804" t="s">
        <v>204</v>
      </c>
      <c r="E152" s="68"/>
      <c r="F152" s="652"/>
      <c r="G152" s="29"/>
      <c r="H152" s="135"/>
      <c r="I152" s="173"/>
      <c r="J152" s="173"/>
      <c r="K152" s="411"/>
      <c r="L152" s="412"/>
      <c r="M152" s="744"/>
      <c r="N152" s="745"/>
    </row>
    <row r="153" spans="1:20" x14ac:dyDescent="0.2">
      <c r="A153" s="44"/>
      <c r="B153" s="764"/>
      <c r="C153" s="1088"/>
      <c r="D153" s="879" t="s">
        <v>68</v>
      </c>
      <c r="E153" s="68"/>
      <c r="F153" s="1029" t="s">
        <v>21</v>
      </c>
      <c r="G153" s="34" t="s">
        <v>16</v>
      </c>
      <c r="H153" s="413">
        <f>19/3.4528*1000</f>
        <v>5503</v>
      </c>
      <c r="I153" s="414">
        <f>19/3.4528*1000</f>
        <v>5503</v>
      </c>
      <c r="J153" s="414">
        <f>193.4528*1000</f>
        <v>193453</v>
      </c>
      <c r="K153" s="1031" t="s">
        <v>101</v>
      </c>
      <c r="L153" s="127">
        <v>12</v>
      </c>
      <c r="M153" s="655">
        <v>12</v>
      </c>
      <c r="N153" s="656">
        <v>12</v>
      </c>
    </row>
    <row r="154" spans="1:20" x14ac:dyDescent="0.2">
      <c r="A154" s="71"/>
      <c r="B154" s="764"/>
      <c r="C154" s="1088"/>
      <c r="D154" s="880"/>
      <c r="E154" s="68"/>
      <c r="F154" s="997"/>
      <c r="G154" s="20"/>
      <c r="H154" s="119"/>
      <c r="I154" s="205"/>
      <c r="J154" s="205"/>
      <c r="K154" s="1032"/>
      <c r="L154" s="415"/>
      <c r="M154" s="222"/>
      <c r="N154" s="223"/>
    </row>
    <row r="155" spans="1:20" x14ac:dyDescent="0.2">
      <c r="A155" s="416"/>
      <c r="B155" s="216"/>
      <c r="C155" s="1089"/>
      <c r="D155" s="1090"/>
      <c r="E155" s="417"/>
      <c r="F155" s="1030"/>
      <c r="G155" s="418" t="s">
        <v>13</v>
      </c>
      <c r="H155" s="419">
        <f>SUM(H147:H154)</f>
        <v>1115366</v>
      </c>
      <c r="I155" s="420">
        <f>SUM(I147:I154)</f>
        <v>845401</v>
      </c>
      <c r="J155" s="421">
        <f>SUM(J147:J154)</f>
        <v>1033351</v>
      </c>
      <c r="K155" s="1033"/>
      <c r="L155" s="422"/>
      <c r="M155" s="423"/>
      <c r="N155" s="424"/>
      <c r="P155" s="545"/>
    </row>
    <row r="156" spans="1:20" ht="40.5" customHeight="1" x14ac:dyDescent="0.2">
      <c r="A156" s="44" t="s">
        <v>8</v>
      </c>
      <c r="B156" s="764" t="s">
        <v>19</v>
      </c>
      <c r="C156" s="1053" t="s">
        <v>17</v>
      </c>
      <c r="D156" s="572" t="s">
        <v>70</v>
      </c>
      <c r="E156" s="96"/>
      <c r="F156" s="777"/>
      <c r="G156" s="29"/>
      <c r="H156" s="135"/>
      <c r="I156" s="173"/>
      <c r="J156" s="173"/>
      <c r="K156" s="411"/>
      <c r="L156" s="412"/>
      <c r="M156" s="775"/>
      <c r="N156" s="770"/>
    </row>
    <row r="157" spans="1:20" ht="17.25" customHeight="1" x14ac:dyDescent="0.2">
      <c r="A157" s="71"/>
      <c r="B157" s="764"/>
      <c r="C157" s="1053"/>
      <c r="D157" s="893" t="s">
        <v>71</v>
      </c>
      <c r="E157" s="96"/>
      <c r="F157" s="74" t="s">
        <v>48</v>
      </c>
      <c r="G157" s="34" t="s">
        <v>16</v>
      </c>
      <c r="H157" s="413">
        <f>619/3.4528*1000</f>
        <v>179275</v>
      </c>
      <c r="I157" s="205"/>
      <c r="J157" s="205"/>
      <c r="K157" s="83"/>
      <c r="L157" s="425"/>
      <c r="M157" s="426"/>
      <c r="N157" s="427"/>
    </row>
    <row r="158" spans="1:20" ht="17.25" customHeight="1" x14ac:dyDescent="0.2">
      <c r="A158" s="71"/>
      <c r="B158" s="764"/>
      <c r="C158" s="1053"/>
      <c r="D158" s="893"/>
      <c r="E158" s="96"/>
      <c r="F158" s="777"/>
      <c r="G158" s="34" t="s">
        <v>12</v>
      </c>
      <c r="H158" s="413">
        <v>405468</v>
      </c>
      <c r="I158" s="593"/>
      <c r="J158" s="593"/>
      <c r="K158" s="128" t="s">
        <v>198</v>
      </c>
      <c r="L158" s="594">
        <v>8</v>
      </c>
      <c r="M158" s="595"/>
      <c r="N158" s="596"/>
    </row>
    <row r="159" spans="1:20" ht="14.25" customHeight="1" thickBot="1" x14ac:dyDescent="0.25">
      <c r="A159" s="77"/>
      <c r="B159" s="752"/>
      <c r="C159" s="1054"/>
      <c r="D159" s="890"/>
      <c r="E159" s="97"/>
      <c r="F159" s="72"/>
      <c r="G159" s="78" t="s">
        <v>13</v>
      </c>
      <c r="H159" s="131">
        <f>SUM(H157:H158)</f>
        <v>584743</v>
      </c>
      <c r="I159" s="142"/>
      <c r="J159" s="142"/>
      <c r="K159" s="102"/>
      <c r="L159" s="428"/>
      <c r="M159" s="429"/>
      <c r="N159" s="430"/>
    </row>
    <row r="160" spans="1:20" s="11" customFormat="1" ht="13.5" thickBot="1" x14ac:dyDescent="0.3">
      <c r="A160" s="14" t="s">
        <v>8</v>
      </c>
      <c r="B160" s="15" t="s">
        <v>19</v>
      </c>
      <c r="C160" s="1055" t="s">
        <v>25</v>
      </c>
      <c r="D160" s="1055"/>
      <c r="E160" s="1055"/>
      <c r="F160" s="1055"/>
      <c r="G160" s="1055"/>
      <c r="H160" s="162">
        <f>H159+H155+H145</f>
        <v>1958259</v>
      </c>
      <c r="I160" s="431">
        <f>I159+I155+I145</f>
        <v>2423859</v>
      </c>
      <c r="J160" s="431">
        <f t="shared" ref="J160" si="8">J159+J155+J145</f>
        <v>3401053</v>
      </c>
      <c r="K160" s="907"/>
      <c r="L160" s="908"/>
      <c r="M160" s="908"/>
      <c r="N160" s="909"/>
      <c r="P160" s="543"/>
    </row>
    <row r="161" spans="1:16" ht="14.25" customHeight="1" thickBot="1" x14ac:dyDescent="0.25">
      <c r="A161" s="750" t="s">
        <v>8</v>
      </c>
      <c r="B161" s="48"/>
      <c r="C161" s="1041" t="s">
        <v>39</v>
      </c>
      <c r="D161" s="1041"/>
      <c r="E161" s="1041"/>
      <c r="F161" s="1041"/>
      <c r="G161" s="1041"/>
      <c r="H161" s="432">
        <f>H160+H131+H99+H32</f>
        <v>30829516</v>
      </c>
      <c r="I161" s="433">
        <f>I160+I131+I99+I32</f>
        <v>31156593</v>
      </c>
      <c r="J161" s="433">
        <f>J160+J131+J99+J32</f>
        <v>31820275</v>
      </c>
      <c r="K161" s="1042"/>
      <c r="L161" s="1043"/>
      <c r="M161" s="1043"/>
      <c r="N161" s="1044"/>
    </row>
    <row r="162" spans="1:16" s="11" customFormat="1" ht="13.5" customHeight="1" thickBot="1" x14ac:dyDescent="0.3">
      <c r="A162" s="49" t="s">
        <v>40</v>
      </c>
      <c r="B162" s="1045" t="s">
        <v>41</v>
      </c>
      <c r="C162" s="1046"/>
      <c r="D162" s="1046"/>
      <c r="E162" s="1046"/>
      <c r="F162" s="1046"/>
      <c r="G162" s="1046"/>
      <c r="H162" s="434">
        <f>H161</f>
        <v>30829516</v>
      </c>
      <c r="I162" s="435">
        <f t="shared" ref="I162:J162" si="9">I161</f>
        <v>31156593</v>
      </c>
      <c r="J162" s="435">
        <f t="shared" si="9"/>
        <v>31820275</v>
      </c>
      <c r="K162" s="1047"/>
      <c r="L162" s="1048"/>
      <c r="M162" s="1048"/>
      <c r="N162" s="1049"/>
      <c r="O162" s="5"/>
      <c r="P162" s="543"/>
    </row>
    <row r="163" spans="1:16" s="42" customFormat="1" ht="25.5" customHeight="1" thickBot="1" x14ac:dyDescent="0.25">
      <c r="B163" s="796"/>
      <c r="C163" s="50"/>
      <c r="D163" s="1039" t="s">
        <v>42</v>
      </c>
      <c r="E163" s="1039"/>
      <c r="F163" s="1039"/>
      <c r="G163" s="1039"/>
      <c r="H163" s="1039"/>
      <c r="I163" s="1039"/>
      <c r="J163" s="1039"/>
      <c r="K163" s="50"/>
      <c r="L163" s="50"/>
      <c r="M163" s="50"/>
      <c r="N163" s="50"/>
      <c r="P163" s="545"/>
    </row>
    <row r="164" spans="1:16" s="11" customFormat="1" ht="42.75" customHeight="1" thickBot="1" x14ac:dyDescent="0.3">
      <c r="A164" s="1050" t="s">
        <v>43</v>
      </c>
      <c r="B164" s="1051"/>
      <c r="C164" s="1051"/>
      <c r="D164" s="1051"/>
      <c r="E164" s="1051"/>
      <c r="F164" s="1051"/>
      <c r="G164" s="1052"/>
      <c r="H164" s="436" t="s">
        <v>155</v>
      </c>
      <c r="I164" s="437" t="s">
        <v>156</v>
      </c>
      <c r="J164" s="437" t="s">
        <v>159</v>
      </c>
      <c r="K164" s="797"/>
      <c r="L164" s="1040"/>
      <c r="M164" s="1040"/>
      <c r="N164" s="1040"/>
      <c r="O164" s="659"/>
      <c r="P164" s="543"/>
    </row>
    <row r="165" spans="1:16" s="11" customFormat="1" ht="13.5" customHeight="1" thickBot="1" x14ac:dyDescent="0.3">
      <c r="A165" s="1012" t="s">
        <v>44</v>
      </c>
      <c r="B165" s="1013"/>
      <c r="C165" s="1013"/>
      <c r="D165" s="1013"/>
      <c r="E165" s="1013"/>
      <c r="F165" s="1013"/>
      <c r="G165" s="1014"/>
      <c r="H165" s="438">
        <f>SUM(H166:H172)</f>
        <v>16100531</v>
      </c>
      <c r="I165" s="439">
        <f>SUM(I166:I169)</f>
        <v>16015866</v>
      </c>
      <c r="J165" s="439">
        <f>SUM(J166:J169)</f>
        <v>15828194</v>
      </c>
      <c r="K165" s="788"/>
      <c r="L165" s="974"/>
      <c r="M165" s="974"/>
      <c r="N165" s="974"/>
      <c r="O165" s="659"/>
      <c r="P165" s="543"/>
    </row>
    <row r="166" spans="1:16" s="11" customFormat="1" ht="12.75" customHeight="1" x14ac:dyDescent="0.25">
      <c r="A166" s="1056" t="s">
        <v>87</v>
      </c>
      <c r="B166" s="1057"/>
      <c r="C166" s="1057"/>
      <c r="D166" s="1057"/>
      <c r="E166" s="1057"/>
      <c r="F166" s="1057"/>
      <c r="G166" s="1058"/>
      <c r="H166" s="440">
        <f>SUMIF(G12:G157,"sb",H12:H157)</f>
        <v>9847290</v>
      </c>
      <c r="I166" s="441">
        <f>SUMIF(G12:G157,"sb",I12:I157)</f>
        <v>10536955</v>
      </c>
      <c r="J166" s="441">
        <f>SUMIF(G12:G157,"sb",J12:J157)</f>
        <v>10346386</v>
      </c>
      <c r="K166" s="789"/>
      <c r="L166" s="975"/>
      <c r="M166" s="975"/>
      <c r="N166" s="975"/>
      <c r="O166" s="659"/>
      <c r="P166" s="543"/>
    </row>
    <row r="167" spans="1:16" s="11" customFormat="1" ht="15.75" customHeight="1" x14ac:dyDescent="0.25">
      <c r="A167" s="1018" t="s">
        <v>88</v>
      </c>
      <c r="B167" s="1019"/>
      <c r="C167" s="1019"/>
      <c r="D167" s="1019"/>
      <c r="E167" s="1019"/>
      <c r="F167" s="1019"/>
      <c r="G167" s="1020"/>
      <c r="H167" s="442">
        <f>SUMIF(G12:G157,"sb(sp)",H12:H157)</f>
        <v>1384091</v>
      </c>
      <c r="I167" s="443">
        <f>SUMIF(G12:G155,"sb(sp)",I12:I155)</f>
        <v>1367064</v>
      </c>
      <c r="J167" s="443">
        <f>SUMIF(G12:G157,"sb(sp)",J12:J157)</f>
        <v>1369961</v>
      </c>
      <c r="K167" s="789"/>
      <c r="L167" s="975"/>
      <c r="M167" s="975"/>
      <c r="N167" s="975"/>
      <c r="O167" s="659"/>
      <c r="P167" s="543"/>
    </row>
    <row r="168" spans="1:16" s="11" customFormat="1" ht="15" customHeight="1" x14ac:dyDescent="0.25">
      <c r="A168" s="1018" t="s">
        <v>89</v>
      </c>
      <c r="B168" s="1019"/>
      <c r="C168" s="1019"/>
      <c r="D168" s="1019"/>
      <c r="E168" s="1019"/>
      <c r="F168" s="1019"/>
      <c r="G168" s="1020"/>
      <c r="H168" s="442">
        <f>SUMIF(G12:G158,"sb(vb)",H12:H158)</f>
        <v>4358184</v>
      </c>
      <c r="I168" s="443">
        <f>SUMIF(G12:G157,G12,I12:I157)</f>
        <v>4111847</v>
      </c>
      <c r="J168" s="443">
        <f>SUMIF(G12:G157,G12,J12:J157)</f>
        <v>4111847</v>
      </c>
      <c r="K168" s="789"/>
      <c r="L168" s="975"/>
      <c r="M168" s="975"/>
      <c r="N168" s="975"/>
      <c r="O168" s="659"/>
      <c r="P168" s="543"/>
    </row>
    <row r="169" spans="1:16" s="11" customFormat="1" ht="12.75" customHeight="1" x14ac:dyDescent="0.25">
      <c r="A169" s="1006" t="s">
        <v>90</v>
      </c>
      <c r="B169" s="1007"/>
      <c r="C169" s="1007"/>
      <c r="D169" s="1007"/>
      <c r="E169" s="1007"/>
      <c r="F169" s="1007"/>
      <c r="G169" s="1008"/>
      <c r="H169" s="768">
        <f>SUMIF(G12:G157,"sb(p)",H12:H157)</f>
        <v>39794</v>
      </c>
      <c r="I169" s="444"/>
      <c r="J169" s="444"/>
      <c r="K169" s="789"/>
      <c r="L169" s="975"/>
      <c r="M169" s="975"/>
      <c r="N169" s="975"/>
      <c r="O169" s="659"/>
      <c r="P169" s="543"/>
    </row>
    <row r="170" spans="1:16" s="11" customFormat="1" ht="12.75" customHeight="1" x14ac:dyDescent="0.25">
      <c r="A170" s="1006" t="s">
        <v>192</v>
      </c>
      <c r="B170" s="1007"/>
      <c r="C170" s="1007"/>
      <c r="D170" s="1007"/>
      <c r="E170" s="1007"/>
      <c r="F170" s="1007"/>
      <c r="G170" s="1008"/>
      <c r="H170" s="518">
        <f>SUMIF(G12:G157,"sb(l)",H12:H157)</f>
        <v>5979</v>
      </c>
      <c r="I170" s="546"/>
      <c r="J170" s="546"/>
      <c r="K170" s="789"/>
      <c r="L170" s="789"/>
      <c r="M170" s="789"/>
      <c r="N170" s="789"/>
      <c r="O170" s="659"/>
      <c r="P170" s="543"/>
    </row>
    <row r="171" spans="1:16" s="11" customFormat="1" ht="13.5" customHeight="1" x14ac:dyDescent="0.25">
      <c r="A171" s="1009" t="s">
        <v>190</v>
      </c>
      <c r="B171" s="1010"/>
      <c r="C171" s="1010"/>
      <c r="D171" s="1010"/>
      <c r="E171" s="1010"/>
      <c r="F171" s="1010"/>
      <c r="G171" s="1011"/>
      <c r="H171" s="184">
        <f>SUMIF(G12:G157,"sb(pbl)",H12:H157)</f>
        <v>142302</v>
      </c>
      <c r="I171" s="573"/>
      <c r="J171" s="573"/>
      <c r="K171" s="789"/>
      <c r="L171" s="789"/>
      <c r="M171" s="789"/>
      <c r="N171" s="789"/>
      <c r="O171" s="659"/>
      <c r="P171" s="543"/>
    </row>
    <row r="172" spans="1:16" s="11" customFormat="1" ht="13.5" customHeight="1" thickBot="1" x14ac:dyDescent="0.3">
      <c r="A172" s="1024" t="s">
        <v>197</v>
      </c>
      <c r="B172" s="1025"/>
      <c r="C172" s="1025"/>
      <c r="D172" s="1025"/>
      <c r="E172" s="1025"/>
      <c r="F172" s="1025"/>
      <c r="G172" s="1026"/>
      <c r="H172" s="445">
        <f>SUMIF(G12:G157,"SB(SPL)",H12:H157)</f>
        <v>322891</v>
      </c>
      <c r="I172" s="582"/>
      <c r="J172" s="582"/>
      <c r="K172" s="789"/>
      <c r="L172" s="789"/>
      <c r="M172" s="789"/>
      <c r="N172" s="789"/>
      <c r="O172" s="659"/>
      <c r="P172" s="543"/>
    </row>
    <row r="173" spans="1:16" s="11" customFormat="1" ht="13.5" customHeight="1" thickBot="1" x14ac:dyDescent="0.3">
      <c r="A173" s="1012" t="s">
        <v>45</v>
      </c>
      <c r="B173" s="1013"/>
      <c r="C173" s="1013"/>
      <c r="D173" s="1013"/>
      <c r="E173" s="1013"/>
      <c r="F173" s="1013"/>
      <c r="G173" s="1014"/>
      <c r="H173" s="438">
        <f>SUM(H174:H176)</f>
        <v>14728985</v>
      </c>
      <c r="I173" s="439">
        <f>SUM(I174:I176)</f>
        <v>15140727</v>
      </c>
      <c r="J173" s="439">
        <f>J174+J175+J176</f>
        <v>15992081</v>
      </c>
      <c r="K173" s="788"/>
      <c r="L173" s="974"/>
      <c r="M173" s="974"/>
      <c r="N173" s="974"/>
      <c r="O173" s="659"/>
      <c r="P173" s="543"/>
    </row>
    <row r="174" spans="1:16" s="11" customFormat="1" ht="12.75" customHeight="1" x14ac:dyDescent="0.25">
      <c r="A174" s="1015" t="s">
        <v>91</v>
      </c>
      <c r="B174" s="1016"/>
      <c r="C174" s="1016"/>
      <c r="D174" s="1016"/>
      <c r="E174" s="1016"/>
      <c r="F174" s="1016"/>
      <c r="G174" s="1017"/>
      <c r="H174" s="446">
        <f>SUMIF(G12:G157,"es",H12:H157)</f>
        <v>694062</v>
      </c>
      <c r="I174" s="447">
        <f>SUMIF(G12:G155,"es",I12:I155)</f>
        <v>1354727</v>
      </c>
      <c r="J174" s="447">
        <f>SUMIF(G12:G155,"es",J12:J155)</f>
        <v>2018131</v>
      </c>
      <c r="K174" s="789"/>
      <c r="L174" s="975"/>
      <c r="M174" s="975"/>
      <c r="N174" s="975"/>
      <c r="O174" s="659"/>
      <c r="P174" s="543"/>
    </row>
    <row r="175" spans="1:16" s="11" customFormat="1" ht="12.75" customHeight="1" x14ac:dyDescent="0.25">
      <c r="A175" s="1018" t="s">
        <v>92</v>
      </c>
      <c r="B175" s="1019"/>
      <c r="C175" s="1019"/>
      <c r="D175" s="1019"/>
      <c r="E175" s="1019"/>
      <c r="F175" s="1019"/>
      <c r="G175" s="1020"/>
      <c r="H175" s="442">
        <f>SUMIF(G12:G157,"lrvb",H12:H157)</f>
        <v>14009407</v>
      </c>
      <c r="I175" s="443">
        <f>SUMIF(G12:G155,"lrvb",I12:I155)</f>
        <v>13784842</v>
      </c>
      <c r="J175" s="443">
        <f>SUMIF(G12:G155,"lrvb",J12:J155)</f>
        <v>13972792</v>
      </c>
      <c r="K175" s="660"/>
      <c r="L175" s="975"/>
      <c r="M175" s="975"/>
      <c r="N175" s="975"/>
      <c r="O175" s="659"/>
      <c r="P175" s="543"/>
    </row>
    <row r="176" spans="1:16" s="11" customFormat="1" ht="13.5" customHeight="1" thickBot="1" x14ac:dyDescent="0.3">
      <c r="A176" s="1021" t="s">
        <v>95</v>
      </c>
      <c r="B176" s="1022"/>
      <c r="C176" s="1022"/>
      <c r="D176" s="1022"/>
      <c r="E176" s="1022"/>
      <c r="F176" s="1022"/>
      <c r="G176" s="1023"/>
      <c r="H176" s="440">
        <f>SUMIF(G12:G157,"kt",H12:H157)</f>
        <v>25516</v>
      </c>
      <c r="I176" s="447">
        <f>SUMIF(G12:G155,"kt",I12:I155)</f>
        <v>1158</v>
      </c>
      <c r="J176" s="447">
        <f>SUMIF(G12:G155,"kt",J12:J155)</f>
        <v>1158</v>
      </c>
      <c r="K176" s="660"/>
      <c r="L176" s="975"/>
      <c r="M176" s="975"/>
      <c r="N176" s="975"/>
      <c r="O176" s="659"/>
      <c r="P176" s="543"/>
    </row>
    <row r="177" spans="1:16" s="11" customFormat="1" ht="13.5" customHeight="1" thickBot="1" x14ac:dyDescent="0.3">
      <c r="A177" s="1034" t="s">
        <v>46</v>
      </c>
      <c r="B177" s="1035"/>
      <c r="C177" s="1035"/>
      <c r="D177" s="1035"/>
      <c r="E177" s="1035"/>
      <c r="F177" s="1035"/>
      <c r="G177" s="1036"/>
      <c r="H177" s="448">
        <f>H173+H165</f>
        <v>30829516</v>
      </c>
      <c r="I177" s="449">
        <f>I165+I173</f>
        <v>31156593</v>
      </c>
      <c r="J177" s="449">
        <f>J165+J173</f>
        <v>31820275</v>
      </c>
      <c r="K177" s="661"/>
      <c r="L177" s="974"/>
      <c r="M177" s="974"/>
      <c r="N177" s="974"/>
      <c r="O177" s="659"/>
      <c r="P177" s="543"/>
    </row>
    <row r="178" spans="1:16" x14ac:dyDescent="0.2">
      <c r="B178" s="450"/>
      <c r="C178" s="51"/>
      <c r="D178" s="51"/>
      <c r="E178" s="51"/>
      <c r="K178" s="662"/>
      <c r="L178" s="663"/>
      <c r="M178" s="663"/>
      <c r="N178" s="664"/>
      <c r="O178" s="665"/>
    </row>
    <row r="179" spans="1:16" ht="15" x14ac:dyDescent="0.25">
      <c r="H179" s="746"/>
      <c r="K179" s="662"/>
      <c r="L179" s="663"/>
      <c r="M179" s="663"/>
      <c r="N179" s="664"/>
      <c r="O179" s="665"/>
    </row>
    <row r="183" spans="1:16" x14ac:dyDescent="0.2">
      <c r="B183" s="10"/>
      <c r="E183" s="10"/>
      <c r="F183" s="52"/>
      <c r="K183" s="10"/>
      <c r="L183" s="10"/>
      <c r="M183" s="10"/>
      <c r="N183" s="10"/>
    </row>
    <row r="198" spans="2:14" x14ac:dyDescent="0.2">
      <c r="B198" s="10"/>
      <c r="E198" s="10"/>
      <c r="F198" s="10"/>
      <c r="G198" s="10"/>
      <c r="H198" s="452"/>
      <c r="K198" s="10"/>
      <c r="L198" s="10"/>
      <c r="M198" s="10"/>
      <c r="N198" s="10"/>
    </row>
    <row r="199" spans="2:14" x14ac:dyDescent="0.2">
      <c r="B199" s="10"/>
      <c r="E199" s="10"/>
      <c r="F199" s="10"/>
      <c r="G199" s="10"/>
      <c r="H199" s="452"/>
      <c r="K199" s="10"/>
      <c r="L199" s="10"/>
      <c r="M199" s="10"/>
      <c r="N199" s="10"/>
    </row>
    <row r="200" spans="2:14" x14ac:dyDescent="0.2">
      <c r="B200" s="10"/>
      <c r="E200" s="10"/>
      <c r="F200" s="10"/>
      <c r="G200" s="10"/>
      <c r="H200" s="452"/>
      <c r="K200" s="10"/>
      <c r="L200" s="10"/>
      <c r="M200" s="10"/>
      <c r="N200" s="10"/>
    </row>
    <row r="201" spans="2:14" x14ac:dyDescent="0.2">
      <c r="B201" s="10"/>
      <c r="E201" s="10"/>
      <c r="F201" s="10"/>
      <c r="G201" s="10"/>
      <c r="H201" s="452"/>
      <c r="K201" s="10"/>
      <c r="L201" s="10"/>
      <c r="M201" s="10"/>
      <c r="N201" s="10"/>
    </row>
    <row r="202" spans="2:14" x14ac:dyDescent="0.2">
      <c r="B202" s="10"/>
      <c r="E202" s="10"/>
      <c r="F202" s="10"/>
      <c r="G202" s="10"/>
      <c r="H202" s="452"/>
      <c r="K202" s="10"/>
      <c r="L202" s="10"/>
      <c r="M202" s="10"/>
      <c r="N202" s="10"/>
    </row>
    <row r="203" spans="2:14" x14ac:dyDescent="0.2">
      <c r="B203" s="10"/>
      <c r="E203" s="10"/>
      <c r="F203" s="10"/>
      <c r="G203" s="10"/>
      <c r="H203" s="452"/>
      <c r="K203" s="10"/>
      <c r="L203" s="10"/>
      <c r="M203" s="10"/>
      <c r="N203" s="10"/>
    </row>
    <row r="204" spans="2:14" x14ac:dyDescent="0.2">
      <c r="B204" s="10"/>
      <c r="E204" s="10"/>
      <c r="F204" s="10"/>
      <c r="G204" s="10"/>
      <c r="H204" s="452"/>
      <c r="K204" s="10"/>
      <c r="L204" s="10"/>
      <c r="M204" s="10"/>
      <c r="N204" s="10"/>
    </row>
    <row r="205" spans="2:14" x14ac:dyDescent="0.2">
      <c r="B205" s="10"/>
      <c r="E205" s="10"/>
      <c r="F205" s="10"/>
      <c r="G205" s="10"/>
      <c r="H205" s="452"/>
      <c r="K205" s="10"/>
      <c r="L205" s="10"/>
      <c r="M205" s="10"/>
      <c r="N205" s="10"/>
    </row>
    <row r="206" spans="2:14" x14ac:dyDescent="0.2">
      <c r="B206" s="10"/>
      <c r="E206" s="10"/>
      <c r="F206" s="10"/>
      <c r="G206" s="10"/>
      <c r="H206" s="452"/>
      <c r="K206" s="10"/>
      <c r="L206" s="10"/>
      <c r="M206" s="10"/>
      <c r="N206" s="10"/>
    </row>
    <row r="207" spans="2:14" x14ac:dyDescent="0.2">
      <c r="B207" s="10"/>
      <c r="E207" s="10"/>
      <c r="F207" s="10"/>
      <c r="G207" s="10"/>
      <c r="H207" s="452"/>
      <c r="K207" s="10"/>
      <c r="L207" s="10"/>
      <c r="M207" s="10"/>
      <c r="N207" s="10"/>
    </row>
    <row r="208" spans="2:14" x14ac:dyDescent="0.2">
      <c r="B208" s="10"/>
      <c r="E208" s="10"/>
      <c r="F208" s="10"/>
      <c r="G208" s="10"/>
      <c r="H208" s="452"/>
      <c r="K208" s="10"/>
      <c r="L208" s="10"/>
      <c r="M208" s="10"/>
      <c r="N208" s="10"/>
    </row>
    <row r="209" spans="2:14" x14ac:dyDescent="0.2">
      <c r="B209" s="10"/>
      <c r="E209" s="10"/>
      <c r="F209" s="10"/>
      <c r="G209" s="10"/>
      <c r="H209" s="452"/>
      <c r="K209" s="10"/>
      <c r="L209" s="10"/>
      <c r="M209" s="10"/>
      <c r="N209" s="10"/>
    </row>
    <row r="210" spans="2:14" x14ac:dyDescent="0.2">
      <c r="B210" s="10"/>
      <c r="E210" s="10"/>
      <c r="F210" s="10"/>
      <c r="G210" s="10"/>
      <c r="H210" s="452"/>
      <c r="K210" s="10"/>
      <c r="L210" s="10"/>
      <c r="M210" s="10"/>
      <c r="N210" s="10"/>
    </row>
    <row r="211" spans="2:14" x14ac:dyDescent="0.2">
      <c r="B211" s="10"/>
      <c r="E211" s="10"/>
      <c r="F211" s="10"/>
      <c r="G211" s="10"/>
      <c r="H211" s="452"/>
      <c r="K211" s="10"/>
      <c r="L211" s="10"/>
      <c r="M211" s="10"/>
      <c r="N211" s="10"/>
    </row>
    <row r="212" spans="2:14" x14ac:dyDescent="0.2">
      <c r="B212" s="10"/>
      <c r="E212" s="10"/>
      <c r="F212" s="10"/>
      <c r="G212" s="10"/>
      <c r="H212" s="452"/>
      <c r="K212" s="10"/>
      <c r="L212" s="10"/>
      <c r="M212" s="10"/>
      <c r="N212" s="10"/>
    </row>
    <row r="213" spans="2:14" x14ac:dyDescent="0.2">
      <c r="B213" s="10"/>
      <c r="E213" s="10"/>
      <c r="F213" s="10"/>
      <c r="G213" s="10"/>
      <c r="H213" s="452"/>
      <c r="K213" s="10"/>
      <c r="L213" s="10"/>
      <c r="M213" s="10"/>
      <c r="N213" s="10"/>
    </row>
    <row r="214" spans="2:14" x14ac:dyDescent="0.2">
      <c r="B214" s="10"/>
      <c r="E214" s="10"/>
      <c r="F214" s="10"/>
      <c r="G214" s="10"/>
      <c r="H214" s="452"/>
      <c r="K214" s="10"/>
      <c r="L214" s="10"/>
      <c r="M214" s="10"/>
      <c r="N214" s="10"/>
    </row>
    <row r="215" spans="2:14" x14ac:dyDescent="0.2">
      <c r="B215" s="10"/>
      <c r="E215" s="10"/>
      <c r="F215" s="10"/>
      <c r="G215" s="10"/>
      <c r="H215" s="452"/>
      <c r="K215" s="10"/>
      <c r="L215" s="10"/>
      <c r="M215" s="10"/>
      <c r="N215" s="10"/>
    </row>
    <row r="216" spans="2:14" x14ac:dyDescent="0.2">
      <c r="B216" s="10"/>
      <c r="E216" s="10"/>
      <c r="F216" s="10"/>
      <c r="G216" s="10"/>
      <c r="H216" s="452"/>
      <c r="K216" s="10"/>
      <c r="L216" s="10"/>
      <c r="M216" s="10"/>
      <c r="N216" s="10"/>
    </row>
    <row r="217" spans="2:14" x14ac:dyDescent="0.2">
      <c r="B217" s="10"/>
      <c r="E217" s="10"/>
      <c r="F217" s="10"/>
      <c r="G217" s="10"/>
      <c r="H217" s="452"/>
      <c r="K217" s="10"/>
      <c r="L217" s="10"/>
      <c r="M217" s="10"/>
      <c r="N217" s="10"/>
    </row>
    <row r="218" spans="2:14" x14ac:dyDescent="0.2">
      <c r="B218" s="10"/>
      <c r="E218" s="10"/>
      <c r="F218" s="10"/>
      <c r="G218" s="10"/>
      <c r="H218" s="452"/>
      <c r="K218" s="10"/>
      <c r="L218" s="10"/>
      <c r="M218" s="10"/>
      <c r="N218" s="10"/>
    </row>
    <row r="219" spans="2:14" x14ac:dyDescent="0.2">
      <c r="B219" s="10"/>
      <c r="E219" s="10"/>
      <c r="F219" s="10"/>
      <c r="G219" s="10"/>
      <c r="H219" s="452"/>
      <c r="K219" s="10"/>
      <c r="L219" s="10"/>
      <c r="M219" s="10"/>
      <c r="N219" s="10"/>
    </row>
    <row r="220" spans="2:14" x14ac:dyDescent="0.2">
      <c r="B220" s="10"/>
      <c r="E220" s="10"/>
      <c r="F220" s="10"/>
      <c r="G220" s="10"/>
      <c r="H220" s="452"/>
      <c r="K220" s="10"/>
      <c r="L220" s="10"/>
      <c r="M220" s="10"/>
      <c r="N220" s="10"/>
    </row>
    <row r="221" spans="2:14" x14ac:dyDescent="0.2">
      <c r="B221" s="10"/>
      <c r="E221" s="10"/>
      <c r="F221" s="10"/>
      <c r="G221" s="10"/>
      <c r="H221" s="452"/>
      <c r="K221" s="10"/>
      <c r="L221" s="10"/>
      <c r="M221" s="10"/>
      <c r="N221" s="10"/>
    </row>
    <row r="222" spans="2:14" x14ac:dyDescent="0.2">
      <c r="B222" s="10"/>
      <c r="E222" s="10"/>
      <c r="F222" s="10"/>
      <c r="G222" s="10"/>
      <c r="H222" s="452"/>
      <c r="K222" s="10"/>
      <c r="L222" s="10"/>
      <c r="M222" s="10"/>
      <c r="N222" s="10"/>
    </row>
    <row r="223" spans="2:14" x14ac:dyDescent="0.2">
      <c r="B223" s="10"/>
      <c r="E223" s="10"/>
      <c r="F223" s="10"/>
      <c r="G223" s="10"/>
      <c r="H223" s="452"/>
      <c r="K223" s="10"/>
      <c r="L223" s="10"/>
      <c r="M223" s="10"/>
      <c r="N223" s="10"/>
    </row>
    <row r="224" spans="2:14" x14ac:dyDescent="0.2">
      <c r="B224" s="10"/>
      <c r="E224" s="10"/>
      <c r="F224" s="10"/>
      <c r="G224" s="10"/>
      <c r="H224" s="452"/>
      <c r="K224" s="10"/>
      <c r="L224" s="10"/>
      <c r="M224" s="10"/>
      <c r="N224" s="10"/>
    </row>
    <row r="225" spans="2:14" x14ac:dyDescent="0.2">
      <c r="B225" s="10"/>
      <c r="E225" s="10"/>
      <c r="F225" s="10"/>
      <c r="G225" s="10"/>
      <c r="H225" s="452"/>
      <c r="K225" s="10"/>
      <c r="L225" s="10"/>
      <c r="M225" s="10"/>
      <c r="N225" s="10"/>
    </row>
    <row r="226" spans="2:14" x14ac:dyDescent="0.2">
      <c r="B226" s="10"/>
      <c r="E226" s="10"/>
      <c r="F226" s="10"/>
      <c r="G226" s="10"/>
      <c r="H226" s="452"/>
      <c r="K226" s="10"/>
      <c r="L226" s="10"/>
      <c r="M226" s="10"/>
      <c r="N226" s="10"/>
    </row>
    <row r="227" spans="2:14" x14ac:dyDescent="0.2">
      <c r="B227" s="10"/>
      <c r="E227" s="10"/>
      <c r="F227" s="10"/>
      <c r="G227" s="10"/>
      <c r="H227" s="452"/>
      <c r="K227" s="10"/>
      <c r="L227" s="10"/>
      <c r="M227" s="10"/>
      <c r="N227" s="10"/>
    </row>
    <row r="228" spans="2:14" x14ac:dyDescent="0.2">
      <c r="B228" s="10"/>
      <c r="E228" s="10"/>
      <c r="F228" s="10"/>
      <c r="G228" s="10"/>
      <c r="H228" s="452"/>
      <c r="K228" s="10"/>
      <c r="L228" s="10"/>
      <c r="M228" s="10"/>
      <c r="N228" s="10"/>
    </row>
    <row r="229" spans="2:14" x14ac:dyDescent="0.2">
      <c r="B229" s="10"/>
      <c r="E229" s="10"/>
      <c r="F229" s="10"/>
      <c r="G229" s="10"/>
      <c r="H229" s="452"/>
      <c r="K229" s="10"/>
      <c r="L229" s="10"/>
      <c r="M229" s="10"/>
      <c r="N229" s="10"/>
    </row>
    <row r="230" spans="2:14" x14ac:dyDescent="0.2">
      <c r="B230" s="10"/>
      <c r="E230" s="10"/>
      <c r="F230" s="10"/>
      <c r="G230" s="10"/>
      <c r="H230" s="452"/>
      <c r="K230" s="10"/>
      <c r="L230" s="10"/>
      <c r="M230" s="10"/>
      <c r="N230" s="10"/>
    </row>
    <row r="231" spans="2:14" x14ac:dyDescent="0.2">
      <c r="B231" s="10"/>
      <c r="E231" s="10"/>
      <c r="F231" s="10"/>
      <c r="G231" s="10"/>
      <c r="H231" s="452"/>
      <c r="K231" s="10"/>
      <c r="L231" s="10"/>
      <c r="M231" s="10"/>
      <c r="N231" s="10"/>
    </row>
    <row r="232" spans="2:14" x14ac:dyDescent="0.2">
      <c r="B232" s="10"/>
      <c r="E232" s="10"/>
      <c r="F232" s="10"/>
      <c r="G232" s="10"/>
      <c r="H232" s="452"/>
      <c r="K232" s="10"/>
      <c r="L232" s="10"/>
      <c r="M232" s="10"/>
      <c r="N232" s="10"/>
    </row>
    <row r="236" spans="2:14" x14ac:dyDescent="0.2">
      <c r="B236" s="10"/>
      <c r="E236" s="10"/>
      <c r="F236" s="10"/>
      <c r="G236" s="10"/>
      <c r="H236" s="452"/>
      <c r="K236" s="10"/>
      <c r="L236" s="10"/>
      <c r="M236" s="10"/>
      <c r="N236" s="10"/>
    </row>
  </sheetData>
  <mergeCells count="200">
    <mergeCell ref="C33:N33"/>
    <mergeCell ref="E130:G130"/>
    <mergeCell ref="D128:D130"/>
    <mergeCell ref="E128:E129"/>
    <mergeCell ref="K128:K130"/>
    <mergeCell ref="C131:G131"/>
    <mergeCell ref="D115:D118"/>
    <mergeCell ref="M115:M116"/>
    <mergeCell ref="D68:D70"/>
    <mergeCell ref="K68:K69"/>
    <mergeCell ref="D62:D63"/>
    <mergeCell ref="K63:K64"/>
    <mergeCell ref="K88:K89"/>
    <mergeCell ref="L94:L95"/>
    <mergeCell ref="M75:M77"/>
    <mergeCell ref="N75:N77"/>
    <mergeCell ref="K94:K95"/>
    <mergeCell ref="K97:K98"/>
    <mergeCell ref="L128:L130"/>
    <mergeCell ref="F128:F129"/>
    <mergeCell ref="L75:L77"/>
    <mergeCell ref="K119:K121"/>
    <mergeCell ref="K90:K92"/>
    <mergeCell ref="L177:N177"/>
    <mergeCell ref="L71:L74"/>
    <mergeCell ref="M71:M74"/>
    <mergeCell ref="N71:N74"/>
    <mergeCell ref="M94:M95"/>
    <mergeCell ref="N94:N95"/>
    <mergeCell ref="F86:F92"/>
    <mergeCell ref="K86:K87"/>
    <mergeCell ref="N115:N116"/>
    <mergeCell ref="E113:G113"/>
    <mergeCell ref="C99:G99"/>
    <mergeCell ref="K99:N99"/>
    <mergeCell ref="C100:N100"/>
    <mergeCell ref="D102:D105"/>
    <mergeCell ref="K102:K105"/>
    <mergeCell ref="D106:D109"/>
    <mergeCell ref="D110:D113"/>
    <mergeCell ref="K106:K109"/>
    <mergeCell ref="D93:D95"/>
    <mergeCell ref="K137:K138"/>
    <mergeCell ref="K141:K142"/>
    <mergeCell ref="C151:C155"/>
    <mergeCell ref="D153:D155"/>
    <mergeCell ref="K131:N131"/>
    <mergeCell ref="E145:G145"/>
    <mergeCell ref="D141:D145"/>
    <mergeCell ref="F153:F155"/>
    <mergeCell ref="K153:K155"/>
    <mergeCell ref="A177:G177"/>
    <mergeCell ref="K144:K145"/>
    <mergeCell ref="D163:J163"/>
    <mergeCell ref="L164:N164"/>
    <mergeCell ref="C161:G161"/>
    <mergeCell ref="K161:N161"/>
    <mergeCell ref="B162:G162"/>
    <mergeCell ref="K162:N162"/>
    <mergeCell ref="A164:G164"/>
    <mergeCell ref="C156:C159"/>
    <mergeCell ref="D157:D159"/>
    <mergeCell ref="C160:G160"/>
    <mergeCell ref="K160:N160"/>
    <mergeCell ref="L175:N175"/>
    <mergeCell ref="L176:N176"/>
    <mergeCell ref="A168:G168"/>
    <mergeCell ref="A167:G167"/>
    <mergeCell ref="A166:G166"/>
    <mergeCell ref="A165:G165"/>
    <mergeCell ref="A169:G169"/>
    <mergeCell ref="A170:G170"/>
    <mergeCell ref="A171:G171"/>
    <mergeCell ref="A173:G173"/>
    <mergeCell ref="A174:G174"/>
    <mergeCell ref="A175:G175"/>
    <mergeCell ref="A176:G176"/>
    <mergeCell ref="L167:N167"/>
    <mergeCell ref="L169:N169"/>
    <mergeCell ref="A172:G172"/>
    <mergeCell ref="L173:N173"/>
    <mergeCell ref="L174:N174"/>
    <mergeCell ref="L168:N168"/>
    <mergeCell ref="L165:N165"/>
    <mergeCell ref="L166:N166"/>
    <mergeCell ref="E138:E140"/>
    <mergeCell ref="D137:D140"/>
    <mergeCell ref="C132:N132"/>
    <mergeCell ref="K134:K136"/>
    <mergeCell ref="A83:A84"/>
    <mergeCell ref="B83:B84"/>
    <mergeCell ref="D83:D85"/>
    <mergeCell ref="K83:K84"/>
    <mergeCell ref="A86:A87"/>
    <mergeCell ref="B86:B87"/>
    <mergeCell ref="D86:D92"/>
    <mergeCell ref="E86:E92"/>
    <mergeCell ref="D96:D98"/>
    <mergeCell ref="E96:E98"/>
    <mergeCell ref="F96:F98"/>
    <mergeCell ref="M128:M130"/>
    <mergeCell ref="N128:N130"/>
    <mergeCell ref="D122:D124"/>
    <mergeCell ref="D126:D127"/>
    <mergeCell ref="D119:D121"/>
    <mergeCell ref="E93:E95"/>
    <mergeCell ref="F93:F95"/>
    <mergeCell ref="A79:A80"/>
    <mergeCell ref="B79:B80"/>
    <mergeCell ref="D79:D82"/>
    <mergeCell ref="K79:K80"/>
    <mergeCell ref="A75:A77"/>
    <mergeCell ref="B75:B77"/>
    <mergeCell ref="D75:D78"/>
    <mergeCell ref="K75:K77"/>
    <mergeCell ref="A71:A74"/>
    <mergeCell ref="B71:B74"/>
    <mergeCell ref="C71:C74"/>
    <mergeCell ref="E71:E74"/>
    <mergeCell ref="D73:D74"/>
    <mergeCell ref="F71:F74"/>
    <mergeCell ref="K71:K74"/>
    <mergeCell ref="A59:A61"/>
    <mergeCell ref="B59:B61"/>
    <mergeCell ref="C59:C61"/>
    <mergeCell ref="D59:D61"/>
    <mergeCell ref="E59:E61"/>
    <mergeCell ref="D54:D55"/>
    <mergeCell ref="K54:K55"/>
    <mergeCell ref="L54:L55"/>
    <mergeCell ref="M54:M55"/>
    <mergeCell ref="F59:F61"/>
    <mergeCell ref="K59:K61"/>
    <mergeCell ref="P34:P40"/>
    <mergeCell ref="D49:D50"/>
    <mergeCell ref="D51:D52"/>
    <mergeCell ref="D47:D48"/>
    <mergeCell ref="D41:D42"/>
    <mergeCell ref="D34:D35"/>
    <mergeCell ref="D56:D58"/>
    <mergeCell ref="N54:N55"/>
    <mergeCell ref="K34:K35"/>
    <mergeCell ref="A30:A31"/>
    <mergeCell ref="B30:B31"/>
    <mergeCell ref="D30:D31"/>
    <mergeCell ref="C32:G32"/>
    <mergeCell ref="K32:N32"/>
    <mergeCell ref="M26:M27"/>
    <mergeCell ref="N26:N27"/>
    <mergeCell ref="A28:A29"/>
    <mergeCell ref="B28:B29"/>
    <mergeCell ref="C28:C29"/>
    <mergeCell ref="K28:K29"/>
    <mergeCell ref="L28:L29"/>
    <mergeCell ref="M28:M29"/>
    <mergeCell ref="N28:N29"/>
    <mergeCell ref="D26:D27"/>
    <mergeCell ref="K26:K27"/>
    <mergeCell ref="L26:L27"/>
    <mergeCell ref="M20:M21"/>
    <mergeCell ref="N20:N21"/>
    <mergeCell ref="K14:K15"/>
    <mergeCell ref="D18:D19"/>
    <mergeCell ref="K18:K19"/>
    <mergeCell ref="D20:D21"/>
    <mergeCell ref="A24:A25"/>
    <mergeCell ref="B24:B25"/>
    <mergeCell ref="C24:C25"/>
    <mergeCell ref="D24:D25"/>
    <mergeCell ref="E24:E25"/>
    <mergeCell ref="D22:D23"/>
    <mergeCell ref="K22:K23"/>
    <mergeCell ref="D12:D15"/>
    <mergeCell ref="L22:L23"/>
    <mergeCell ref="M22:M23"/>
    <mergeCell ref="F24:F25"/>
    <mergeCell ref="N22:N23"/>
    <mergeCell ref="K20:K21"/>
    <mergeCell ref="L20:L21"/>
    <mergeCell ref="A8:N8"/>
    <mergeCell ref="A9:N9"/>
    <mergeCell ref="B10:N10"/>
    <mergeCell ref="C11:N11"/>
    <mergeCell ref="I5:I7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  <mergeCell ref="K6:K7"/>
    <mergeCell ref="L6:N6"/>
    <mergeCell ref="J5:J7"/>
    <mergeCell ref="K5:N5"/>
    <mergeCell ref="F5:F7"/>
    <mergeCell ref="G5:G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2" manualBreakCount="2">
    <brk id="55" max="13" man="1"/>
    <brk id="9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3"/>
  <sheetViews>
    <sheetView zoomScale="120" zoomScaleNormal="120" zoomScaleSheetLayoutView="120" workbookViewId="0">
      <selection activeCell="S11" sqref="S11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36.5703125" style="10" customWidth="1"/>
    <col min="5" max="5" width="3.7109375" style="52" customWidth="1"/>
    <col min="6" max="6" width="2.7109375" style="53" customWidth="1"/>
    <col min="7" max="7" width="8.5703125" style="52" customWidth="1"/>
    <col min="8" max="8" width="12.7109375" style="451" customWidth="1"/>
    <col min="9" max="9" width="10.7109375" style="451" customWidth="1"/>
    <col min="10" max="10" width="10.140625" style="451" customWidth="1"/>
    <col min="11" max="16384" width="9.140625" style="10"/>
  </cols>
  <sheetData>
    <row r="1" spans="1:15" ht="24" customHeight="1" x14ac:dyDescent="0.2">
      <c r="H1" s="1152" t="s">
        <v>194</v>
      </c>
      <c r="I1" s="1152"/>
      <c r="J1" s="1152"/>
    </row>
    <row r="2" spans="1:15" x14ac:dyDescent="0.2">
      <c r="A2" s="839" t="s">
        <v>185</v>
      </c>
      <c r="B2" s="839"/>
      <c r="C2" s="839"/>
      <c r="D2" s="839"/>
      <c r="E2" s="839"/>
      <c r="F2" s="839"/>
      <c r="G2" s="839"/>
      <c r="H2" s="839"/>
      <c r="I2" s="839"/>
      <c r="J2" s="839"/>
    </row>
    <row r="3" spans="1:15" s="11" customFormat="1" x14ac:dyDescent="0.25">
      <c r="A3" s="840" t="s">
        <v>72</v>
      </c>
      <c r="B3" s="840"/>
      <c r="C3" s="840"/>
      <c r="D3" s="840"/>
      <c r="E3" s="840"/>
      <c r="F3" s="840"/>
      <c r="G3" s="840"/>
      <c r="H3" s="840"/>
      <c r="I3" s="840"/>
      <c r="J3" s="840"/>
    </row>
    <row r="4" spans="1:15" s="11" customFormat="1" x14ac:dyDescent="0.25">
      <c r="A4" s="841" t="s">
        <v>129</v>
      </c>
      <c r="B4" s="841"/>
      <c r="C4" s="841"/>
      <c r="D4" s="841"/>
      <c r="E4" s="841"/>
      <c r="F4" s="841"/>
      <c r="G4" s="841"/>
      <c r="H4" s="841"/>
      <c r="I4" s="841"/>
      <c r="J4" s="841"/>
    </row>
    <row r="5" spans="1:15" s="11" customFormat="1" ht="25.5" customHeight="1" thickBot="1" x14ac:dyDescent="0.25">
      <c r="A5" s="1142" t="s">
        <v>176</v>
      </c>
      <c r="B5" s="1142"/>
      <c r="C5" s="1142"/>
      <c r="D5" s="1142"/>
      <c r="E5" s="1142"/>
      <c r="F5" s="1142"/>
      <c r="G5" s="1142"/>
      <c r="H5" s="1142"/>
      <c r="I5" s="1142"/>
      <c r="J5" s="1142"/>
    </row>
    <row r="6" spans="1:15" s="12" customFormat="1" ht="12.75" customHeight="1" x14ac:dyDescent="0.25">
      <c r="A6" s="843" t="s">
        <v>0</v>
      </c>
      <c r="B6" s="846" t="s">
        <v>1</v>
      </c>
      <c r="C6" s="849" t="s">
        <v>2</v>
      </c>
      <c r="D6" s="852" t="s">
        <v>3</v>
      </c>
      <c r="E6" s="855" t="s">
        <v>4</v>
      </c>
      <c r="F6" s="869" t="s">
        <v>5</v>
      </c>
      <c r="G6" s="872" t="s">
        <v>6</v>
      </c>
      <c r="H6" s="1149" t="s">
        <v>131</v>
      </c>
      <c r="I6" s="1125" t="s">
        <v>191</v>
      </c>
      <c r="J6" s="1128" t="s">
        <v>186</v>
      </c>
    </row>
    <row r="7" spans="1:15" s="12" customFormat="1" ht="12" customHeight="1" x14ac:dyDescent="0.25">
      <c r="A7" s="844"/>
      <c r="B7" s="847"/>
      <c r="C7" s="850"/>
      <c r="D7" s="853"/>
      <c r="E7" s="856"/>
      <c r="F7" s="870"/>
      <c r="G7" s="873"/>
      <c r="H7" s="1150"/>
      <c r="I7" s="1126"/>
      <c r="J7" s="1129"/>
    </row>
    <row r="8" spans="1:15" s="12" customFormat="1" ht="100.5" customHeight="1" thickBot="1" x14ac:dyDescent="0.3">
      <c r="A8" s="845"/>
      <c r="B8" s="848"/>
      <c r="C8" s="851"/>
      <c r="D8" s="854"/>
      <c r="E8" s="857"/>
      <c r="F8" s="871"/>
      <c r="G8" s="874"/>
      <c r="H8" s="1151"/>
      <c r="I8" s="1127"/>
      <c r="J8" s="1130"/>
    </row>
    <row r="9" spans="1:15" s="11" customFormat="1" x14ac:dyDescent="0.25">
      <c r="A9" s="825" t="s">
        <v>124</v>
      </c>
      <c r="B9" s="826"/>
      <c r="C9" s="826"/>
      <c r="D9" s="826"/>
      <c r="E9" s="826"/>
      <c r="F9" s="826"/>
      <c r="G9" s="826"/>
      <c r="H9" s="826"/>
      <c r="I9" s="826"/>
      <c r="J9" s="827"/>
    </row>
    <row r="10" spans="1:15" s="11" customFormat="1" x14ac:dyDescent="0.25">
      <c r="A10" s="1143" t="s">
        <v>7</v>
      </c>
      <c r="B10" s="829"/>
      <c r="C10" s="829"/>
      <c r="D10" s="829"/>
      <c r="E10" s="829"/>
      <c r="F10" s="829"/>
      <c r="G10" s="829"/>
      <c r="H10" s="829"/>
      <c r="I10" s="829"/>
      <c r="J10" s="830"/>
      <c r="O10" s="12"/>
    </row>
    <row r="11" spans="1:15" s="12" customFormat="1" ht="15" customHeight="1" x14ac:dyDescent="0.25">
      <c r="A11" s="539" t="s">
        <v>8</v>
      </c>
      <c r="B11" s="1144" t="s">
        <v>9</v>
      </c>
      <c r="C11" s="1145"/>
      <c r="D11" s="1145"/>
      <c r="E11" s="1145"/>
      <c r="F11" s="1145"/>
      <c r="G11" s="1145"/>
      <c r="H11" s="1145"/>
      <c r="I11" s="1145"/>
      <c r="J11" s="1146"/>
    </row>
    <row r="12" spans="1:15" s="12" customFormat="1" ht="13.5" thickBot="1" x14ac:dyDescent="0.3">
      <c r="A12" s="597" t="s">
        <v>8</v>
      </c>
      <c r="B12" s="598" t="s">
        <v>8</v>
      </c>
      <c r="C12" s="1147" t="s">
        <v>10</v>
      </c>
      <c r="D12" s="1147"/>
      <c r="E12" s="1147"/>
      <c r="F12" s="1147"/>
      <c r="G12" s="1147"/>
      <c r="H12" s="1147"/>
      <c r="I12" s="1147"/>
      <c r="J12" s="1148"/>
    </row>
    <row r="13" spans="1:15" s="12" customFormat="1" ht="23.25" customHeight="1" x14ac:dyDescent="0.25">
      <c r="A13" s="676" t="s">
        <v>8</v>
      </c>
      <c r="B13" s="16" t="s">
        <v>8</v>
      </c>
      <c r="C13" s="685" t="s">
        <v>8</v>
      </c>
      <c r="D13" s="889" t="s">
        <v>54</v>
      </c>
      <c r="E13" s="54"/>
      <c r="F13" s="698" t="s">
        <v>21</v>
      </c>
      <c r="G13" s="22" t="s">
        <v>12</v>
      </c>
      <c r="H13" s="653">
        <f>1102626+5949+2052+4075-16287</f>
        <v>1098415</v>
      </c>
      <c r="I13" s="809">
        <v>991856</v>
      </c>
      <c r="J13" s="810">
        <f>I13-H13</f>
        <v>-106559</v>
      </c>
      <c r="L13" s="188"/>
    </row>
    <row r="14" spans="1:15" s="12" customFormat="1" ht="15" customHeight="1" x14ac:dyDescent="0.25">
      <c r="A14" s="677"/>
      <c r="B14" s="18"/>
      <c r="C14" s="686"/>
      <c r="D14" s="893"/>
      <c r="E14" s="55"/>
      <c r="F14" s="117"/>
      <c r="G14" s="20" t="s">
        <v>22</v>
      </c>
      <c r="H14" s="607">
        <f>6013508-47340-337557-15000</f>
        <v>5613611</v>
      </c>
      <c r="I14" s="489">
        <f>6013508-47340-337557-15000</f>
        <v>5613611</v>
      </c>
      <c r="J14" s="484">
        <f>I14-H14</f>
        <v>0</v>
      </c>
      <c r="K14" s="188"/>
    </row>
    <row r="15" spans="1:15" s="12" customFormat="1" ht="16.5" customHeight="1" thickBot="1" x14ac:dyDescent="0.3">
      <c r="A15" s="677"/>
      <c r="B15" s="18"/>
      <c r="C15" s="686"/>
      <c r="D15" s="890"/>
      <c r="E15" s="55"/>
      <c r="F15" s="117"/>
      <c r="G15" s="78" t="s">
        <v>13</v>
      </c>
      <c r="H15" s="473">
        <f>SUM(H13:H14)</f>
        <v>6712026</v>
      </c>
      <c r="I15" s="473">
        <f>SUM(I13:I14)</f>
        <v>6605467</v>
      </c>
      <c r="J15" s="258">
        <f>SUM(J13:J14)</f>
        <v>-106559</v>
      </c>
    </row>
    <row r="16" spans="1:15" s="12" customFormat="1" ht="15.75" customHeight="1" x14ac:dyDescent="0.25">
      <c r="A16" s="676" t="s">
        <v>8</v>
      </c>
      <c r="B16" s="16" t="s">
        <v>8</v>
      </c>
      <c r="C16" s="685" t="s">
        <v>14</v>
      </c>
      <c r="D16" s="881" t="s">
        <v>55</v>
      </c>
      <c r="E16" s="54"/>
      <c r="F16" s="698" t="s">
        <v>21</v>
      </c>
      <c r="G16" s="19" t="s">
        <v>12</v>
      </c>
      <c r="H16" s="608">
        <v>1561132</v>
      </c>
      <c r="I16" s="474">
        <v>1561132</v>
      </c>
      <c r="J16" s="487">
        <f>I16-H16</f>
        <v>0</v>
      </c>
    </row>
    <row r="17" spans="1:15" s="12" customFormat="1" ht="15.75" customHeight="1" thickBot="1" x14ac:dyDescent="0.3">
      <c r="A17" s="677"/>
      <c r="B17" s="18"/>
      <c r="C17" s="686"/>
      <c r="D17" s="882"/>
      <c r="E17" s="55"/>
      <c r="F17" s="117"/>
      <c r="G17" s="78" t="s">
        <v>13</v>
      </c>
      <c r="H17" s="473">
        <f>H16</f>
        <v>1561132</v>
      </c>
      <c r="I17" s="473">
        <f>I16</f>
        <v>1561132</v>
      </c>
      <c r="J17" s="258">
        <f>J16</f>
        <v>0</v>
      </c>
    </row>
    <row r="18" spans="1:15" s="12" customFormat="1" ht="18" customHeight="1" x14ac:dyDescent="0.25">
      <c r="A18" s="676" t="s">
        <v>8</v>
      </c>
      <c r="B18" s="16" t="s">
        <v>8</v>
      </c>
      <c r="C18" s="685" t="s">
        <v>17</v>
      </c>
      <c r="D18" s="881" t="s">
        <v>56</v>
      </c>
      <c r="E18" s="54"/>
      <c r="F18" s="698" t="s">
        <v>21</v>
      </c>
      <c r="G18" s="22" t="s">
        <v>12</v>
      </c>
      <c r="H18" s="653">
        <v>171467</v>
      </c>
      <c r="I18" s="600">
        <v>171467</v>
      </c>
      <c r="J18" s="487">
        <f>I18-H18</f>
        <v>0</v>
      </c>
    </row>
    <row r="19" spans="1:15" s="12" customFormat="1" ht="13.5" thickBot="1" x14ac:dyDescent="0.3">
      <c r="A19" s="693"/>
      <c r="B19" s="21"/>
      <c r="C19" s="687"/>
      <c r="D19" s="882"/>
      <c r="E19" s="100"/>
      <c r="F19" s="699"/>
      <c r="G19" s="78" t="s">
        <v>13</v>
      </c>
      <c r="H19" s="473">
        <f>H18</f>
        <v>171467</v>
      </c>
      <c r="I19" s="473">
        <f>I18</f>
        <v>171467</v>
      </c>
      <c r="J19" s="258">
        <f>J18</f>
        <v>0</v>
      </c>
    </row>
    <row r="20" spans="1:15" s="12" customFormat="1" ht="19.5" customHeight="1" x14ac:dyDescent="0.25">
      <c r="A20" s="676" t="s">
        <v>8</v>
      </c>
      <c r="B20" s="16" t="s">
        <v>8</v>
      </c>
      <c r="C20" s="685" t="s">
        <v>19</v>
      </c>
      <c r="D20" s="889" t="s">
        <v>58</v>
      </c>
      <c r="E20" s="54"/>
      <c r="F20" s="698" t="s">
        <v>21</v>
      </c>
      <c r="G20" s="22" t="s">
        <v>12</v>
      </c>
      <c r="H20" s="811">
        <f>692974-51326</f>
        <v>641648</v>
      </c>
      <c r="I20" s="812">
        <f>692974-51326-73609</f>
        <v>568039</v>
      </c>
      <c r="J20" s="810">
        <f>I20-H20</f>
        <v>-73609</v>
      </c>
    </row>
    <row r="21" spans="1:15" s="12" customFormat="1" ht="13.5" thickBot="1" x14ac:dyDescent="0.3">
      <c r="A21" s="693"/>
      <c r="B21" s="21"/>
      <c r="C21" s="687"/>
      <c r="D21" s="890"/>
      <c r="E21" s="100"/>
      <c r="F21" s="699"/>
      <c r="G21" s="78" t="s">
        <v>13</v>
      </c>
      <c r="H21" s="473">
        <f>H20</f>
        <v>641648</v>
      </c>
      <c r="I21" s="473">
        <f>I20</f>
        <v>568039</v>
      </c>
      <c r="J21" s="258">
        <f>J20</f>
        <v>-73609</v>
      </c>
    </row>
    <row r="22" spans="1:15" s="12" customFormat="1" ht="42.75" customHeight="1" x14ac:dyDescent="0.25">
      <c r="A22" s="883" t="s">
        <v>8</v>
      </c>
      <c r="B22" s="885" t="s">
        <v>8</v>
      </c>
      <c r="C22" s="887" t="s">
        <v>23</v>
      </c>
      <c r="D22" s="889" t="s">
        <v>15</v>
      </c>
      <c r="E22" s="891"/>
      <c r="F22" s="898" t="s">
        <v>21</v>
      </c>
      <c r="G22" s="17" t="s">
        <v>16</v>
      </c>
      <c r="H22" s="609">
        <f>36503/3.4528*1000</f>
        <v>10572000</v>
      </c>
      <c r="I22" s="475">
        <f>36503/3.4528*1000</f>
        <v>10572000</v>
      </c>
      <c r="J22" s="488"/>
    </row>
    <row r="23" spans="1:15" s="12" customFormat="1" ht="13.5" thickBot="1" x14ac:dyDescent="0.3">
      <c r="A23" s="884"/>
      <c r="B23" s="886"/>
      <c r="C23" s="888"/>
      <c r="D23" s="890"/>
      <c r="E23" s="892"/>
      <c r="F23" s="899"/>
      <c r="G23" s="78" t="s">
        <v>13</v>
      </c>
      <c r="H23" s="473">
        <f>H22</f>
        <v>10572000</v>
      </c>
      <c r="I23" s="473">
        <f>I22</f>
        <v>10572000</v>
      </c>
      <c r="J23" s="258"/>
    </row>
    <row r="24" spans="1:15" s="12" customFormat="1" ht="14.25" customHeight="1" x14ac:dyDescent="0.25">
      <c r="A24" s="676" t="s">
        <v>8</v>
      </c>
      <c r="B24" s="16" t="s">
        <v>8</v>
      </c>
      <c r="C24" s="685" t="s">
        <v>31</v>
      </c>
      <c r="D24" s="889" t="s">
        <v>18</v>
      </c>
      <c r="E24" s="697"/>
      <c r="F24" s="152" t="s">
        <v>21</v>
      </c>
      <c r="G24" s="25" t="s">
        <v>16</v>
      </c>
      <c r="H24" s="610">
        <f>8981/3.4528*1000</f>
        <v>2601077</v>
      </c>
      <c r="I24" s="476">
        <f>8981/3.4528*1000</f>
        <v>2601077</v>
      </c>
      <c r="J24" s="479"/>
    </row>
    <row r="25" spans="1:15" s="12" customFormat="1" ht="13.5" thickBot="1" x14ac:dyDescent="0.3">
      <c r="A25" s="693"/>
      <c r="B25" s="21"/>
      <c r="C25" s="687"/>
      <c r="D25" s="890"/>
      <c r="E25" s="100"/>
      <c r="F25" s="699"/>
      <c r="G25" s="78" t="s">
        <v>13</v>
      </c>
      <c r="H25" s="473">
        <f>H24</f>
        <v>2601077</v>
      </c>
      <c r="I25" s="473">
        <f>I24</f>
        <v>2601077</v>
      </c>
      <c r="J25" s="258"/>
    </row>
    <row r="26" spans="1:15" s="11" customFormat="1" ht="18" customHeight="1" x14ac:dyDescent="0.25">
      <c r="A26" s="883" t="s">
        <v>8</v>
      </c>
      <c r="B26" s="885" t="s">
        <v>8</v>
      </c>
      <c r="C26" s="916" t="s">
        <v>33</v>
      </c>
      <c r="D26" s="889" t="s">
        <v>20</v>
      </c>
      <c r="E26" s="697"/>
      <c r="F26" s="691" t="s">
        <v>21</v>
      </c>
      <c r="G26" s="23" t="s">
        <v>22</v>
      </c>
      <c r="H26" s="616">
        <f>532.1/3.4528*1000-2768</f>
        <v>151339</v>
      </c>
      <c r="I26" s="472">
        <f>532.1/3.4528*1000-2768</f>
        <v>151339</v>
      </c>
      <c r="J26" s="484">
        <f>I26-H26</f>
        <v>0</v>
      </c>
    </row>
    <row r="27" spans="1:15" s="12" customFormat="1" ht="13.5" thickBot="1" x14ac:dyDescent="0.3">
      <c r="A27" s="914"/>
      <c r="B27" s="915"/>
      <c r="C27" s="917"/>
      <c r="D27" s="890"/>
      <c r="E27" s="55"/>
      <c r="F27" s="117"/>
      <c r="G27" s="78" t="s">
        <v>13</v>
      </c>
      <c r="H27" s="229">
        <f>H26</f>
        <v>151339</v>
      </c>
      <c r="I27" s="473">
        <f>I26</f>
        <v>151339</v>
      </c>
      <c r="J27" s="258">
        <f>SUM(J26)</f>
        <v>0</v>
      </c>
    </row>
    <row r="28" spans="1:15" s="12" customFormat="1" ht="25.5" customHeight="1" x14ac:dyDescent="0.25">
      <c r="A28" s="883" t="s">
        <v>8</v>
      </c>
      <c r="B28" s="885" t="s">
        <v>8</v>
      </c>
      <c r="C28" s="24" t="s">
        <v>60</v>
      </c>
      <c r="D28" s="889" t="s">
        <v>24</v>
      </c>
      <c r="E28" s="54"/>
      <c r="F28" s="92">
        <v>3</v>
      </c>
      <c r="G28" s="25" t="s">
        <v>22</v>
      </c>
      <c r="H28" s="610">
        <f>570.1/3.4528*1000-11672</f>
        <v>153440</v>
      </c>
      <c r="I28" s="476">
        <f>570.1/3.4528*1000-11672</f>
        <v>153440</v>
      </c>
      <c r="J28" s="479">
        <f>I28-H28</f>
        <v>0</v>
      </c>
    </row>
    <row r="29" spans="1:15" s="12" customFormat="1" ht="16.5" customHeight="1" thickBot="1" x14ac:dyDescent="0.3">
      <c r="A29" s="884"/>
      <c r="B29" s="886"/>
      <c r="C29" s="26"/>
      <c r="D29" s="890"/>
      <c r="E29" s="55"/>
      <c r="F29" s="157"/>
      <c r="G29" s="80" t="s">
        <v>13</v>
      </c>
      <c r="H29" s="615">
        <f>H28</f>
        <v>153440</v>
      </c>
      <c r="I29" s="477">
        <f>I28</f>
        <v>153440</v>
      </c>
      <c r="J29" s="554">
        <f>J28</f>
        <v>0</v>
      </c>
    </row>
    <row r="30" spans="1:15" s="11" customFormat="1" ht="13.5" thickBot="1" x14ac:dyDescent="0.3">
      <c r="A30" s="14" t="s">
        <v>8</v>
      </c>
      <c r="B30" s="15" t="s">
        <v>8</v>
      </c>
      <c r="C30" s="904" t="s">
        <v>25</v>
      </c>
      <c r="D30" s="905"/>
      <c r="E30" s="905"/>
      <c r="F30" s="905"/>
      <c r="G30" s="906"/>
      <c r="H30" s="478">
        <f t="shared" ref="H30" si="0">H29+H27+H25+H23+H21+H19+H17+H15</f>
        <v>22564129</v>
      </c>
      <c r="I30" s="478">
        <f t="shared" ref="I30" si="1">I29+I27+I25+I23+I21+I19+I17+I15</f>
        <v>22383961</v>
      </c>
      <c r="J30" s="471">
        <f>J29+J27+J25+J23+J21+J19+J17+J15</f>
        <v>-180168</v>
      </c>
      <c r="M30" s="89"/>
      <c r="O30" s="12"/>
    </row>
    <row r="31" spans="1:15" s="11" customFormat="1" ht="13.5" thickBot="1" x14ac:dyDescent="0.3">
      <c r="A31" s="35" t="s">
        <v>8</v>
      </c>
      <c r="B31" s="15" t="s">
        <v>14</v>
      </c>
      <c r="C31" s="1091" t="s">
        <v>26</v>
      </c>
      <c r="D31" s="1091"/>
      <c r="E31" s="1091"/>
      <c r="F31" s="1091"/>
      <c r="G31" s="1091"/>
      <c r="H31" s="1091"/>
      <c r="I31" s="1091"/>
      <c r="J31" s="1092"/>
      <c r="L31" s="12"/>
      <c r="M31" s="12"/>
    </row>
    <row r="32" spans="1:15" s="12" customFormat="1" ht="12.75" customHeight="1" x14ac:dyDescent="0.25">
      <c r="A32" s="676" t="s">
        <v>8</v>
      </c>
      <c r="B32" s="678" t="s">
        <v>14</v>
      </c>
      <c r="C32" s="164" t="s">
        <v>8</v>
      </c>
      <c r="D32" s="927" t="s">
        <v>51</v>
      </c>
      <c r="E32" s="165"/>
      <c r="F32" s="92">
        <v>3</v>
      </c>
      <c r="G32" s="22" t="s">
        <v>22</v>
      </c>
      <c r="H32" s="653">
        <f>2651893+20394</f>
        <v>2672287</v>
      </c>
      <c r="I32" s="600">
        <f>2651893+20394</f>
        <v>2672287</v>
      </c>
      <c r="J32" s="808">
        <f>I32-H32</f>
        <v>0</v>
      </c>
      <c r="K32" s="170"/>
      <c r="L32" s="1141"/>
      <c r="M32" s="171"/>
    </row>
    <row r="33" spans="1:14" s="12" customFormat="1" ht="12.75" customHeight="1" x14ac:dyDescent="0.25">
      <c r="A33" s="677"/>
      <c r="B33" s="679"/>
      <c r="C33" s="28"/>
      <c r="D33" s="928"/>
      <c r="E33" s="85"/>
      <c r="F33" s="666"/>
      <c r="G33" s="20" t="s">
        <v>27</v>
      </c>
      <c r="H33" s="616">
        <f>1689.5/3.4528*1000+23100+31780</f>
        <v>544193</v>
      </c>
      <c r="I33" s="472">
        <f>1689.5/3.4528*1000+23100+31780</f>
        <v>544193</v>
      </c>
      <c r="J33" s="484">
        <f>I33-H33</f>
        <v>0</v>
      </c>
      <c r="K33" s="170"/>
      <c r="L33" s="1141"/>
    </row>
    <row r="34" spans="1:14" s="12" customFormat="1" ht="12.75" customHeight="1" x14ac:dyDescent="0.25">
      <c r="A34" s="677"/>
      <c r="B34" s="679"/>
      <c r="C34" s="28"/>
      <c r="D34" s="175"/>
      <c r="E34" s="85"/>
      <c r="F34" s="666"/>
      <c r="G34" s="34" t="s">
        <v>12</v>
      </c>
      <c r="H34" s="607">
        <v>456353</v>
      </c>
      <c r="I34" s="489">
        <f>456353</f>
        <v>456353</v>
      </c>
      <c r="J34" s="505">
        <f>I34-H34</f>
        <v>0</v>
      </c>
      <c r="K34" s="170"/>
      <c r="L34" s="1141"/>
    </row>
    <row r="35" spans="1:14" s="12" customFormat="1" ht="12.75" customHeight="1" x14ac:dyDescent="0.25">
      <c r="A35" s="702"/>
      <c r="B35" s="703"/>
      <c r="C35" s="28"/>
      <c r="D35" s="175"/>
      <c r="E35" s="85"/>
      <c r="F35" s="701"/>
      <c r="G35" s="34" t="s">
        <v>12</v>
      </c>
      <c r="H35" s="724">
        <v>8375</v>
      </c>
      <c r="I35" s="493">
        <v>8375</v>
      </c>
      <c r="J35" s="725">
        <f>I35-H35</f>
        <v>0</v>
      </c>
      <c r="K35" s="170"/>
      <c r="L35" s="1141"/>
    </row>
    <row r="36" spans="1:14" s="12" customFormat="1" ht="12.75" customHeight="1" x14ac:dyDescent="0.25">
      <c r="A36" s="677"/>
      <c r="B36" s="679"/>
      <c r="C36" s="28"/>
      <c r="D36" s="175"/>
      <c r="E36" s="85"/>
      <c r="F36" s="666"/>
      <c r="G36" s="630" t="s">
        <v>16</v>
      </c>
      <c r="H36" s="567">
        <f>681/3.4528*1000</f>
        <v>197231</v>
      </c>
      <c r="I36" s="496">
        <f>681/3.4528*1000</f>
        <v>197231</v>
      </c>
      <c r="J36" s="365"/>
      <c r="K36" s="170"/>
      <c r="L36" s="1141"/>
    </row>
    <row r="37" spans="1:14" s="12" customFormat="1" ht="12.75" customHeight="1" x14ac:dyDescent="0.25">
      <c r="A37" s="677"/>
      <c r="B37" s="679"/>
      <c r="C37" s="28"/>
      <c r="D37" s="175"/>
      <c r="E37" s="85"/>
      <c r="F37" s="666"/>
      <c r="G37" s="34" t="s">
        <v>37</v>
      </c>
      <c r="H37" s="607">
        <f>88.1/3.4528*1000</f>
        <v>25516</v>
      </c>
      <c r="I37" s="489">
        <f>88.1/3.4528*1000</f>
        <v>25516</v>
      </c>
      <c r="J37" s="485"/>
      <c r="K37" s="170"/>
      <c r="L37" s="1141"/>
    </row>
    <row r="38" spans="1:14" s="12" customFormat="1" ht="12.75" customHeight="1" x14ac:dyDescent="0.25">
      <c r="A38" s="677"/>
      <c r="B38" s="679"/>
      <c r="C38" s="28"/>
      <c r="D38" s="56" t="s">
        <v>109</v>
      </c>
      <c r="E38" s="85"/>
      <c r="F38" s="666"/>
      <c r="G38" s="631" t="s">
        <v>100</v>
      </c>
      <c r="H38" s="607">
        <v>5263</v>
      </c>
      <c r="I38" s="489">
        <v>5263</v>
      </c>
      <c r="J38" s="485">
        <f>I38-H38</f>
        <v>0</v>
      </c>
      <c r="K38" s="87"/>
      <c r="L38" s="1141"/>
      <c r="M38" s="87"/>
      <c r="N38" s="87"/>
    </row>
    <row r="39" spans="1:14" s="12" customFormat="1" ht="28.5" customHeight="1" x14ac:dyDescent="0.25">
      <c r="A39" s="677"/>
      <c r="B39" s="679"/>
      <c r="C39" s="28"/>
      <c r="D39" s="56" t="s">
        <v>99</v>
      </c>
      <c r="E39" s="85"/>
      <c r="F39" s="666"/>
      <c r="G39" s="34" t="s">
        <v>195</v>
      </c>
      <c r="H39" s="607">
        <v>52926</v>
      </c>
      <c r="I39" s="489">
        <v>52926</v>
      </c>
      <c r="J39" s="485">
        <f>I39-H39</f>
        <v>0</v>
      </c>
      <c r="L39" s="1141"/>
    </row>
    <row r="40" spans="1:14" s="12" customFormat="1" ht="27" customHeight="1" x14ac:dyDescent="0.25">
      <c r="A40" s="677"/>
      <c r="B40" s="679"/>
      <c r="C40" s="28"/>
      <c r="D40" s="926" t="s">
        <v>112</v>
      </c>
      <c r="E40" s="85"/>
      <c r="F40" s="666"/>
      <c r="G40" s="632"/>
      <c r="H40" s="625"/>
      <c r="I40" s="491"/>
      <c r="J40" s="365"/>
      <c r="L40" s="12" t="s">
        <v>205</v>
      </c>
    </row>
    <row r="41" spans="1:14" s="12" customFormat="1" ht="17.25" customHeight="1" x14ac:dyDescent="0.25">
      <c r="A41" s="705"/>
      <c r="B41" s="706"/>
      <c r="C41" s="707"/>
      <c r="D41" s="926"/>
      <c r="E41" s="709"/>
      <c r="F41" s="708"/>
      <c r="G41" s="632"/>
      <c r="H41" s="625"/>
      <c r="I41" s="491"/>
      <c r="J41" s="365"/>
    </row>
    <row r="42" spans="1:14" s="12" customFormat="1" ht="15" customHeight="1" x14ac:dyDescent="0.25">
      <c r="A42" s="677"/>
      <c r="B42" s="679"/>
      <c r="C42" s="28"/>
      <c r="D42" s="56" t="s">
        <v>113</v>
      </c>
      <c r="E42" s="85"/>
      <c r="F42" s="666"/>
      <c r="G42" s="20"/>
      <c r="H42" s="623"/>
      <c r="I42" s="472"/>
      <c r="J42" s="484"/>
    </row>
    <row r="43" spans="1:14" s="12" customFormat="1" ht="25.5" x14ac:dyDescent="0.25">
      <c r="A43" s="677"/>
      <c r="B43" s="679"/>
      <c r="C43" s="28"/>
      <c r="D43" s="56" t="s">
        <v>153</v>
      </c>
      <c r="E43" s="668"/>
      <c r="F43" s="666"/>
      <c r="G43" s="20"/>
      <c r="H43" s="623"/>
      <c r="I43" s="472"/>
      <c r="J43" s="484"/>
    </row>
    <row r="44" spans="1:14" s="12" customFormat="1" ht="38.25" x14ac:dyDescent="0.25">
      <c r="A44" s="677"/>
      <c r="B44" s="679"/>
      <c r="C44" s="28"/>
      <c r="D44" s="56" t="s">
        <v>154</v>
      </c>
      <c r="E44" s="668"/>
      <c r="F44" s="666"/>
      <c r="G44" s="20"/>
      <c r="H44" s="623"/>
      <c r="I44" s="472"/>
      <c r="J44" s="484"/>
    </row>
    <row r="45" spans="1:14" s="12" customFormat="1" ht="17.25" customHeight="1" x14ac:dyDescent="0.25">
      <c r="A45" s="215"/>
      <c r="B45" s="216"/>
      <c r="C45" s="561"/>
      <c r="D45" s="710" t="s">
        <v>114</v>
      </c>
      <c r="E45" s="217"/>
      <c r="F45" s="218"/>
      <c r="G45" s="29"/>
      <c r="H45" s="612"/>
      <c r="I45" s="474"/>
      <c r="J45" s="487"/>
    </row>
    <row r="46" spans="1:14" s="12" customFormat="1" ht="12.75" customHeight="1" x14ac:dyDescent="0.25">
      <c r="A46" s="677"/>
      <c r="B46" s="679"/>
      <c r="C46" s="28"/>
      <c r="D46" s="669" t="s">
        <v>115</v>
      </c>
      <c r="E46" s="668"/>
      <c r="F46" s="666"/>
      <c r="G46" s="20"/>
      <c r="H46" s="623"/>
      <c r="I46" s="472"/>
      <c r="J46" s="484"/>
    </row>
    <row r="47" spans="1:14" s="12" customFormat="1" ht="12.75" customHeight="1" x14ac:dyDescent="0.25">
      <c r="A47" s="677"/>
      <c r="B47" s="679"/>
      <c r="C47" s="210"/>
      <c r="D47" s="737" t="s">
        <v>151</v>
      </c>
      <c r="E47" s="84"/>
      <c r="F47" s="211"/>
      <c r="G47" s="20"/>
      <c r="H47" s="623"/>
      <c r="I47" s="472"/>
      <c r="J47" s="484"/>
    </row>
    <row r="48" spans="1:14" s="27" customFormat="1" x14ac:dyDescent="0.25">
      <c r="A48" s="677"/>
      <c r="B48" s="679"/>
      <c r="C48" s="213"/>
      <c r="D48" s="669" t="s">
        <v>116</v>
      </c>
      <c r="E48" s="85"/>
      <c r="F48" s="666"/>
      <c r="G48" s="20"/>
      <c r="H48" s="623"/>
      <c r="I48" s="472"/>
      <c r="J48" s="484"/>
    </row>
    <row r="49" spans="1:18" s="12" customFormat="1" ht="31.5" customHeight="1" x14ac:dyDescent="0.25">
      <c r="A49" s="677"/>
      <c r="B49" s="679"/>
      <c r="C49" s="692"/>
      <c r="D49" s="667" t="s">
        <v>117</v>
      </c>
      <c r="E49" s="668"/>
      <c r="F49" s="666"/>
      <c r="G49" s="20"/>
      <c r="H49" s="623"/>
      <c r="I49" s="472"/>
      <c r="J49" s="484"/>
    </row>
    <row r="50" spans="1:18" s="12" customFormat="1" ht="30" customHeight="1" x14ac:dyDescent="0.25">
      <c r="A50" s="677"/>
      <c r="B50" s="679"/>
      <c r="C50" s="28"/>
      <c r="D50" s="667" t="s">
        <v>152</v>
      </c>
      <c r="E50" s="668"/>
      <c r="F50" s="666"/>
      <c r="G50" s="20"/>
      <c r="H50" s="623"/>
      <c r="I50" s="472"/>
      <c r="J50" s="484"/>
    </row>
    <row r="51" spans="1:18" s="12" customFormat="1" ht="28.5" customHeight="1" x14ac:dyDescent="0.25">
      <c r="A51" s="677"/>
      <c r="B51" s="679"/>
      <c r="C51" s="28"/>
      <c r="D51" s="926" t="s">
        <v>62</v>
      </c>
      <c r="E51" s="668"/>
      <c r="F51" s="666"/>
      <c r="G51" s="20"/>
      <c r="H51" s="623"/>
      <c r="I51" s="472"/>
      <c r="J51" s="484"/>
    </row>
    <row r="52" spans="1:18" s="12" customFormat="1" ht="15" customHeight="1" thickBot="1" x14ac:dyDescent="0.3">
      <c r="A52" s="693"/>
      <c r="B52" s="21"/>
      <c r="C52" s="459"/>
      <c r="D52" s="929"/>
      <c r="E52" s="460"/>
      <c r="F52" s="157"/>
      <c r="G52" s="81" t="s">
        <v>13</v>
      </c>
      <c r="H52" s="229">
        <f>SUM(H32:H51)</f>
        <v>3962144</v>
      </c>
      <c r="I52" s="473">
        <f>SUM(I32:I51)</f>
        <v>3962144</v>
      </c>
      <c r="J52" s="486">
        <f>SUM(J32:J51)</f>
        <v>0</v>
      </c>
    </row>
    <row r="53" spans="1:18" s="11" customFormat="1" ht="21.75" customHeight="1" x14ac:dyDescent="0.25">
      <c r="A53" s="934" t="s">
        <v>8</v>
      </c>
      <c r="B53" s="937" t="s">
        <v>14</v>
      </c>
      <c r="C53" s="940" t="s">
        <v>14</v>
      </c>
      <c r="D53" s="881" t="s">
        <v>49</v>
      </c>
      <c r="E53" s="943"/>
      <c r="F53" s="954" t="s">
        <v>21</v>
      </c>
      <c r="G53" s="30" t="s">
        <v>22</v>
      </c>
      <c r="H53" s="614">
        <f>960/3.4528*1000</f>
        <v>278035</v>
      </c>
      <c r="I53" s="476">
        <f>960/3.4528*1000</f>
        <v>278035</v>
      </c>
      <c r="J53" s="479"/>
    </row>
    <row r="54" spans="1:18" s="11" customFormat="1" ht="8.25" customHeight="1" x14ac:dyDescent="0.25">
      <c r="A54" s="935"/>
      <c r="B54" s="938"/>
      <c r="C54" s="941"/>
      <c r="D54" s="880"/>
      <c r="E54" s="944"/>
      <c r="F54" s="955"/>
      <c r="G54" s="82"/>
      <c r="H54" s="625"/>
      <c r="I54" s="491"/>
      <c r="J54" s="365"/>
    </row>
    <row r="55" spans="1:18" s="12" customFormat="1" ht="13.5" thickBot="1" x14ac:dyDescent="0.3">
      <c r="A55" s="936"/>
      <c r="B55" s="939"/>
      <c r="C55" s="942"/>
      <c r="D55" s="882"/>
      <c r="E55" s="945"/>
      <c r="F55" s="956"/>
      <c r="G55" s="78" t="s">
        <v>13</v>
      </c>
      <c r="H55" s="229">
        <f>H53</f>
        <v>278035</v>
      </c>
      <c r="I55" s="473">
        <f>I53</f>
        <v>278035</v>
      </c>
      <c r="J55" s="258">
        <f>SUM(J53:J54)</f>
        <v>0</v>
      </c>
    </row>
    <row r="56" spans="1:18" s="11" customFormat="1" ht="27.75" customHeight="1" x14ac:dyDescent="0.25">
      <c r="A56" s="680" t="s">
        <v>8</v>
      </c>
      <c r="B56" s="682" t="s">
        <v>14</v>
      </c>
      <c r="C56" s="685" t="s">
        <v>17</v>
      </c>
      <c r="D56" s="1102" t="s">
        <v>50</v>
      </c>
      <c r="E56" s="233"/>
      <c r="F56" s="688" t="s">
        <v>21</v>
      </c>
      <c r="G56" s="30" t="s">
        <v>22</v>
      </c>
      <c r="H56" s="614">
        <f>1217.9/3.4528*1000</f>
        <v>352728</v>
      </c>
      <c r="I56" s="476">
        <f>1217.9/3.4528*1000</f>
        <v>352728</v>
      </c>
      <c r="J56" s="479"/>
      <c r="N56" s="12"/>
      <c r="R56" s="12"/>
    </row>
    <row r="57" spans="1:18" s="11" customFormat="1" ht="28.5" customHeight="1" x14ac:dyDescent="0.25">
      <c r="A57" s="681"/>
      <c r="B57" s="683"/>
      <c r="C57" s="686"/>
      <c r="D57" s="1103"/>
      <c r="E57" s="237"/>
      <c r="F57" s="689"/>
      <c r="G57" s="82"/>
      <c r="H57" s="625"/>
      <c r="I57" s="491"/>
      <c r="J57" s="365"/>
      <c r="N57" s="12"/>
    </row>
    <row r="58" spans="1:18" s="11" customFormat="1" ht="39.75" customHeight="1" x14ac:dyDescent="0.25">
      <c r="A58" s="681"/>
      <c r="B58" s="683"/>
      <c r="C58" s="686"/>
      <c r="D58" s="83" t="s">
        <v>118</v>
      </c>
      <c r="E58" s="237"/>
      <c r="F58" s="689"/>
      <c r="G58" s="82"/>
      <c r="H58" s="625"/>
      <c r="I58" s="491"/>
      <c r="J58" s="365"/>
      <c r="R58" s="12"/>
    </row>
    <row r="59" spans="1:18" s="11" customFormat="1" ht="39.75" customHeight="1" x14ac:dyDescent="0.25">
      <c r="A59" s="681"/>
      <c r="B59" s="683"/>
      <c r="C59" s="686"/>
      <c r="D59" s="83" t="s">
        <v>119</v>
      </c>
      <c r="E59" s="237"/>
      <c r="F59" s="689"/>
      <c r="G59" s="82"/>
      <c r="H59" s="625"/>
      <c r="I59" s="491"/>
      <c r="J59" s="365"/>
    </row>
    <row r="60" spans="1:18" s="11" customFormat="1" ht="30.75" customHeight="1" x14ac:dyDescent="0.25">
      <c r="A60" s="681"/>
      <c r="B60" s="683"/>
      <c r="C60" s="686"/>
      <c r="D60" s="83" t="s">
        <v>120</v>
      </c>
      <c r="E60" s="237"/>
      <c r="F60" s="689"/>
      <c r="G60" s="82"/>
      <c r="H60" s="625"/>
      <c r="I60" s="491"/>
      <c r="J60" s="365"/>
    </row>
    <row r="61" spans="1:18" s="11" customFormat="1" ht="54.75" customHeight="1" x14ac:dyDescent="0.25">
      <c r="A61" s="681"/>
      <c r="B61" s="683"/>
      <c r="C61" s="686"/>
      <c r="D61" s="155" t="s">
        <v>121</v>
      </c>
      <c r="E61" s="237"/>
      <c r="F61" s="689"/>
      <c r="G61" s="82"/>
      <c r="H61" s="625"/>
      <c r="I61" s="491"/>
      <c r="J61" s="365"/>
      <c r="M61" s="12"/>
    </row>
    <row r="62" spans="1:18" s="11" customFormat="1" ht="31.5" customHeight="1" x14ac:dyDescent="0.25">
      <c r="A62" s="681"/>
      <c r="B62" s="683"/>
      <c r="C62" s="686"/>
      <c r="D62" s="880" t="s">
        <v>145</v>
      </c>
      <c r="E62" s="237"/>
      <c r="F62" s="689"/>
      <c r="G62" s="88"/>
      <c r="H62" s="625"/>
      <c r="I62" s="491"/>
      <c r="J62" s="365"/>
      <c r="O62" s="12"/>
    </row>
    <row r="63" spans="1:18" s="11" customFormat="1" ht="25.5" customHeight="1" x14ac:dyDescent="0.25">
      <c r="A63" s="681"/>
      <c r="B63" s="683"/>
      <c r="C63" s="686"/>
      <c r="D63" s="880"/>
      <c r="E63" s="237"/>
      <c r="F63" s="689"/>
      <c r="G63" s="88"/>
      <c r="H63" s="625"/>
      <c r="I63" s="491"/>
      <c r="J63" s="365"/>
    </row>
    <row r="64" spans="1:18" s="12" customFormat="1" ht="13.5" thickBot="1" x14ac:dyDescent="0.3">
      <c r="A64" s="6"/>
      <c r="B64" s="684"/>
      <c r="C64" s="8"/>
      <c r="D64" s="882"/>
      <c r="E64" s="249"/>
      <c r="F64" s="690"/>
      <c r="G64" s="78" t="s">
        <v>13</v>
      </c>
      <c r="H64" s="229">
        <f>SUM(H56:H63)</f>
        <v>352728</v>
      </c>
      <c r="I64" s="473">
        <f>SUM(I56:I63)</f>
        <v>352728</v>
      </c>
      <c r="J64" s="258"/>
    </row>
    <row r="65" spans="1:10" s="11" customFormat="1" ht="15.75" customHeight="1" x14ac:dyDescent="0.25">
      <c r="A65" s="525" t="s">
        <v>8</v>
      </c>
      <c r="B65" s="527" t="s">
        <v>14</v>
      </c>
      <c r="C65" s="377" t="s">
        <v>19</v>
      </c>
      <c r="D65" s="253" t="s">
        <v>160</v>
      </c>
      <c r="E65" s="70"/>
      <c r="F65" s="688" t="s">
        <v>21</v>
      </c>
      <c r="G65" s="30"/>
      <c r="H65" s="614"/>
      <c r="I65" s="476"/>
      <c r="J65" s="479"/>
    </row>
    <row r="66" spans="1:10" s="11" customFormat="1" ht="30" customHeight="1" x14ac:dyDescent="0.25">
      <c r="A66" s="526"/>
      <c r="B66" s="528"/>
      <c r="C66" s="386"/>
      <c r="D66" s="700" t="s">
        <v>28</v>
      </c>
      <c r="E66" s="58"/>
      <c r="F66" s="530"/>
      <c r="G66" s="33" t="s">
        <v>22</v>
      </c>
      <c r="H66" s="626">
        <f>110/3.4528*1000</f>
        <v>31858</v>
      </c>
      <c r="I66" s="496">
        <f>110/3.4528*1000</f>
        <v>31858</v>
      </c>
      <c r="J66" s="509"/>
    </row>
    <row r="67" spans="1:10" s="11" customFormat="1" ht="52.5" customHeight="1" x14ac:dyDescent="0.25">
      <c r="A67" s="526"/>
      <c r="B67" s="528"/>
      <c r="C67" s="386"/>
      <c r="D67" s="1140" t="s">
        <v>203</v>
      </c>
      <c r="E67" s="58"/>
      <c r="F67" s="530"/>
      <c r="G67" s="255" t="s">
        <v>22</v>
      </c>
      <c r="H67" s="567">
        <f>160/3.4528*1000+31000+28000</f>
        <v>105339</v>
      </c>
      <c r="I67" s="490">
        <f>160/3.4528*1000+31000+28000</f>
        <v>105339</v>
      </c>
      <c r="J67" s="509">
        <f>I67-H67</f>
        <v>0</v>
      </c>
    </row>
    <row r="68" spans="1:10" s="11" customFormat="1" ht="39.75" customHeight="1" thickBot="1" x14ac:dyDescent="0.3">
      <c r="A68" s="6"/>
      <c r="B68" s="7"/>
      <c r="C68" s="529"/>
      <c r="D68" s="970"/>
      <c r="E68" s="59"/>
      <c r="F68" s="531"/>
      <c r="G68" s="80" t="s">
        <v>13</v>
      </c>
      <c r="H68" s="500">
        <f>SUM(H65:H67)</f>
        <v>137197</v>
      </c>
      <c r="I68" s="500">
        <f>SUM(I65:I67)</f>
        <v>137197</v>
      </c>
      <c r="J68" s="481">
        <f>SUM(J65:J67)</f>
        <v>0</v>
      </c>
    </row>
    <row r="69" spans="1:10" s="11" customFormat="1" ht="12" customHeight="1" x14ac:dyDescent="0.25">
      <c r="A69" s="883" t="s">
        <v>8</v>
      </c>
      <c r="B69" s="885" t="s">
        <v>14</v>
      </c>
      <c r="C69" s="695" t="s">
        <v>23</v>
      </c>
      <c r="D69" s="889" t="s">
        <v>29</v>
      </c>
      <c r="E69" s="60"/>
      <c r="F69" s="259" t="s">
        <v>30</v>
      </c>
      <c r="G69" s="31" t="s">
        <v>22</v>
      </c>
      <c r="H69" s="617">
        <f>100/3.4528*1000+35000</f>
        <v>63962</v>
      </c>
      <c r="I69" s="492">
        <f>100/3.4528*1000+35000</f>
        <v>63962</v>
      </c>
      <c r="J69" s="482">
        <f>I69-H69</f>
        <v>0</v>
      </c>
    </row>
    <row r="70" spans="1:10" s="11" customFormat="1" ht="12" customHeight="1" x14ac:dyDescent="0.25">
      <c r="A70" s="914"/>
      <c r="B70" s="915"/>
      <c r="C70" s="696"/>
      <c r="D70" s="893"/>
      <c r="E70" s="61"/>
      <c r="F70" s="262"/>
      <c r="G70" s="82" t="s">
        <v>100</v>
      </c>
      <c r="H70" s="625">
        <v>716</v>
      </c>
      <c r="I70" s="491">
        <v>716</v>
      </c>
      <c r="J70" s="365">
        <f>I70-H70</f>
        <v>0</v>
      </c>
    </row>
    <row r="71" spans="1:10" s="11" customFormat="1" x14ac:dyDescent="0.25">
      <c r="A71" s="914"/>
      <c r="B71" s="915"/>
      <c r="C71" s="696"/>
      <c r="D71" s="893"/>
      <c r="E71" s="61"/>
      <c r="F71" s="262"/>
      <c r="G71" s="32" t="s">
        <v>16</v>
      </c>
      <c r="H71" s="624">
        <v>52699</v>
      </c>
      <c r="I71" s="490">
        <v>52699</v>
      </c>
      <c r="J71" s="480">
        <f>I71-H71</f>
        <v>0</v>
      </c>
    </row>
    <row r="72" spans="1:10" s="11" customFormat="1" ht="13.5" thickBot="1" x14ac:dyDescent="0.3">
      <c r="A72" s="677"/>
      <c r="B72" s="679"/>
      <c r="C72" s="696"/>
      <c r="D72" s="890"/>
      <c r="E72" s="61"/>
      <c r="F72" s="262"/>
      <c r="G72" s="80" t="s">
        <v>13</v>
      </c>
      <c r="H72" s="627">
        <f>SUM(H69:H71)</f>
        <v>117377</v>
      </c>
      <c r="I72" s="500">
        <f>SUM(I69:I71)</f>
        <v>117377</v>
      </c>
      <c r="J72" s="481">
        <f>SUM(J69:J71)</f>
        <v>0</v>
      </c>
    </row>
    <row r="73" spans="1:10" s="11" customFormat="1" ht="12" customHeight="1" x14ac:dyDescent="0.25">
      <c r="A73" s="883" t="s">
        <v>8</v>
      </c>
      <c r="B73" s="885" t="s">
        <v>14</v>
      </c>
      <c r="C73" s="695" t="s">
        <v>31</v>
      </c>
      <c r="D73" s="881" t="s">
        <v>32</v>
      </c>
      <c r="E73" s="60"/>
      <c r="F73" s="688" t="s">
        <v>21</v>
      </c>
      <c r="G73" s="33" t="s">
        <v>22</v>
      </c>
      <c r="H73" s="626">
        <f>74.8/3.4528*1000</f>
        <v>21664</v>
      </c>
      <c r="I73" s="496">
        <f>74.8/3.4528*1000</f>
        <v>21664</v>
      </c>
      <c r="J73" s="483"/>
    </row>
    <row r="74" spans="1:10" s="11" customFormat="1" x14ac:dyDescent="0.2">
      <c r="A74" s="914"/>
      <c r="B74" s="915"/>
      <c r="C74" s="696"/>
      <c r="D74" s="880"/>
      <c r="E74" s="62"/>
      <c r="F74" s="270"/>
      <c r="G74" s="20" t="s">
        <v>16</v>
      </c>
      <c r="H74" s="623">
        <f>722.4/3.4528*1000</f>
        <v>209222</v>
      </c>
      <c r="I74" s="472">
        <f>722.4/3.4528*1000</f>
        <v>209222</v>
      </c>
      <c r="J74" s="484"/>
    </row>
    <row r="75" spans="1:10" s="11" customFormat="1" x14ac:dyDescent="0.2">
      <c r="A75" s="677"/>
      <c r="B75" s="679"/>
      <c r="C75" s="696"/>
      <c r="D75" s="880"/>
      <c r="E75" s="62"/>
      <c r="F75" s="270"/>
      <c r="G75" s="19" t="s">
        <v>16</v>
      </c>
      <c r="H75" s="611">
        <f>36.1/3.4528*1000</f>
        <v>10455</v>
      </c>
      <c r="I75" s="489">
        <f>36.1/3.4528*1000</f>
        <v>10455</v>
      </c>
      <c r="J75" s="485"/>
    </row>
    <row r="76" spans="1:10" s="11" customFormat="1" ht="13.5" thickBot="1" x14ac:dyDescent="0.25">
      <c r="A76" s="693"/>
      <c r="B76" s="694"/>
      <c r="C76" s="599"/>
      <c r="D76" s="882"/>
      <c r="E76" s="63"/>
      <c r="F76" s="274"/>
      <c r="G76" s="81" t="s">
        <v>13</v>
      </c>
      <c r="H76" s="229">
        <f>SUM(H73:H75)</f>
        <v>241341</v>
      </c>
      <c r="I76" s="473">
        <f>SUM(I73:I75)</f>
        <v>241341</v>
      </c>
      <c r="J76" s="486"/>
    </row>
    <row r="77" spans="1:10" s="11" customFormat="1" ht="12" customHeight="1" x14ac:dyDescent="0.25">
      <c r="A77" s="883" t="s">
        <v>8</v>
      </c>
      <c r="B77" s="885" t="s">
        <v>14</v>
      </c>
      <c r="C77" s="695" t="s">
        <v>33</v>
      </c>
      <c r="D77" s="985" t="s">
        <v>179</v>
      </c>
      <c r="E77" s="60"/>
      <c r="F77" s="688" t="s">
        <v>61</v>
      </c>
      <c r="G77" s="30" t="s">
        <v>16</v>
      </c>
      <c r="H77" s="614">
        <f>500/3.4528*1000</f>
        <v>144810</v>
      </c>
      <c r="I77" s="476">
        <f>500/3.4528*1000</f>
        <v>144810</v>
      </c>
      <c r="J77" s="479"/>
    </row>
    <row r="78" spans="1:10" s="11" customFormat="1" x14ac:dyDescent="0.2">
      <c r="A78" s="914"/>
      <c r="B78" s="915"/>
      <c r="C78" s="696"/>
      <c r="D78" s="986"/>
      <c r="E78" s="62"/>
      <c r="F78" s="277">
        <v>3</v>
      </c>
      <c r="G78" s="20"/>
      <c r="H78" s="623"/>
      <c r="I78" s="472"/>
      <c r="J78" s="484"/>
    </row>
    <row r="79" spans="1:10" s="11" customFormat="1" ht="13.5" thickBot="1" x14ac:dyDescent="0.25">
      <c r="A79" s="677"/>
      <c r="B79" s="679"/>
      <c r="C79" s="599"/>
      <c r="D79" s="987"/>
      <c r="E79" s="62"/>
      <c r="F79" s="270">
        <v>6</v>
      </c>
      <c r="G79" s="81" t="s">
        <v>13</v>
      </c>
      <c r="H79" s="229">
        <f>SUM(H77:H78)</f>
        <v>144810</v>
      </c>
      <c r="I79" s="473">
        <f>SUM(I77:I78)</f>
        <v>144810</v>
      </c>
      <c r="J79" s="486"/>
    </row>
    <row r="80" spans="1:10" s="11" customFormat="1" ht="13.5" customHeight="1" x14ac:dyDescent="0.25">
      <c r="A80" s="883" t="s">
        <v>8</v>
      </c>
      <c r="B80" s="885" t="s">
        <v>14</v>
      </c>
      <c r="C80" s="695" t="s">
        <v>60</v>
      </c>
      <c r="D80" s="988" t="s">
        <v>180</v>
      </c>
      <c r="E80" s="991"/>
      <c r="F80" s="996" t="s">
        <v>21</v>
      </c>
      <c r="G80" s="20" t="s">
        <v>36</v>
      </c>
      <c r="H80" s="623">
        <f>390.2/3.4528*1000</f>
        <v>113010</v>
      </c>
      <c r="I80" s="472">
        <f>390.2/3.4528*1000</f>
        <v>113010</v>
      </c>
      <c r="J80" s="488"/>
    </row>
    <row r="81" spans="1:19" s="11" customFormat="1" ht="13.5" customHeight="1" x14ac:dyDescent="0.25">
      <c r="A81" s="914"/>
      <c r="B81" s="915"/>
      <c r="C81" s="723"/>
      <c r="D81" s="989"/>
      <c r="E81" s="992"/>
      <c r="F81" s="997"/>
      <c r="G81" s="19" t="s">
        <v>22</v>
      </c>
      <c r="H81" s="724">
        <v>15619</v>
      </c>
      <c r="I81" s="493">
        <v>15619</v>
      </c>
      <c r="J81" s="725">
        <f>I81-H81</f>
        <v>0</v>
      </c>
    </row>
    <row r="82" spans="1:19" s="11" customFormat="1" ht="13.5" customHeight="1" x14ac:dyDescent="0.25">
      <c r="A82" s="914"/>
      <c r="B82" s="915"/>
      <c r="C82" s="696"/>
      <c r="D82" s="989"/>
      <c r="E82" s="992"/>
      <c r="F82" s="997"/>
      <c r="G82" s="29" t="s">
        <v>12</v>
      </c>
      <c r="H82" s="608">
        <f>347.8/3.4528*1000</f>
        <v>100730</v>
      </c>
      <c r="I82" s="474">
        <f>347.8/3.4528*1000</f>
        <v>100730</v>
      </c>
      <c r="J82" s="484"/>
    </row>
    <row r="83" spans="1:19" s="11" customFormat="1" ht="13.5" customHeight="1" x14ac:dyDescent="0.25">
      <c r="A83" s="721"/>
      <c r="B83" s="722"/>
      <c r="C83" s="723"/>
      <c r="D83" s="989"/>
      <c r="E83" s="992"/>
      <c r="F83" s="997"/>
      <c r="G83" s="29" t="s">
        <v>22</v>
      </c>
      <c r="H83" s="608">
        <v>15238</v>
      </c>
      <c r="I83" s="474">
        <v>15238</v>
      </c>
      <c r="J83" s="505">
        <f>I83-H83</f>
        <v>0</v>
      </c>
    </row>
    <row r="84" spans="1:19" s="11" customFormat="1" ht="13.5" customHeight="1" x14ac:dyDescent="0.25">
      <c r="A84" s="677"/>
      <c r="B84" s="679"/>
      <c r="C84" s="696"/>
      <c r="D84" s="989"/>
      <c r="E84" s="992"/>
      <c r="F84" s="997"/>
      <c r="G84" s="19" t="s">
        <v>12</v>
      </c>
      <c r="H84" s="612">
        <f>327.2/3.4528*1000</f>
        <v>94764</v>
      </c>
      <c r="I84" s="474">
        <f>327.2/3.4528*1000</f>
        <v>94764</v>
      </c>
      <c r="J84" s="505"/>
    </row>
    <row r="85" spans="1:19" s="11" customFormat="1" ht="15" customHeight="1" thickBot="1" x14ac:dyDescent="0.3">
      <c r="A85" s="693"/>
      <c r="B85" s="694"/>
      <c r="C85" s="599"/>
      <c r="D85" s="990"/>
      <c r="E85" s="993"/>
      <c r="F85" s="998"/>
      <c r="G85" s="78" t="s">
        <v>13</v>
      </c>
      <c r="H85" s="229">
        <f>SUM(H80:H84)</f>
        <v>339361</v>
      </c>
      <c r="I85" s="473">
        <f>SUM(I80:I84)</f>
        <v>339361</v>
      </c>
      <c r="J85" s="258">
        <f>SUM(J81:J84)</f>
        <v>0</v>
      </c>
    </row>
    <row r="86" spans="1:19" s="11" customFormat="1" ht="16.5" customHeight="1" x14ac:dyDescent="0.25">
      <c r="A86" s="676" t="s">
        <v>8</v>
      </c>
      <c r="B86" s="678" t="s">
        <v>14</v>
      </c>
      <c r="C86" s="695" t="s">
        <v>73</v>
      </c>
      <c r="D86" s="889" t="s">
        <v>181</v>
      </c>
      <c r="E86" s="991"/>
      <c r="F86" s="996" t="s">
        <v>21</v>
      </c>
      <c r="G86" s="17" t="s">
        <v>36</v>
      </c>
      <c r="H86" s="613">
        <f>653.8/3.4528*1000</f>
        <v>189354</v>
      </c>
      <c r="I86" s="475">
        <f>653.8/3.4528*1000</f>
        <v>189354</v>
      </c>
      <c r="J86" s="488"/>
    </row>
    <row r="87" spans="1:19" s="11" customFormat="1" ht="16.5" customHeight="1" x14ac:dyDescent="0.25">
      <c r="A87" s="677"/>
      <c r="B87" s="679"/>
      <c r="C87" s="696"/>
      <c r="D87" s="893"/>
      <c r="E87" s="992"/>
      <c r="F87" s="997"/>
      <c r="G87" s="19" t="s">
        <v>16</v>
      </c>
      <c r="H87" s="628">
        <f>115.4/3.4528*1000</f>
        <v>33422</v>
      </c>
      <c r="I87" s="493">
        <f>115.4/3.4528*1000</f>
        <v>33422</v>
      </c>
      <c r="J87" s="505"/>
      <c r="S87" s="12"/>
    </row>
    <row r="88" spans="1:19" s="11" customFormat="1" ht="13.5" thickBot="1" x14ac:dyDescent="0.3">
      <c r="A88" s="693"/>
      <c r="B88" s="694"/>
      <c r="C88" s="599"/>
      <c r="D88" s="890"/>
      <c r="E88" s="993"/>
      <c r="F88" s="998"/>
      <c r="G88" s="633" t="s">
        <v>13</v>
      </c>
      <c r="H88" s="629">
        <f>SUM(H86:H87)</f>
        <v>222776</v>
      </c>
      <c r="I88" s="494">
        <f>SUM(I86:I87)</f>
        <v>222776</v>
      </c>
      <c r="J88" s="513"/>
      <c r="M88" s="12"/>
    </row>
    <row r="89" spans="1:19" s="11" customFormat="1" ht="13.5" customHeight="1" x14ac:dyDescent="0.25">
      <c r="A89" s="676" t="s">
        <v>8</v>
      </c>
      <c r="B89" s="678" t="s">
        <v>14</v>
      </c>
      <c r="C89" s="695" t="s">
        <v>11</v>
      </c>
      <c r="D89" s="994" t="s">
        <v>146</v>
      </c>
      <c r="E89" s="991"/>
      <c r="F89" s="996" t="s">
        <v>21</v>
      </c>
      <c r="G89" s="17" t="s">
        <v>22</v>
      </c>
      <c r="H89" s="609">
        <f>14585+13500</f>
        <v>28085</v>
      </c>
      <c r="I89" s="475">
        <f>14585+13500</f>
        <v>28085</v>
      </c>
      <c r="J89" s="488">
        <f>I89-H89</f>
        <v>0</v>
      </c>
    </row>
    <row r="90" spans="1:19" s="11" customFormat="1" ht="13.5" customHeight="1" thickBot="1" x14ac:dyDescent="0.3">
      <c r="A90" s="693"/>
      <c r="B90" s="694"/>
      <c r="C90" s="599"/>
      <c r="D90" s="995"/>
      <c r="E90" s="993"/>
      <c r="F90" s="998"/>
      <c r="G90" s="78" t="s">
        <v>13</v>
      </c>
      <c r="H90" s="473">
        <f>SUM(H89:H89)</f>
        <v>28085</v>
      </c>
      <c r="I90" s="473">
        <f>SUM(I89:I89)</f>
        <v>28085</v>
      </c>
      <c r="J90" s="258">
        <f>J89</f>
        <v>0</v>
      </c>
    </row>
    <row r="91" spans="1:19" s="11" customFormat="1" ht="13.5" thickBot="1" x14ac:dyDescent="0.3">
      <c r="A91" s="14" t="s">
        <v>8</v>
      </c>
      <c r="B91" s="15" t="s">
        <v>14</v>
      </c>
      <c r="C91" s="1055" t="s">
        <v>25</v>
      </c>
      <c r="D91" s="1055"/>
      <c r="E91" s="1055"/>
      <c r="F91" s="1055"/>
      <c r="G91" s="1078"/>
      <c r="H91" s="163">
        <f>H90+H88+H85+H79+H76+H72+H68+H64+H55+H52</f>
        <v>5823854</v>
      </c>
      <c r="I91" s="495">
        <f>I90+I88+I85+I79+I76+I72+I68+I64+I55+I52</f>
        <v>5823854</v>
      </c>
      <c r="J91" s="508">
        <f>J90+J88+J85+J79+J76+J72+J68+J64+J55+J52</f>
        <v>0</v>
      </c>
    </row>
    <row r="92" spans="1:19" s="11" customFormat="1" ht="13.5" thickBot="1" x14ac:dyDescent="0.3">
      <c r="A92" s="35" t="s">
        <v>8</v>
      </c>
      <c r="B92" s="15" t="s">
        <v>17</v>
      </c>
      <c r="C92" s="1082" t="s">
        <v>34</v>
      </c>
      <c r="D92" s="1082"/>
      <c r="E92" s="1082"/>
      <c r="F92" s="1082"/>
      <c r="G92" s="1082"/>
      <c r="H92" s="1082"/>
      <c r="I92" s="1082"/>
      <c r="J92" s="1083"/>
    </row>
    <row r="93" spans="1:19" s="12" customFormat="1" ht="43.5" customHeight="1" x14ac:dyDescent="0.25">
      <c r="A93" s="46" t="s">
        <v>8</v>
      </c>
      <c r="B93" s="678" t="s">
        <v>17</v>
      </c>
      <c r="C93" s="534" t="s">
        <v>8</v>
      </c>
      <c r="D93" s="303" t="s">
        <v>35</v>
      </c>
      <c r="E93" s="304"/>
      <c r="F93" s="305"/>
      <c r="G93" s="107"/>
      <c r="H93" s="617"/>
      <c r="I93" s="492"/>
      <c r="J93" s="482"/>
    </row>
    <row r="94" spans="1:19" s="12" customFormat="1" ht="13.5" customHeight="1" x14ac:dyDescent="0.25">
      <c r="A94" s="44"/>
      <c r="B94" s="679"/>
      <c r="C94" s="94"/>
      <c r="D94" s="926" t="s">
        <v>182</v>
      </c>
      <c r="E94" s="312" t="s">
        <v>83</v>
      </c>
      <c r="F94" s="666">
        <v>5</v>
      </c>
      <c r="G94" s="41" t="s">
        <v>47</v>
      </c>
      <c r="H94" s="618">
        <v>17957</v>
      </c>
      <c r="I94" s="601">
        <v>17957</v>
      </c>
      <c r="J94" s="509">
        <f>I94-H94</f>
        <v>0</v>
      </c>
      <c r="K94" s="188"/>
    </row>
    <row r="95" spans="1:19" s="12" customFormat="1" ht="13.5" customHeight="1" x14ac:dyDescent="0.25">
      <c r="A95" s="44"/>
      <c r="B95" s="679"/>
      <c r="C95" s="94"/>
      <c r="D95" s="926"/>
      <c r="E95" s="312"/>
      <c r="F95" s="666"/>
      <c r="G95" s="37" t="s">
        <v>22</v>
      </c>
      <c r="H95" s="619">
        <f>24096+1373</f>
        <v>25469</v>
      </c>
      <c r="I95" s="654">
        <f>24096+1373</f>
        <v>25469</v>
      </c>
      <c r="J95" s="365">
        <f>I95-H95</f>
        <v>0</v>
      </c>
      <c r="K95" s="188"/>
    </row>
    <row r="96" spans="1:19" s="12" customFormat="1" ht="13.5" customHeight="1" x14ac:dyDescent="0.25">
      <c r="A96" s="44"/>
      <c r="B96" s="679"/>
      <c r="C96" s="94"/>
      <c r="D96" s="926"/>
      <c r="E96" s="312"/>
      <c r="F96" s="666"/>
      <c r="G96" s="40" t="s">
        <v>36</v>
      </c>
      <c r="H96" s="620">
        <v>127260</v>
      </c>
      <c r="I96" s="602">
        <v>127260</v>
      </c>
      <c r="J96" s="504">
        <f>I96-H96</f>
        <v>0</v>
      </c>
      <c r="K96" s="188"/>
    </row>
    <row r="97" spans="1:10" s="12" customFormat="1" ht="13.5" customHeight="1" x14ac:dyDescent="0.25">
      <c r="A97" s="44"/>
      <c r="B97" s="679"/>
      <c r="C97" s="101"/>
      <c r="D97" s="926"/>
      <c r="E97" s="312"/>
      <c r="F97" s="666"/>
      <c r="G97" s="369" t="s">
        <v>13</v>
      </c>
      <c r="H97" s="499">
        <f>SUM(H94:H96)</f>
        <v>170686</v>
      </c>
      <c r="I97" s="499">
        <f>SUM(I94:I96)</f>
        <v>170686</v>
      </c>
      <c r="J97" s="516">
        <f>SUM(J94:J96)</f>
        <v>0</v>
      </c>
    </row>
    <row r="98" spans="1:10" s="12" customFormat="1" ht="13.5" customHeight="1" x14ac:dyDescent="0.25">
      <c r="A98" s="44"/>
      <c r="B98" s="679"/>
      <c r="C98" s="94"/>
      <c r="D98" s="1087" t="s">
        <v>183</v>
      </c>
      <c r="E98" s="535" t="s">
        <v>83</v>
      </c>
      <c r="F98" s="330">
        <v>5</v>
      </c>
      <c r="G98" s="38" t="s">
        <v>47</v>
      </c>
      <c r="H98" s="619">
        <f>75.4/3.4528*1000</f>
        <v>21837</v>
      </c>
      <c r="I98" s="566">
        <f>75.4/3.4528*1000</f>
        <v>21837</v>
      </c>
      <c r="J98" s="537"/>
    </row>
    <row r="99" spans="1:10" s="12" customFormat="1" ht="13.5" customHeight="1" x14ac:dyDescent="0.25">
      <c r="A99" s="44"/>
      <c r="B99" s="679"/>
      <c r="C99" s="94"/>
      <c r="D99" s="926"/>
      <c r="E99" s="326"/>
      <c r="F99" s="39"/>
      <c r="G99" s="37" t="s">
        <v>22</v>
      </c>
      <c r="H99" s="619">
        <f>22967+2043</f>
        <v>25010</v>
      </c>
      <c r="I99" s="566">
        <f>22967+2043</f>
        <v>25010</v>
      </c>
      <c r="J99" s="480">
        <f>I99-H99</f>
        <v>0</v>
      </c>
    </row>
    <row r="100" spans="1:10" s="12" customFormat="1" ht="13.5" customHeight="1" x14ac:dyDescent="0.25">
      <c r="A100" s="44"/>
      <c r="B100" s="679"/>
      <c r="C100" s="94"/>
      <c r="D100" s="926"/>
      <c r="E100" s="326"/>
      <c r="F100" s="39"/>
      <c r="G100" s="41" t="s">
        <v>36</v>
      </c>
      <c r="H100" s="618">
        <v>145361</v>
      </c>
      <c r="I100" s="603">
        <v>145361</v>
      </c>
      <c r="J100" s="509">
        <f>I100-H100</f>
        <v>0</v>
      </c>
    </row>
    <row r="101" spans="1:10" s="12" customFormat="1" ht="13.5" customHeight="1" x14ac:dyDescent="0.25">
      <c r="A101" s="44"/>
      <c r="B101" s="679"/>
      <c r="C101" s="94"/>
      <c r="D101" s="926"/>
      <c r="E101" s="326"/>
      <c r="F101" s="39"/>
      <c r="G101" s="98" t="s">
        <v>13</v>
      </c>
      <c r="H101" s="511">
        <f>SUM(H98:H100)</f>
        <v>192208</v>
      </c>
      <c r="I101" s="511">
        <f>SUM(I98:I100)</f>
        <v>192208</v>
      </c>
      <c r="J101" s="516">
        <f>SUM(J98:J100)</f>
        <v>0</v>
      </c>
    </row>
    <row r="102" spans="1:10" s="12" customFormat="1" ht="13.5" customHeight="1" x14ac:dyDescent="0.25">
      <c r="A102" s="44"/>
      <c r="B102" s="679"/>
      <c r="C102" s="94"/>
      <c r="D102" s="1087" t="s">
        <v>184</v>
      </c>
      <c r="E102" s="329" t="s">
        <v>83</v>
      </c>
      <c r="F102" s="330">
        <v>5</v>
      </c>
      <c r="G102" s="38" t="s">
        <v>22</v>
      </c>
      <c r="H102" s="621">
        <f>80.3/3.4528*1000</f>
        <v>23256</v>
      </c>
      <c r="I102" s="497">
        <f>80.3/3.4528*1000</f>
        <v>23256</v>
      </c>
      <c r="J102" s="537"/>
    </row>
    <row r="103" spans="1:10" s="12" customFormat="1" ht="13.5" customHeight="1" x14ac:dyDescent="0.25">
      <c r="A103" s="44"/>
      <c r="B103" s="679"/>
      <c r="C103" s="94"/>
      <c r="D103" s="926"/>
      <c r="E103" s="326"/>
      <c r="F103" s="39"/>
      <c r="G103" s="38" t="s">
        <v>36</v>
      </c>
      <c r="H103" s="621">
        <f>338.5/3.4528*1000</f>
        <v>98036</v>
      </c>
      <c r="I103" s="497">
        <f>338.5/3.4528*1000</f>
        <v>98036</v>
      </c>
      <c r="J103" s="504"/>
    </row>
    <row r="104" spans="1:10" s="12" customFormat="1" ht="13.5" customHeight="1" x14ac:dyDescent="0.25">
      <c r="A104" s="44"/>
      <c r="B104" s="679"/>
      <c r="C104" s="94"/>
      <c r="D104" s="926"/>
      <c r="E104" s="326"/>
      <c r="F104" s="39"/>
      <c r="G104" s="99" t="s">
        <v>13</v>
      </c>
      <c r="H104" s="512">
        <f>SUM(H102:H103)</f>
        <v>121292</v>
      </c>
      <c r="I104" s="512">
        <f>SUM(I102:I103)</f>
        <v>121292</v>
      </c>
      <c r="J104" s="555"/>
    </row>
    <row r="105" spans="1:10" s="27" customFormat="1" ht="13.5" customHeight="1" thickBot="1" x14ac:dyDescent="0.3">
      <c r="A105" s="336"/>
      <c r="B105" s="694"/>
      <c r="C105" s="104"/>
      <c r="D105" s="929"/>
      <c r="E105" s="1075" t="s">
        <v>128</v>
      </c>
      <c r="F105" s="1076"/>
      <c r="G105" s="1077"/>
      <c r="H105" s="500">
        <f>H104+H101+H97</f>
        <v>484186</v>
      </c>
      <c r="I105" s="500">
        <f>I104+I101+I97</f>
        <v>484186</v>
      </c>
      <c r="J105" s="481">
        <f>J104+J101+J97</f>
        <v>0</v>
      </c>
    </row>
    <row r="106" spans="1:10" s="12" customFormat="1" ht="42" customHeight="1" x14ac:dyDescent="0.25">
      <c r="A106" s="46" t="s">
        <v>8</v>
      </c>
      <c r="B106" s="704" t="s">
        <v>17</v>
      </c>
      <c r="C106" s="534" t="s">
        <v>14</v>
      </c>
      <c r="D106" s="303" t="s">
        <v>38</v>
      </c>
      <c r="E106" s="165"/>
      <c r="F106" s="341"/>
      <c r="G106" s="565"/>
      <c r="H106" s="617"/>
      <c r="I106" s="492"/>
      <c r="J106" s="482"/>
    </row>
    <row r="107" spans="1:10" s="12" customFormat="1" x14ac:dyDescent="0.25">
      <c r="A107" s="44"/>
      <c r="B107" s="679"/>
      <c r="C107" s="94"/>
      <c r="D107" s="926" t="s">
        <v>201</v>
      </c>
      <c r="E107" s="711" t="s">
        <v>52</v>
      </c>
      <c r="F107" s="708">
        <v>5</v>
      </c>
      <c r="G107" s="41" t="s">
        <v>22</v>
      </c>
      <c r="H107" s="567">
        <f>93924+10207</f>
        <v>104131</v>
      </c>
      <c r="I107" s="490">
        <f>93924+10207</f>
        <v>104131</v>
      </c>
      <c r="J107" s="509">
        <f>I107-H107</f>
        <v>0</v>
      </c>
    </row>
    <row r="108" spans="1:10" s="12" customFormat="1" ht="32.25" customHeight="1" x14ac:dyDescent="0.25">
      <c r="A108" s="44"/>
      <c r="B108" s="679"/>
      <c r="C108" s="94"/>
      <c r="D108" s="926"/>
      <c r="E108" s="348"/>
      <c r="F108" s="64"/>
      <c r="G108" s="65" t="s">
        <v>36</v>
      </c>
      <c r="H108" s="621">
        <v>21041</v>
      </c>
      <c r="I108" s="497">
        <v>21041</v>
      </c>
      <c r="J108" s="509">
        <f t="shared" ref="J108:J109" si="2">I108-H108</f>
        <v>0</v>
      </c>
    </row>
    <row r="109" spans="1:10" s="12" customFormat="1" ht="49.5" customHeight="1" x14ac:dyDescent="0.25">
      <c r="A109" s="44"/>
      <c r="B109" s="679"/>
      <c r="C109" s="94"/>
      <c r="D109" s="926"/>
      <c r="E109" s="348"/>
      <c r="F109" s="64"/>
      <c r="G109" s="65" t="s">
        <v>16</v>
      </c>
      <c r="H109" s="567">
        <v>3713</v>
      </c>
      <c r="I109" s="490">
        <v>3713</v>
      </c>
      <c r="J109" s="509">
        <f t="shared" si="2"/>
        <v>0</v>
      </c>
    </row>
    <row r="110" spans="1:10" s="12" customFormat="1" ht="11.25" customHeight="1" x14ac:dyDescent="0.25">
      <c r="A110" s="44"/>
      <c r="B110" s="679"/>
      <c r="C110" s="94"/>
      <c r="D110" s="1084"/>
      <c r="E110" s="348"/>
      <c r="F110" s="64"/>
      <c r="G110" s="350" t="s">
        <v>13</v>
      </c>
      <c r="H110" s="512">
        <f>SUM(H107:H109)</f>
        <v>128885</v>
      </c>
      <c r="I110" s="512">
        <f>SUM(I107:I109)</f>
        <v>128885</v>
      </c>
      <c r="J110" s="555">
        <f>SUM(J107:J109)</f>
        <v>0</v>
      </c>
    </row>
    <row r="111" spans="1:10" s="12" customFormat="1" ht="18.75" customHeight="1" x14ac:dyDescent="0.25">
      <c r="A111" s="44"/>
      <c r="B111" s="679"/>
      <c r="C111" s="94"/>
      <c r="D111" s="946" t="s">
        <v>162</v>
      </c>
      <c r="E111" s="348"/>
      <c r="F111" s="64"/>
      <c r="G111" s="38" t="s">
        <v>22</v>
      </c>
      <c r="H111" s="621">
        <f>30/3.4528*1000</f>
        <v>8689</v>
      </c>
      <c r="I111" s="497">
        <f>30/3.4528*1000</f>
        <v>8689</v>
      </c>
      <c r="J111" s="537"/>
    </row>
    <row r="112" spans="1:10" s="12" customFormat="1" x14ac:dyDescent="0.25">
      <c r="A112" s="44"/>
      <c r="B112" s="679"/>
      <c r="C112" s="94"/>
      <c r="D112" s="947"/>
      <c r="E112" s="356"/>
      <c r="F112" s="66"/>
      <c r="G112" s="350" t="s">
        <v>13</v>
      </c>
      <c r="H112" s="512">
        <f>SUM(H111:H111)</f>
        <v>8689</v>
      </c>
      <c r="I112" s="512">
        <f>SUM(I111:I111)</f>
        <v>8689</v>
      </c>
      <c r="J112" s="555"/>
    </row>
    <row r="113" spans="1:17" s="12" customFormat="1" ht="15" customHeight="1" x14ac:dyDescent="0.25">
      <c r="A113" s="44"/>
      <c r="B113" s="679"/>
      <c r="C113" s="94"/>
      <c r="D113" s="1005" t="s">
        <v>137</v>
      </c>
      <c r="E113" s="348"/>
      <c r="F113" s="64"/>
      <c r="G113" s="38" t="s">
        <v>22</v>
      </c>
      <c r="H113" s="621"/>
      <c r="I113" s="497"/>
      <c r="J113" s="537"/>
    </row>
    <row r="114" spans="1:17" s="12" customFormat="1" ht="15" customHeight="1" x14ac:dyDescent="0.25">
      <c r="A114" s="44"/>
      <c r="B114" s="679"/>
      <c r="C114" s="94"/>
      <c r="D114" s="946"/>
      <c r="E114" s="356"/>
      <c r="F114" s="66"/>
      <c r="G114" s="38" t="s">
        <v>36</v>
      </c>
      <c r="H114" s="621"/>
      <c r="I114" s="497"/>
      <c r="J114" s="537"/>
    </row>
    <row r="115" spans="1:17" s="12" customFormat="1" x14ac:dyDescent="0.25">
      <c r="A115" s="44"/>
      <c r="B115" s="679"/>
      <c r="C115" s="101"/>
      <c r="D115" s="947"/>
      <c r="E115" s="357"/>
      <c r="F115" s="358"/>
      <c r="G115" s="350" t="s">
        <v>13</v>
      </c>
      <c r="H115" s="512"/>
      <c r="I115" s="512"/>
      <c r="J115" s="555"/>
    </row>
    <row r="116" spans="1:17" ht="28.5" customHeight="1" x14ac:dyDescent="0.2">
      <c r="A116" s="44"/>
      <c r="B116" s="679"/>
      <c r="C116" s="101"/>
      <c r="D116" s="675" t="s">
        <v>148</v>
      </c>
      <c r="E116" s="75"/>
      <c r="F116" s="360" t="s">
        <v>30</v>
      </c>
      <c r="G116" s="532" t="s">
        <v>22</v>
      </c>
      <c r="H116" s="608">
        <f>10/3.4528*1000</f>
        <v>2896</v>
      </c>
      <c r="I116" s="474">
        <f>10/3.4528*1000</f>
        <v>2896</v>
      </c>
      <c r="J116" s="487"/>
      <c r="M116" s="42"/>
      <c r="N116" s="42"/>
      <c r="O116" s="42"/>
    </row>
    <row r="117" spans="1:17" s="12" customFormat="1" ht="42.75" customHeight="1" x14ac:dyDescent="0.25">
      <c r="A117" s="410"/>
      <c r="B117" s="216"/>
      <c r="C117" s="712"/>
      <c r="D117" s="713" t="s">
        <v>178</v>
      </c>
      <c r="E117" s="319"/>
      <c r="F117" s="714"/>
      <c r="G117" s="37" t="s">
        <v>22</v>
      </c>
      <c r="H117" s="567">
        <f>100/3.4528*1000</f>
        <v>28962</v>
      </c>
      <c r="I117" s="490">
        <f>100/3.4528*1000</f>
        <v>28962</v>
      </c>
      <c r="J117" s="480"/>
    </row>
    <row r="118" spans="1:17" s="12" customFormat="1" ht="29.25" customHeight="1" x14ac:dyDescent="0.25">
      <c r="A118" s="44"/>
      <c r="B118" s="679"/>
      <c r="C118" s="94"/>
      <c r="D118" s="946" t="s">
        <v>135</v>
      </c>
      <c r="E118" s="1097"/>
      <c r="F118" s="1116"/>
      <c r="G118" s="40" t="s">
        <v>22</v>
      </c>
      <c r="H118" s="571">
        <f>60/3.4528*1000-7553</f>
        <v>9824</v>
      </c>
      <c r="I118" s="491">
        <f>60/3.4528*1000-7553</f>
        <v>9824</v>
      </c>
      <c r="J118" s="365">
        <f>I118-H118</f>
        <v>0</v>
      </c>
    </row>
    <row r="119" spans="1:17" s="11" customFormat="1" ht="13.5" customHeight="1" x14ac:dyDescent="0.25">
      <c r="A119" s="44"/>
      <c r="B119" s="679"/>
      <c r="C119" s="94"/>
      <c r="D119" s="946"/>
      <c r="E119" s="1097"/>
      <c r="F119" s="1116"/>
      <c r="G119" s="369" t="s">
        <v>13</v>
      </c>
      <c r="H119" s="499">
        <f>SUM(H116:H118)</f>
        <v>41682</v>
      </c>
      <c r="I119" s="499">
        <f>SUM(I116:I118)</f>
        <v>41682</v>
      </c>
      <c r="J119" s="554">
        <f>J118</f>
        <v>0</v>
      </c>
    </row>
    <row r="120" spans="1:17" s="11" customFormat="1" ht="13.5" customHeight="1" thickBot="1" x14ac:dyDescent="0.3">
      <c r="A120" s="336"/>
      <c r="B120" s="21"/>
      <c r="C120" s="371"/>
      <c r="D120" s="1096"/>
      <c r="E120" s="1093" t="s">
        <v>128</v>
      </c>
      <c r="F120" s="1094"/>
      <c r="G120" s="1095"/>
      <c r="H120" s="140">
        <f>H119+H115+H112+H110</f>
        <v>179256</v>
      </c>
      <c r="I120" s="473">
        <f>I119+I115+I112+I110</f>
        <v>179256</v>
      </c>
      <c r="J120" s="258">
        <f>J119+J115+J112+J110</f>
        <v>0</v>
      </c>
    </row>
    <row r="121" spans="1:17" s="11" customFormat="1" ht="13.5" thickBot="1" x14ac:dyDescent="0.3">
      <c r="A121" s="14" t="s">
        <v>8</v>
      </c>
      <c r="B121" s="43" t="s">
        <v>17</v>
      </c>
      <c r="C121" s="1101" t="s">
        <v>25</v>
      </c>
      <c r="D121" s="1055"/>
      <c r="E121" s="1055"/>
      <c r="F121" s="1055"/>
      <c r="G121" s="1078"/>
      <c r="H121" s="373">
        <f>H120+H105</f>
        <v>663442</v>
      </c>
      <c r="I121" s="498">
        <f>I120+I105</f>
        <v>663442</v>
      </c>
      <c r="J121" s="556">
        <f>J120+J105</f>
        <v>0</v>
      </c>
    </row>
    <row r="122" spans="1:17" ht="13.5" thickBot="1" x14ac:dyDescent="0.25">
      <c r="A122" s="14" t="s">
        <v>8</v>
      </c>
      <c r="B122" s="43" t="s">
        <v>19</v>
      </c>
      <c r="C122" s="980" t="s">
        <v>85</v>
      </c>
      <c r="D122" s="981"/>
      <c r="E122" s="981"/>
      <c r="F122" s="981"/>
      <c r="G122" s="981"/>
      <c r="H122" s="981"/>
      <c r="I122" s="981"/>
      <c r="J122" s="982"/>
    </row>
    <row r="123" spans="1:17" x14ac:dyDescent="0.2">
      <c r="A123" s="46" t="s">
        <v>8</v>
      </c>
      <c r="B123" s="47" t="s">
        <v>19</v>
      </c>
      <c r="C123" s="106" t="s">
        <v>8</v>
      </c>
      <c r="D123" s="375" t="s">
        <v>136</v>
      </c>
      <c r="E123" s="376"/>
      <c r="F123" s="377"/>
      <c r="G123" s="36"/>
      <c r="H123" s="610"/>
      <c r="I123" s="476"/>
      <c r="J123" s="479"/>
    </row>
    <row r="124" spans="1:17" ht="15" customHeight="1" x14ac:dyDescent="0.2">
      <c r="A124" s="44"/>
      <c r="B124" s="45"/>
      <c r="C124" s="103"/>
      <c r="D124" s="378" t="s">
        <v>149</v>
      </c>
      <c r="E124" s="359"/>
      <c r="F124" s="379" t="s">
        <v>48</v>
      </c>
      <c r="G124" s="37" t="s">
        <v>22</v>
      </c>
      <c r="H124" s="567">
        <f>400/3.4528*1000</f>
        <v>115848</v>
      </c>
      <c r="I124" s="490">
        <f>400/3.4528*1000</f>
        <v>115848</v>
      </c>
      <c r="J124" s="480"/>
    </row>
    <row r="125" spans="1:17" ht="15" customHeight="1" x14ac:dyDescent="0.2">
      <c r="A125" s="44"/>
      <c r="B125" s="45"/>
      <c r="C125" s="103"/>
      <c r="D125" s="384"/>
      <c r="E125" s="385"/>
      <c r="F125" s="91"/>
      <c r="G125" s="86" t="s">
        <v>189</v>
      </c>
      <c r="H125" s="622">
        <v>94138</v>
      </c>
      <c r="I125" s="588">
        <v>94138</v>
      </c>
      <c r="J125" s="504">
        <f>I125-H125</f>
        <v>0</v>
      </c>
    </row>
    <row r="126" spans="1:17" x14ac:dyDescent="0.2">
      <c r="A126" s="44"/>
      <c r="B126" s="45"/>
      <c r="C126" s="103"/>
      <c r="D126" s="384"/>
      <c r="E126" s="385"/>
      <c r="F126" s="386"/>
      <c r="G126" s="390" t="s">
        <v>13</v>
      </c>
      <c r="H126" s="499">
        <f>SUM(H124:H125)</f>
        <v>209986</v>
      </c>
      <c r="I126" s="499">
        <f>SUM(I124:I125)</f>
        <v>209986</v>
      </c>
      <c r="J126" s="515">
        <f>SUM(J124:J125)</f>
        <v>0</v>
      </c>
    </row>
    <row r="127" spans="1:17" ht="12" customHeight="1" x14ac:dyDescent="0.2">
      <c r="A127" s="44"/>
      <c r="B127" s="45"/>
      <c r="C127" s="103"/>
      <c r="D127" s="978" t="s">
        <v>138</v>
      </c>
      <c r="E127" s="395" t="s">
        <v>52</v>
      </c>
      <c r="F127" s="379" t="s">
        <v>84</v>
      </c>
      <c r="G127" s="37" t="s">
        <v>189</v>
      </c>
      <c r="H127" s="567">
        <f>53.7/3.4528*1000</f>
        <v>15553</v>
      </c>
      <c r="I127" s="490">
        <f>53.7/3.4528*1000</f>
        <v>15553</v>
      </c>
      <c r="J127" s="537">
        <f>I127-H127</f>
        <v>0</v>
      </c>
      <c r="K127" s="452"/>
      <c r="Q127" s="42"/>
    </row>
    <row r="128" spans="1:17" ht="14.25" customHeight="1" x14ac:dyDescent="0.2">
      <c r="A128" s="44"/>
      <c r="B128" s="45"/>
      <c r="C128" s="103"/>
      <c r="D128" s="893"/>
      <c r="E128" s="976" t="s">
        <v>139</v>
      </c>
      <c r="F128" s="91"/>
      <c r="G128" s="41" t="s">
        <v>22</v>
      </c>
      <c r="H128" s="570"/>
      <c r="I128" s="496"/>
      <c r="J128" s="504"/>
    </row>
    <row r="129" spans="1:17" x14ac:dyDescent="0.2">
      <c r="A129" s="44"/>
      <c r="B129" s="45"/>
      <c r="C129" s="103"/>
      <c r="D129" s="893"/>
      <c r="E129" s="977"/>
      <c r="F129" s="386"/>
      <c r="G129" s="38" t="s">
        <v>36</v>
      </c>
      <c r="H129" s="621"/>
      <c r="I129" s="497"/>
      <c r="J129" s="537"/>
      <c r="N129" s="42"/>
    </row>
    <row r="130" spans="1:17" x14ac:dyDescent="0.2">
      <c r="A130" s="44"/>
      <c r="B130" s="45"/>
      <c r="C130" s="103"/>
      <c r="D130" s="979"/>
      <c r="E130" s="977"/>
      <c r="F130" s="386"/>
      <c r="G130" s="99" t="s">
        <v>13</v>
      </c>
      <c r="H130" s="512">
        <f>SUM(H127:H129)</f>
        <v>15553</v>
      </c>
      <c r="I130" s="512">
        <f>SUM(I127:I129)</f>
        <v>15553</v>
      </c>
      <c r="J130" s="555">
        <f>SUM(J127:J129)</f>
        <v>0</v>
      </c>
    </row>
    <row r="131" spans="1:17" ht="15.75" customHeight="1" x14ac:dyDescent="0.2">
      <c r="A131" s="44"/>
      <c r="B131" s="45"/>
      <c r="C131" s="103"/>
      <c r="D131" s="893" t="s">
        <v>141</v>
      </c>
      <c r="E131" s="67"/>
      <c r="F131" s="386"/>
      <c r="G131" s="40" t="s">
        <v>189</v>
      </c>
      <c r="H131" s="571">
        <f>112.6/3.4528*1000</f>
        <v>32611</v>
      </c>
      <c r="I131" s="491">
        <f>112.6/3.4528*1000</f>
        <v>32611</v>
      </c>
      <c r="J131" s="365">
        <f>I131-H131</f>
        <v>0</v>
      </c>
    </row>
    <row r="132" spans="1:17" ht="14.25" customHeight="1" x14ac:dyDescent="0.2">
      <c r="A132" s="44"/>
      <c r="B132" s="45"/>
      <c r="C132" s="103"/>
      <c r="D132" s="893"/>
      <c r="E132" s="403"/>
      <c r="F132" s="404"/>
      <c r="G132" s="369" t="s">
        <v>13</v>
      </c>
      <c r="H132" s="499">
        <f>SUM(H131:H131)</f>
        <v>32611</v>
      </c>
      <c r="I132" s="499">
        <f>SUM(I131:I131)</f>
        <v>32611</v>
      </c>
      <c r="J132" s="554">
        <f>SUM(J131:J131)</f>
        <v>0</v>
      </c>
    </row>
    <row r="133" spans="1:17" ht="12.75" customHeight="1" thickBot="1" x14ac:dyDescent="0.25">
      <c r="A133" s="677"/>
      <c r="B133" s="679"/>
      <c r="C133" s="210"/>
      <c r="D133" s="890"/>
      <c r="E133" s="1027" t="s">
        <v>128</v>
      </c>
      <c r="F133" s="1027"/>
      <c r="G133" s="1028"/>
      <c r="H133" s="500">
        <f>H132+H130+H126</f>
        <v>258150</v>
      </c>
      <c r="I133" s="500">
        <f>I132+I130+I126</f>
        <v>258150</v>
      </c>
      <c r="J133" s="557">
        <f>J132+J130</f>
        <v>0</v>
      </c>
    </row>
    <row r="134" spans="1:17" ht="44.25" customHeight="1" x14ac:dyDescent="0.2">
      <c r="A134" s="46" t="s">
        <v>8</v>
      </c>
      <c r="B134" s="678" t="s">
        <v>19</v>
      </c>
      <c r="C134" s="109" t="s">
        <v>14</v>
      </c>
      <c r="D134" s="73" t="s">
        <v>86</v>
      </c>
      <c r="E134" s="533" t="s">
        <v>140</v>
      </c>
      <c r="F134" s="671"/>
      <c r="G134" s="17"/>
      <c r="H134" s="609"/>
      <c r="I134" s="475"/>
      <c r="J134" s="488"/>
      <c r="Q134" s="42"/>
    </row>
    <row r="135" spans="1:17" ht="25.5" x14ac:dyDescent="0.2">
      <c r="A135" s="44"/>
      <c r="B135" s="679"/>
      <c r="C135" s="108"/>
      <c r="D135" s="720" t="s">
        <v>63</v>
      </c>
      <c r="E135" s="536"/>
      <c r="F135" s="91" t="s">
        <v>21</v>
      </c>
      <c r="G135" s="20" t="s">
        <v>27</v>
      </c>
      <c r="H135" s="616">
        <f>2900/3.4528*1000</f>
        <v>839898</v>
      </c>
      <c r="I135" s="472">
        <f>2900/3.4528*1000</f>
        <v>839898</v>
      </c>
      <c r="J135" s="484"/>
      <c r="K135" s="69"/>
      <c r="L135" s="69"/>
      <c r="M135" s="69"/>
      <c r="N135" s="69"/>
    </row>
    <row r="136" spans="1:17" ht="29.25" customHeight="1" x14ac:dyDescent="0.2">
      <c r="A136" s="44"/>
      <c r="B136" s="679"/>
      <c r="C136" s="108"/>
      <c r="D136" s="670" t="s">
        <v>64</v>
      </c>
      <c r="E136" s="562"/>
      <c r="F136" s="672"/>
      <c r="G136" s="34" t="s">
        <v>195</v>
      </c>
      <c r="H136" s="607">
        <v>269965</v>
      </c>
      <c r="I136" s="489">
        <v>269965</v>
      </c>
      <c r="J136" s="485">
        <f>I136-H136</f>
        <v>0</v>
      </c>
      <c r="P136" s="42"/>
    </row>
    <row r="137" spans="1:17" ht="42.75" customHeight="1" x14ac:dyDescent="0.2">
      <c r="A137" s="44"/>
      <c r="B137" s="679"/>
      <c r="C137" s="673"/>
      <c r="D137" s="670" t="s">
        <v>65</v>
      </c>
      <c r="E137" s="96"/>
      <c r="F137" s="672"/>
      <c r="G137" s="20"/>
      <c r="H137" s="616"/>
      <c r="I137" s="472"/>
      <c r="J137" s="484"/>
      <c r="P137" s="42"/>
      <c r="Q137" s="42"/>
    </row>
    <row r="138" spans="1:17" ht="29.25" customHeight="1" x14ac:dyDescent="0.2">
      <c r="A138" s="44"/>
      <c r="B138" s="679"/>
      <c r="C138" s="673"/>
      <c r="D138" s="670" t="s">
        <v>66</v>
      </c>
      <c r="E138" s="68"/>
      <c r="F138" s="672"/>
      <c r="G138" s="20"/>
      <c r="H138" s="616"/>
      <c r="I138" s="472"/>
      <c r="J138" s="484"/>
    </row>
    <row r="139" spans="1:17" ht="29.25" customHeight="1" x14ac:dyDescent="0.2">
      <c r="A139" s="44"/>
      <c r="B139" s="719"/>
      <c r="C139" s="591"/>
      <c r="D139" s="716" t="s">
        <v>67</v>
      </c>
      <c r="E139" s="96"/>
      <c r="F139" s="717"/>
      <c r="G139" s="20"/>
      <c r="H139" s="616"/>
      <c r="I139" s="472"/>
      <c r="J139" s="484"/>
    </row>
    <row r="140" spans="1:17" ht="42" customHeight="1" x14ac:dyDescent="0.2">
      <c r="A140" s="44"/>
      <c r="B140" s="719"/>
      <c r="C140" s="591"/>
      <c r="D140" s="738" t="s">
        <v>204</v>
      </c>
      <c r="E140" s="536"/>
      <c r="F140" s="718"/>
      <c r="G140" s="29"/>
      <c r="H140" s="608"/>
      <c r="I140" s="474"/>
      <c r="J140" s="487"/>
      <c r="N140" s="42"/>
    </row>
    <row r="141" spans="1:17" ht="17.25" customHeight="1" x14ac:dyDescent="0.2">
      <c r="A141" s="44"/>
      <c r="B141" s="679"/>
      <c r="C141" s="591"/>
      <c r="D141" s="880" t="s">
        <v>68</v>
      </c>
      <c r="E141" s="68"/>
      <c r="F141" s="997" t="s">
        <v>21</v>
      </c>
      <c r="G141" s="20" t="s">
        <v>16</v>
      </c>
      <c r="H141" s="616">
        <f>19/3.4528*1000</f>
        <v>5503</v>
      </c>
      <c r="I141" s="472">
        <f>19/3.4528*1000</f>
        <v>5503</v>
      </c>
      <c r="J141" s="484"/>
    </row>
    <row r="142" spans="1:17" x14ac:dyDescent="0.2">
      <c r="A142" s="416"/>
      <c r="B142" s="216"/>
      <c r="C142" s="592"/>
      <c r="D142" s="1090"/>
      <c r="E142" s="417"/>
      <c r="F142" s="1030"/>
      <c r="G142" s="418" t="s">
        <v>13</v>
      </c>
      <c r="H142" s="501">
        <f>SUM(H135:H141)</f>
        <v>1115366</v>
      </c>
      <c r="I142" s="501">
        <f>SUM(I135:I141)</f>
        <v>1115366</v>
      </c>
      <c r="J142" s="558"/>
      <c r="L142" s="42"/>
    </row>
    <row r="143" spans="1:17" ht="42.75" customHeight="1" x14ac:dyDescent="0.2">
      <c r="A143" s="44" t="s">
        <v>8</v>
      </c>
      <c r="B143" s="679" t="s">
        <v>19</v>
      </c>
      <c r="C143" s="1053" t="s">
        <v>17</v>
      </c>
      <c r="D143" s="572" t="s">
        <v>70</v>
      </c>
      <c r="E143" s="96"/>
      <c r="F143" s="692"/>
      <c r="G143" s="29"/>
      <c r="H143" s="608"/>
      <c r="I143" s="474"/>
      <c r="J143" s="487"/>
    </row>
    <row r="144" spans="1:17" ht="17.25" customHeight="1" x14ac:dyDescent="0.2">
      <c r="A144" s="71"/>
      <c r="B144" s="679"/>
      <c r="C144" s="1053"/>
      <c r="D144" s="893" t="s">
        <v>71</v>
      </c>
      <c r="E144" s="96"/>
      <c r="F144" s="74" t="s">
        <v>48</v>
      </c>
      <c r="G144" s="34" t="s">
        <v>16</v>
      </c>
      <c r="H144" s="607">
        <f>619/3.4528*1000</f>
        <v>179275</v>
      </c>
      <c r="I144" s="489">
        <f>619/3.4528*1000</f>
        <v>179275</v>
      </c>
      <c r="J144" s="484"/>
    </row>
    <row r="145" spans="1:11" ht="17.25" customHeight="1" x14ac:dyDescent="0.2">
      <c r="A145" s="71"/>
      <c r="B145" s="679"/>
      <c r="C145" s="1053"/>
      <c r="D145" s="893"/>
      <c r="E145" s="96"/>
      <c r="F145" s="692"/>
      <c r="G145" s="34" t="s">
        <v>12</v>
      </c>
      <c r="H145" s="607">
        <v>405468</v>
      </c>
      <c r="I145" s="489">
        <v>405468</v>
      </c>
      <c r="J145" s="505">
        <f>I145-H145</f>
        <v>0</v>
      </c>
    </row>
    <row r="146" spans="1:11" ht="14.25" customHeight="1" thickBot="1" x14ac:dyDescent="0.25">
      <c r="A146" s="77"/>
      <c r="B146" s="694"/>
      <c r="C146" s="1054"/>
      <c r="D146" s="890"/>
      <c r="E146" s="97"/>
      <c r="F146" s="72"/>
      <c r="G146" s="78" t="s">
        <v>13</v>
      </c>
      <c r="H146" s="131">
        <f>SUM(H144:H145)</f>
        <v>584743</v>
      </c>
      <c r="I146" s="473">
        <f>SUM(I144:I145)</f>
        <v>584743</v>
      </c>
      <c r="J146" s="258">
        <f>SUM(J144:J145)</f>
        <v>0</v>
      </c>
    </row>
    <row r="147" spans="1:11" s="11" customFormat="1" ht="13.5" thickBot="1" x14ac:dyDescent="0.3">
      <c r="A147" s="14" t="s">
        <v>8</v>
      </c>
      <c r="B147" s="15" t="s">
        <v>19</v>
      </c>
      <c r="C147" s="1055" t="s">
        <v>25</v>
      </c>
      <c r="D147" s="1055"/>
      <c r="E147" s="1055"/>
      <c r="F147" s="1055"/>
      <c r="G147" s="1055"/>
      <c r="H147" s="466">
        <f>H146+H142+H133</f>
        <v>1958259</v>
      </c>
      <c r="I147" s="495">
        <f>I146+I142+I133</f>
        <v>1958259</v>
      </c>
      <c r="J147" s="514">
        <f>I147-H147</f>
        <v>0</v>
      </c>
    </row>
    <row r="148" spans="1:11" ht="14.25" customHeight="1" thickBot="1" x14ac:dyDescent="0.25">
      <c r="A148" s="693" t="s">
        <v>8</v>
      </c>
      <c r="B148" s="48"/>
      <c r="C148" s="1041" t="s">
        <v>39</v>
      </c>
      <c r="D148" s="1041"/>
      <c r="E148" s="1041"/>
      <c r="F148" s="1041"/>
      <c r="G148" s="1041"/>
      <c r="H148" s="467">
        <f>H147+H121+H91+H30</f>
        <v>31009684</v>
      </c>
      <c r="I148" s="502">
        <f>I147+I121+I91+I30</f>
        <v>30829516</v>
      </c>
      <c r="J148" s="559">
        <f>J147+J121+J91+J30</f>
        <v>-180168</v>
      </c>
    </row>
    <row r="149" spans="1:11" s="11" customFormat="1" ht="13.5" customHeight="1" thickBot="1" x14ac:dyDescent="0.3">
      <c r="A149" s="49" t="s">
        <v>40</v>
      </c>
      <c r="B149" s="1045" t="s">
        <v>41</v>
      </c>
      <c r="C149" s="1046"/>
      <c r="D149" s="1046"/>
      <c r="E149" s="1046"/>
      <c r="F149" s="1046"/>
      <c r="G149" s="1046"/>
      <c r="H149" s="468">
        <f>H148</f>
        <v>31009684</v>
      </c>
      <c r="I149" s="503">
        <f>I148</f>
        <v>30829516</v>
      </c>
      <c r="J149" s="560">
        <f>J148</f>
        <v>-180168</v>
      </c>
      <c r="K149" s="12"/>
    </row>
    <row r="150" spans="1:11" s="42" customFormat="1" ht="27" customHeight="1" thickBot="1" x14ac:dyDescent="0.25">
      <c r="B150" s="674"/>
      <c r="C150" s="50"/>
      <c r="D150" s="1039" t="s">
        <v>42</v>
      </c>
      <c r="E150" s="1039"/>
      <c r="F150" s="1039"/>
      <c r="G150" s="1039"/>
      <c r="H150" s="1039"/>
      <c r="I150" s="1039"/>
      <c r="J150" s="1039"/>
    </row>
    <row r="151" spans="1:11" s="11" customFormat="1" ht="54" customHeight="1" x14ac:dyDescent="0.25">
      <c r="A151" s="1050" t="s">
        <v>43</v>
      </c>
      <c r="B151" s="1051"/>
      <c r="C151" s="1051"/>
      <c r="D151" s="1051"/>
      <c r="E151" s="1051"/>
      <c r="F151" s="1051"/>
      <c r="G151" s="1052"/>
      <c r="H151" s="575" t="s">
        <v>155</v>
      </c>
      <c r="I151" s="524" t="s">
        <v>187</v>
      </c>
      <c r="J151" s="542" t="s">
        <v>186</v>
      </c>
    </row>
    <row r="152" spans="1:11" s="11" customFormat="1" ht="13.5" customHeight="1" x14ac:dyDescent="0.25">
      <c r="A152" s="1137" t="s">
        <v>44</v>
      </c>
      <c r="B152" s="1138"/>
      <c r="C152" s="1138"/>
      <c r="D152" s="1138"/>
      <c r="E152" s="1138"/>
      <c r="F152" s="1138"/>
      <c r="G152" s="1139"/>
      <c r="H152" s="576">
        <f>SUM(H153:H159)</f>
        <v>16280699</v>
      </c>
      <c r="I152" s="522">
        <f>SUM(I153:I159)</f>
        <v>16100531</v>
      </c>
      <c r="J152" s="563">
        <f>SUM(J153:J159)</f>
        <v>-180168</v>
      </c>
    </row>
    <row r="153" spans="1:11" s="11" customFormat="1" ht="12.75" customHeight="1" x14ac:dyDescent="0.25">
      <c r="A153" s="1018" t="s">
        <v>87</v>
      </c>
      <c r="B153" s="1019"/>
      <c r="C153" s="1019"/>
      <c r="D153" s="1019"/>
      <c r="E153" s="1019"/>
      <c r="F153" s="1019"/>
      <c r="G153" s="1020"/>
      <c r="H153" s="577">
        <f>SUMIF(G13:G144,"sb",H13:H144)</f>
        <v>9847290</v>
      </c>
      <c r="I153" s="517">
        <f>SUMIF(G13:G144,"sb",I13:I144)</f>
        <v>9847290</v>
      </c>
      <c r="J153" s="604">
        <f>I153-H153</f>
        <v>0</v>
      </c>
    </row>
    <row r="154" spans="1:11" s="11" customFormat="1" ht="15.75" customHeight="1" x14ac:dyDescent="0.25">
      <c r="A154" s="1018" t="s">
        <v>88</v>
      </c>
      <c r="B154" s="1019"/>
      <c r="C154" s="1019"/>
      <c r="D154" s="1019"/>
      <c r="E154" s="1019"/>
      <c r="F154" s="1019"/>
      <c r="G154" s="1020"/>
      <c r="H154" s="578">
        <f>SUMIF(G13:G144,"sb(sp)",H13:H144)</f>
        <v>1384091</v>
      </c>
      <c r="I154" s="506">
        <f>SUMIF(G13:G144,"sb(sp)",I13:I144)</f>
        <v>1384091</v>
      </c>
      <c r="J154" s="604">
        <f t="shared" ref="J154:J158" si="3">I154-H154</f>
        <v>0</v>
      </c>
    </row>
    <row r="155" spans="1:11" s="11" customFormat="1" ht="15.75" customHeight="1" x14ac:dyDescent="0.25">
      <c r="A155" s="1018" t="s">
        <v>89</v>
      </c>
      <c r="B155" s="1019"/>
      <c r="C155" s="1019"/>
      <c r="D155" s="1019"/>
      <c r="E155" s="1019"/>
      <c r="F155" s="1019"/>
      <c r="G155" s="1020"/>
      <c r="H155" s="578">
        <f>SUMIF(G13:G145,"sb(vb)",H13:H145)</f>
        <v>4538352</v>
      </c>
      <c r="I155" s="506">
        <f>SUMIF(G13:G145,"sb(vb)",I13:I145)</f>
        <v>4358184</v>
      </c>
      <c r="J155" s="604">
        <f>I155-H155</f>
        <v>-180168</v>
      </c>
    </row>
    <row r="156" spans="1:11" s="11" customFormat="1" ht="12.75" customHeight="1" x14ac:dyDescent="0.25">
      <c r="A156" s="1006" t="s">
        <v>90</v>
      </c>
      <c r="B156" s="1007"/>
      <c r="C156" s="1007"/>
      <c r="D156" s="1007"/>
      <c r="E156" s="1007"/>
      <c r="F156" s="1007"/>
      <c r="G156" s="1008"/>
      <c r="H156" s="195">
        <f>SUMIF(G13:G144,"sb(p)",H13:H144)</f>
        <v>39794</v>
      </c>
      <c r="I156" s="507">
        <f>SUMIF(G13:G144,"sb(p)",I13:I144)</f>
        <v>39794</v>
      </c>
      <c r="J156" s="604">
        <f t="shared" si="3"/>
        <v>0</v>
      </c>
    </row>
    <row r="157" spans="1:11" s="11" customFormat="1" ht="12.75" customHeight="1" x14ac:dyDescent="0.25">
      <c r="A157" s="1119" t="s">
        <v>193</v>
      </c>
      <c r="B157" s="1120"/>
      <c r="C157" s="1120"/>
      <c r="D157" s="1120"/>
      <c r="E157" s="1120"/>
      <c r="F157" s="1120"/>
      <c r="G157" s="1121"/>
      <c r="H157" s="540">
        <f>SUMIF(G13:G145,"sb(l)",H13:H145)</f>
        <v>5979</v>
      </c>
      <c r="I157" s="519">
        <f>SUMIF(G13:G144,"sb(l)",I13:I144)</f>
        <v>5979</v>
      </c>
      <c r="J157" s="604">
        <f t="shared" si="3"/>
        <v>0</v>
      </c>
    </row>
    <row r="158" spans="1:11" s="11" customFormat="1" ht="13.5" customHeight="1" x14ac:dyDescent="0.25">
      <c r="A158" s="1006" t="s">
        <v>190</v>
      </c>
      <c r="B158" s="1007"/>
      <c r="C158" s="1007"/>
      <c r="D158" s="1007"/>
      <c r="E158" s="1007"/>
      <c r="F158" s="1007"/>
      <c r="G158" s="1008"/>
      <c r="H158" s="540">
        <f>SUMIF(G13:G144,"sb(pbl)",H13:H144)</f>
        <v>142302</v>
      </c>
      <c r="I158" s="519">
        <f>SUMIF(G13:G144,"sb(pbl)",I13:I144)</f>
        <v>142302</v>
      </c>
      <c r="J158" s="604">
        <f t="shared" si="3"/>
        <v>0</v>
      </c>
    </row>
    <row r="159" spans="1:11" s="11" customFormat="1" ht="13.5" customHeight="1" x14ac:dyDescent="0.25">
      <c r="A159" s="1119" t="s">
        <v>196</v>
      </c>
      <c r="B159" s="1120"/>
      <c r="C159" s="1120"/>
      <c r="D159" s="1120"/>
      <c r="E159" s="1120"/>
      <c r="F159" s="1120"/>
      <c r="G159" s="1121"/>
      <c r="H159" s="540">
        <f>SUMIF(G13:G144,"SB(SPL)",H13:H144)</f>
        <v>322891</v>
      </c>
      <c r="I159" s="519">
        <f>SUMIF(G13:G144,"SB(SPL)",I13:I144)</f>
        <v>322891</v>
      </c>
      <c r="J159" s="605">
        <f>SUMIF(G13:G144,"SB(SPL)",J13:J144)</f>
        <v>0</v>
      </c>
    </row>
    <row r="160" spans="1:11" s="11" customFormat="1" ht="13.5" customHeight="1" x14ac:dyDescent="0.25">
      <c r="A160" s="1131" t="s">
        <v>45</v>
      </c>
      <c r="B160" s="1132"/>
      <c r="C160" s="1132"/>
      <c r="D160" s="1132"/>
      <c r="E160" s="1132"/>
      <c r="F160" s="1132"/>
      <c r="G160" s="1133"/>
      <c r="H160" s="579">
        <f>SUM(H161:H163)</f>
        <v>14728985</v>
      </c>
      <c r="I160" s="520">
        <f t="shared" ref="I160:J160" si="4">SUM(I161:I163)</f>
        <v>14728985</v>
      </c>
      <c r="J160" s="574">
        <f t="shared" si="4"/>
        <v>0</v>
      </c>
    </row>
    <row r="161" spans="1:10" s="11" customFormat="1" ht="12.75" customHeight="1" x14ac:dyDescent="0.25">
      <c r="A161" s="1134" t="s">
        <v>91</v>
      </c>
      <c r="B161" s="1135"/>
      <c r="C161" s="1135"/>
      <c r="D161" s="1135"/>
      <c r="E161" s="1135"/>
      <c r="F161" s="1135"/>
      <c r="G161" s="1136"/>
      <c r="H161" s="380">
        <f>SUMIF(G13:G144,"es",H13:H144)</f>
        <v>694062</v>
      </c>
      <c r="I161" s="510">
        <f>SUMIF(G13:G144,"es",I13:I144)</f>
        <v>694062</v>
      </c>
      <c r="J161" s="318">
        <f>SUMIF(G13:G144,"es",J13:J144)</f>
        <v>0</v>
      </c>
    </row>
    <row r="162" spans="1:10" s="11" customFormat="1" ht="12.75" customHeight="1" x14ac:dyDescent="0.25">
      <c r="A162" s="1018" t="s">
        <v>92</v>
      </c>
      <c r="B162" s="1019"/>
      <c r="C162" s="1019"/>
      <c r="D162" s="1019"/>
      <c r="E162" s="1019"/>
      <c r="F162" s="1019"/>
      <c r="G162" s="1020"/>
      <c r="H162" s="578">
        <f>SUMIF(G13:G144,"lrvb",H13:H144)</f>
        <v>14009407</v>
      </c>
      <c r="I162" s="506">
        <f>SUMIF(G13:G144,"lrvb",I13:I144)</f>
        <v>14009407</v>
      </c>
      <c r="J162" s="606">
        <f>SUMIF(G13:G144,"lrvb",J13:J144)</f>
        <v>0</v>
      </c>
    </row>
    <row r="163" spans="1:10" s="11" customFormat="1" ht="13.5" customHeight="1" x14ac:dyDescent="0.25">
      <c r="A163" s="1018" t="s">
        <v>95</v>
      </c>
      <c r="B163" s="1019"/>
      <c r="C163" s="1019"/>
      <c r="D163" s="1019"/>
      <c r="E163" s="1019"/>
      <c r="F163" s="1019"/>
      <c r="G163" s="1020"/>
      <c r="H163" s="580">
        <f>SUMIF(G13:G144,"kt",H13:H144)</f>
        <v>25516</v>
      </c>
      <c r="I163" s="523">
        <f>SUMIF(G13:G144,"kt",I13:I144)</f>
        <v>25516</v>
      </c>
      <c r="J163" s="564">
        <f>SUMIF(G13:G144,"kt",J13:J144)</f>
        <v>0</v>
      </c>
    </row>
    <row r="164" spans="1:10" s="11" customFormat="1" ht="13.5" customHeight="1" thickBot="1" x14ac:dyDescent="0.3">
      <c r="A164" s="1122" t="s">
        <v>46</v>
      </c>
      <c r="B164" s="1123"/>
      <c r="C164" s="1123"/>
      <c r="D164" s="1123"/>
      <c r="E164" s="1123"/>
      <c r="F164" s="1123"/>
      <c r="G164" s="1124"/>
      <c r="H164" s="581">
        <f>H160+H152</f>
        <v>31009684</v>
      </c>
      <c r="I164" s="521">
        <f t="shared" ref="I164" si="5">I160+I152</f>
        <v>30829516</v>
      </c>
      <c r="J164" s="590">
        <f>J160+J152</f>
        <v>-180168</v>
      </c>
    </row>
    <row r="165" spans="1:10" x14ac:dyDescent="0.2">
      <c r="B165" s="450"/>
      <c r="C165" s="51"/>
      <c r="D165" s="51"/>
      <c r="E165" s="51"/>
    </row>
    <row r="166" spans="1:10" x14ac:dyDescent="0.2">
      <c r="H166" s="455"/>
      <c r="I166" s="455"/>
    </row>
    <row r="170" spans="1:10" x14ac:dyDescent="0.2">
      <c r="B170" s="10"/>
      <c r="E170" s="10"/>
      <c r="F170" s="52"/>
    </row>
    <row r="185" spans="2:10" x14ac:dyDescent="0.2">
      <c r="B185" s="10"/>
      <c r="E185" s="10"/>
      <c r="F185" s="10"/>
      <c r="G185" s="10"/>
      <c r="H185" s="10"/>
      <c r="I185" s="10"/>
      <c r="J185" s="10"/>
    </row>
    <row r="186" spans="2:10" x14ac:dyDescent="0.2">
      <c r="B186" s="10"/>
      <c r="E186" s="10"/>
      <c r="F186" s="10"/>
      <c r="G186" s="10"/>
      <c r="H186" s="10"/>
      <c r="I186" s="10"/>
      <c r="J186" s="10"/>
    </row>
    <row r="187" spans="2:10" x14ac:dyDescent="0.2">
      <c r="B187" s="10"/>
      <c r="E187" s="10"/>
      <c r="F187" s="10"/>
      <c r="G187" s="10"/>
      <c r="H187" s="10"/>
      <c r="I187" s="10"/>
      <c r="J187" s="10"/>
    </row>
    <row r="188" spans="2:10" x14ac:dyDescent="0.2">
      <c r="B188" s="10"/>
      <c r="E188" s="10"/>
      <c r="F188" s="10"/>
      <c r="G188" s="10"/>
      <c r="H188" s="10"/>
      <c r="I188" s="10"/>
      <c r="J188" s="10"/>
    </row>
    <row r="189" spans="2:10" x14ac:dyDescent="0.2">
      <c r="B189" s="10"/>
      <c r="E189" s="10"/>
      <c r="F189" s="10"/>
      <c r="G189" s="10"/>
      <c r="H189" s="10"/>
      <c r="I189" s="10"/>
      <c r="J189" s="10"/>
    </row>
    <row r="190" spans="2:10" x14ac:dyDescent="0.2">
      <c r="B190" s="10"/>
      <c r="E190" s="10"/>
      <c r="F190" s="10"/>
      <c r="G190" s="10"/>
      <c r="H190" s="10"/>
      <c r="I190" s="10"/>
      <c r="J190" s="10"/>
    </row>
    <row r="191" spans="2:10" x14ac:dyDescent="0.2">
      <c r="B191" s="10"/>
      <c r="E191" s="10"/>
      <c r="F191" s="10"/>
      <c r="G191" s="10"/>
      <c r="H191" s="10"/>
      <c r="I191" s="10"/>
      <c r="J191" s="10"/>
    </row>
    <row r="192" spans="2:10" x14ac:dyDescent="0.2">
      <c r="B192" s="10"/>
      <c r="E192" s="10"/>
      <c r="F192" s="10"/>
      <c r="G192" s="10"/>
      <c r="H192" s="10"/>
      <c r="I192" s="10"/>
      <c r="J192" s="10"/>
    </row>
    <row r="193" spans="2:10" x14ac:dyDescent="0.2">
      <c r="B193" s="10"/>
      <c r="E193" s="10"/>
      <c r="F193" s="10"/>
      <c r="G193" s="10"/>
      <c r="H193" s="10"/>
      <c r="I193" s="10"/>
      <c r="J193" s="10"/>
    </row>
    <row r="194" spans="2:10" x14ac:dyDescent="0.2">
      <c r="B194" s="10"/>
      <c r="E194" s="10"/>
      <c r="F194" s="10"/>
      <c r="G194" s="10"/>
      <c r="H194" s="10"/>
      <c r="I194" s="10"/>
      <c r="J194" s="10"/>
    </row>
    <row r="195" spans="2:10" x14ac:dyDescent="0.2">
      <c r="B195" s="10"/>
      <c r="E195" s="10"/>
      <c r="F195" s="10"/>
      <c r="G195" s="10"/>
      <c r="H195" s="10"/>
      <c r="I195" s="10"/>
      <c r="J195" s="10"/>
    </row>
    <row r="196" spans="2:10" x14ac:dyDescent="0.2">
      <c r="B196" s="10"/>
      <c r="E196" s="10"/>
      <c r="F196" s="10"/>
      <c r="G196" s="10"/>
      <c r="H196" s="10"/>
      <c r="I196" s="10"/>
      <c r="J196" s="10"/>
    </row>
    <row r="197" spans="2:10" x14ac:dyDescent="0.2">
      <c r="B197" s="10"/>
      <c r="E197" s="10"/>
      <c r="F197" s="10"/>
      <c r="G197" s="10"/>
      <c r="H197" s="10"/>
      <c r="I197" s="10"/>
      <c r="J197" s="10"/>
    </row>
    <row r="198" spans="2:10" x14ac:dyDescent="0.2">
      <c r="B198" s="10"/>
      <c r="E198" s="10"/>
      <c r="F198" s="10"/>
      <c r="G198" s="10"/>
      <c r="H198" s="10"/>
      <c r="I198" s="10"/>
      <c r="J198" s="10"/>
    </row>
    <row r="199" spans="2:10" x14ac:dyDescent="0.2">
      <c r="B199" s="10"/>
      <c r="E199" s="10"/>
      <c r="F199" s="10"/>
      <c r="G199" s="10"/>
      <c r="H199" s="10"/>
      <c r="I199" s="10"/>
      <c r="J199" s="10"/>
    </row>
    <row r="200" spans="2:10" x14ac:dyDescent="0.2">
      <c r="B200" s="10"/>
      <c r="E200" s="10"/>
      <c r="F200" s="10"/>
      <c r="G200" s="10"/>
      <c r="H200" s="10"/>
      <c r="I200" s="10"/>
      <c r="J200" s="10"/>
    </row>
    <row r="201" spans="2:10" x14ac:dyDescent="0.2">
      <c r="B201" s="10"/>
      <c r="E201" s="10"/>
      <c r="F201" s="10"/>
      <c r="G201" s="10"/>
      <c r="H201" s="10"/>
      <c r="I201" s="10"/>
      <c r="J201" s="10"/>
    </row>
    <row r="202" spans="2:10" x14ac:dyDescent="0.2">
      <c r="B202" s="10"/>
      <c r="E202" s="10"/>
      <c r="F202" s="10"/>
      <c r="G202" s="10"/>
      <c r="H202" s="10"/>
      <c r="I202" s="10"/>
      <c r="J202" s="10"/>
    </row>
    <row r="203" spans="2:10" x14ac:dyDescent="0.2">
      <c r="B203" s="10"/>
      <c r="E203" s="10"/>
      <c r="F203" s="10"/>
      <c r="G203" s="10"/>
      <c r="H203" s="10"/>
      <c r="I203" s="10"/>
      <c r="J203" s="10"/>
    </row>
    <row r="204" spans="2:10" x14ac:dyDescent="0.2">
      <c r="B204" s="10"/>
      <c r="E204" s="10"/>
      <c r="F204" s="10"/>
      <c r="G204" s="10"/>
      <c r="H204" s="10"/>
      <c r="I204" s="10"/>
      <c r="J204" s="10"/>
    </row>
    <row r="205" spans="2:10" x14ac:dyDescent="0.2">
      <c r="B205" s="10"/>
      <c r="E205" s="10"/>
      <c r="F205" s="10"/>
      <c r="G205" s="10"/>
      <c r="H205" s="10"/>
      <c r="I205" s="10"/>
      <c r="J205" s="10"/>
    </row>
    <row r="206" spans="2:10" x14ac:dyDescent="0.2">
      <c r="B206" s="10"/>
      <c r="E206" s="10"/>
      <c r="F206" s="10"/>
      <c r="G206" s="10"/>
      <c r="H206" s="10"/>
      <c r="I206" s="10"/>
      <c r="J206" s="10"/>
    </row>
    <row r="207" spans="2:10" x14ac:dyDescent="0.2">
      <c r="B207" s="10"/>
      <c r="E207" s="10"/>
      <c r="F207" s="10"/>
      <c r="G207" s="10"/>
      <c r="H207" s="10"/>
      <c r="I207" s="10"/>
      <c r="J207" s="10"/>
    </row>
    <row r="208" spans="2:10" x14ac:dyDescent="0.2">
      <c r="B208" s="10"/>
      <c r="E208" s="10"/>
      <c r="F208" s="10"/>
      <c r="G208" s="10"/>
      <c r="H208" s="10"/>
      <c r="I208" s="10"/>
      <c r="J208" s="10"/>
    </row>
    <row r="209" spans="2:10" x14ac:dyDescent="0.2">
      <c r="B209" s="10"/>
      <c r="E209" s="10"/>
      <c r="F209" s="10"/>
      <c r="G209" s="10"/>
      <c r="H209" s="10"/>
      <c r="I209" s="10"/>
      <c r="J209" s="10"/>
    </row>
    <row r="210" spans="2:10" x14ac:dyDescent="0.2">
      <c r="B210" s="10"/>
      <c r="E210" s="10"/>
      <c r="F210" s="10"/>
      <c r="G210" s="10"/>
      <c r="H210" s="10"/>
      <c r="I210" s="10"/>
      <c r="J210" s="10"/>
    </row>
    <row r="211" spans="2:10" x14ac:dyDescent="0.2">
      <c r="B211" s="10"/>
      <c r="E211" s="10"/>
      <c r="F211" s="10"/>
      <c r="G211" s="10"/>
      <c r="H211" s="10"/>
      <c r="I211" s="10"/>
      <c r="J211" s="10"/>
    </row>
    <row r="212" spans="2:10" x14ac:dyDescent="0.2">
      <c r="B212" s="10"/>
      <c r="E212" s="10"/>
      <c r="F212" s="10"/>
      <c r="G212" s="10"/>
      <c r="H212" s="10"/>
      <c r="I212" s="10"/>
      <c r="J212" s="10"/>
    </row>
    <row r="213" spans="2:10" x14ac:dyDescent="0.2">
      <c r="B213" s="10"/>
      <c r="E213" s="10"/>
      <c r="F213" s="10"/>
      <c r="G213" s="10"/>
      <c r="H213" s="10"/>
      <c r="I213" s="10"/>
      <c r="J213" s="10"/>
    </row>
    <row r="214" spans="2:10" x14ac:dyDescent="0.2">
      <c r="B214" s="10"/>
      <c r="E214" s="10"/>
      <c r="F214" s="10"/>
      <c r="G214" s="10"/>
      <c r="H214" s="10"/>
      <c r="I214" s="10"/>
      <c r="J214" s="10"/>
    </row>
    <row r="215" spans="2:10" x14ac:dyDescent="0.2">
      <c r="B215" s="10"/>
      <c r="E215" s="10"/>
      <c r="F215" s="10"/>
      <c r="G215" s="10"/>
      <c r="H215" s="10"/>
      <c r="I215" s="10"/>
      <c r="J215" s="10"/>
    </row>
    <row r="216" spans="2:10" x14ac:dyDescent="0.2">
      <c r="B216" s="10"/>
      <c r="E216" s="10"/>
      <c r="F216" s="10"/>
      <c r="G216" s="10"/>
      <c r="H216" s="10"/>
      <c r="I216" s="10"/>
      <c r="J216" s="10"/>
    </row>
    <row r="217" spans="2:10" x14ac:dyDescent="0.2">
      <c r="B217" s="10"/>
      <c r="E217" s="10"/>
      <c r="F217" s="10"/>
      <c r="G217" s="10"/>
      <c r="H217" s="10"/>
      <c r="I217" s="10"/>
      <c r="J217" s="10"/>
    </row>
    <row r="218" spans="2:10" x14ac:dyDescent="0.2">
      <c r="B218" s="10"/>
      <c r="E218" s="10"/>
      <c r="F218" s="10"/>
      <c r="G218" s="10"/>
      <c r="H218" s="10"/>
      <c r="I218" s="10"/>
      <c r="J218" s="10"/>
    </row>
    <row r="219" spans="2:10" x14ac:dyDescent="0.2">
      <c r="B219" s="10"/>
      <c r="E219" s="10"/>
      <c r="F219" s="10"/>
      <c r="G219" s="10"/>
      <c r="H219" s="10"/>
      <c r="I219" s="10"/>
      <c r="J219" s="10"/>
    </row>
    <row r="223" spans="2:10" x14ac:dyDescent="0.2">
      <c r="B223" s="10"/>
      <c r="E223" s="10"/>
      <c r="F223" s="10"/>
      <c r="G223" s="10"/>
      <c r="H223" s="10"/>
      <c r="I223" s="10"/>
      <c r="J223" s="10"/>
    </row>
  </sheetData>
  <mergeCells count="113">
    <mergeCell ref="G6:G8"/>
    <mergeCell ref="H6:H8"/>
    <mergeCell ref="H1:J1"/>
    <mergeCell ref="A22:A23"/>
    <mergeCell ref="B22:B23"/>
    <mergeCell ref="C22:C23"/>
    <mergeCell ref="D22:D23"/>
    <mergeCell ref="E22:E23"/>
    <mergeCell ref="F22:F23"/>
    <mergeCell ref="D13:D15"/>
    <mergeCell ref="A157:G157"/>
    <mergeCell ref="A2:J2"/>
    <mergeCell ref="A3:J3"/>
    <mergeCell ref="A4:J4"/>
    <mergeCell ref="A5:J5"/>
    <mergeCell ref="A6:A8"/>
    <mergeCell ref="B6:B8"/>
    <mergeCell ref="C6:C8"/>
    <mergeCell ref="D6:D8"/>
    <mergeCell ref="E6:E8"/>
    <mergeCell ref="F6:F8"/>
    <mergeCell ref="D20:D21"/>
    <mergeCell ref="D16:D17"/>
    <mergeCell ref="D18:D19"/>
    <mergeCell ref="A9:J9"/>
    <mergeCell ref="A10:J10"/>
    <mergeCell ref="B11:J11"/>
    <mergeCell ref="C12:J12"/>
    <mergeCell ref="D51:D52"/>
    <mergeCell ref="A53:A55"/>
    <mergeCell ref="B53:B55"/>
    <mergeCell ref="C53:C55"/>
    <mergeCell ref="D53:D55"/>
    <mergeCell ref="E53:E55"/>
    <mergeCell ref="L32:L39"/>
    <mergeCell ref="D40:D41"/>
    <mergeCell ref="A28:A29"/>
    <mergeCell ref="B28:B29"/>
    <mergeCell ref="D28:D29"/>
    <mergeCell ref="C30:G30"/>
    <mergeCell ref="D24:D25"/>
    <mergeCell ref="A26:A27"/>
    <mergeCell ref="B26:B27"/>
    <mergeCell ref="C26:C27"/>
    <mergeCell ref="D26:D27"/>
    <mergeCell ref="F53:F55"/>
    <mergeCell ref="C31:J31"/>
    <mergeCell ref="D32:D33"/>
    <mergeCell ref="A73:A74"/>
    <mergeCell ref="B73:B74"/>
    <mergeCell ref="D73:D76"/>
    <mergeCell ref="D67:D68"/>
    <mergeCell ref="A69:A71"/>
    <mergeCell ref="B69:B71"/>
    <mergeCell ref="D69:D72"/>
    <mergeCell ref="D56:D57"/>
    <mergeCell ref="D62:D64"/>
    <mergeCell ref="D86:D88"/>
    <mergeCell ref="E86:E88"/>
    <mergeCell ref="F86:F88"/>
    <mergeCell ref="A77:A78"/>
    <mergeCell ref="B77:B78"/>
    <mergeCell ref="D77:D79"/>
    <mergeCell ref="A80:A82"/>
    <mergeCell ref="B80:B82"/>
    <mergeCell ref="D80:D85"/>
    <mergeCell ref="E80:E85"/>
    <mergeCell ref="F80:F85"/>
    <mergeCell ref="D102:D105"/>
    <mergeCell ref="E105:G105"/>
    <mergeCell ref="D107:D110"/>
    <mergeCell ref="D111:D112"/>
    <mergeCell ref="C91:G91"/>
    <mergeCell ref="C92:J92"/>
    <mergeCell ref="D94:D97"/>
    <mergeCell ref="D98:D101"/>
    <mergeCell ref="D89:D90"/>
    <mergeCell ref="E89:E90"/>
    <mergeCell ref="F89:F90"/>
    <mergeCell ref="D127:D130"/>
    <mergeCell ref="E128:E130"/>
    <mergeCell ref="D131:D133"/>
    <mergeCell ref="E133:G133"/>
    <mergeCell ref="E120:G120"/>
    <mergeCell ref="C121:G121"/>
    <mergeCell ref="D113:D115"/>
    <mergeCell ref="D118:D120"/>
    <mergeCell ref="E118:E119"/>
    <mergeCell ref="F118:F119"/>
    <mergeCell ref="A159:G159"/>
    <mergeCell ref="A162:G162"/>
    <mergeCell ref="A163:G163"/>
    <mergeCell ref="A164:G164"/>
    <mergeCell ref="I6:I8"/>
    <mergeCell ref="J6:J8"/>
    <mergeCell ref="A155:G155"/>
    <mergeCell ref="A158:G158"/>
    <mergeCell ref="A160:G160"/>
    <mergeCell ref="A161:G161"/>
    <mergeCell ref="A154:G154"/>
    <mergeCell ref="A156:G156"/>
    <mergeCell ref="D150:J150"/>
    <mergeCell ref="A153:G153"/>
    <mergeCell ref="A152:G152"/>
    <mergeCell ref="A151:G151"/>
    <mergeCell ref="C147:G147"/>
    <mergeCell ref="C148:G148"/>
    <mergeCell ref="B149:G149"/>
    <mergeCell ref="D141:D142"/>
    <mergeCell ref="F141:F142"/>
    <mergeCell ref="C143:C146"/>
    <mergeCell ref="D144:D146"/>
    <mergeCell ref="C122:J122"/>
  </mergeCells>
  <printOptions horizontalCentered="1"/>
  <pageMargins left="0.78740157480314965" right="0" top="0.39370078740157483" bottom="0.19685039370078741" header="0.31496062992125984" footer="0.31496062992125984"/>
  <pageSetup paperSize="9" scale="95" orientation="portrait" r:id="rId1"/>
  <rowBreaks count="4" manualBreakCount="4">
    <brk id="45" max="9" man="1"/>
    <brk id="76" max="9" man="1"/>
    <brk id="117" max="9" man="1"/>
    <brk id="1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valdytojai</vt:lpstr>
      <vt:lpstr>12 programa</vt:lpstr>
      <vt:lpstr>Lyginamasis variantas</vt:lpstr>
      <vt:lpstr>'12 programa'!Print_Area</vt:lpstr>
      <vt:lpstr>'Lyginamasis variantas'!Print_Area</vt:lpstr>
      <vt:lpstr>'12 programa'!Print_Titles</vt:lpstr>
      <vt:lpstr>'Lyginamasis variantas'!Print_Titles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2015-11-12T13:12:23Z</cp:lastPrinted>
  <dcterms:created xsi:type="dcterms:W3CDTF">2011-12-01T09:04:40Z</dcterms:created>
  <dcterms:modified xsi:type="dcterms:W3CDTF">2015-12-01T13:42:55Z</dcterms:modified>
</cp:coreProperties>
</file>