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735" windowWidth="15480" windowHeight="11160" tabRatio="752" firstSheet="4" activeTab="4"/>
  </bookViews>
  <sheets>
    <sheet name="2014-2016 SVP" sheetId="10" state="hidden" r:id="rId1"/>
    <sheet name="8 programa" sheetId="15" state="hidden" r:id="rId2"/>
    <sheet name="Asignavimų valdytojų kodai" sheetId="13" state="hidden" r:id="rId3"/>
    <sheet name="8 pr. Lt" sheetId="16" state="hidden" r:id="rId4"/>
    <sheet name="08 programa" sheetId="17" r:id="rId5"/>
    <sheet name="Aiškinamoji lentelė" sheetId="14" state="hidden" r:id="rId6"/>
  </sheets>
  <definedNames>
    <definedName name="_xlnm.Print_Area" localSheetId="4">'08 programa'!$A$1:$N$115</definedName>
    <definedName name="_xlnm.Print_Area" localSheetId="0">'2014-2016 SVP'!$A$1:$Z$88</definedName>
    <definedName name="_xlnm.Print_Area" localSheetId="1">'8 programa'!$A$1:$N$120</definedName>
    <definedName name="_xlnm.Print_Area" localSheetId="5">'Aiškinamoji lentelė'!$A$1:$Z$142</definedName>
    <definedName name="_xlnm.Print_Titles" localSheetId="4">'08 programa'!$5:$7</definedName>
    <definedName name="_xlnm.Print_Titles" localSheetId="0">'2014-2016 SVP'!$5:$7</definedName>
    <definedName name="_xlnm.Print_Titles" localSheetId="1">'8 programa'!$5:$7</definedName>
    <definedName name="_xlnm.Print_Titles" localSheetId="5">'Aiškinamoji lentelė'!$6:$8</definedName>
  </definedNames>
  <calcPr calcId="145621"/>
</workbook>
</file>

<file path=xl/calcChain.xml><?xml version="1.0" encoding="utf-8"?>
<calcChain xmlns="http://schemas.openxmlformats.org/spreadsheetml/2006/main">
  <c r="V72" i="14" l="1"/>
  <c r="M47" i="14" l="1"/>
  <c r="M88" i="14" l="1"/>
  <c r="M141" i="14"/>
  <c r="M139" i="14"/>
  <c r="Q55" i="14" l="1"/>
  <c r="J35" i="17" l="1"/>
  <c r="I35" i="17"/>
  <c r="H107" i="17" l="1"/>
  <c r="I107" i="17"/>
  <c r="J107" i="17"/>
  <c r="J109" i="17"/>
  <c r="J108" i="17"/>
  <c r="J73" i="17"/>
  <c r="J68" i="17"/>
  <c r="J64" i="17"/>
  <c r="J54" i="17"/>
  <c r="J21" i="17"/>
  <c r="I73" i="17"/>
  <c r="I68" i="17"/>
  <c r="I54" i="17"/>
  <c r="I21" i="17"/>
  <c r="I111" i="17"/>
  <c r="I109" i="17"/>
  <c r="I108" i="17"/>
  <c r="H112" i="17"/>
  <c r="H109" i="17"/>
  <c r="H108" i="17"/>
  <c r="H68" i="17"/>
  <c r="H73" i="17"/>
  <c r="H77" i="17"/>
  <c r="I64" i="17"/>
  <c r="I60" i="17"/>
  <c r="J60" i="17"/>
  <c r="J80" i="17" s="1"/>
  <c r="J81" i="17" s="1"/>
  <c r="H60" i="17"/>
  <c r="H54" i="17"/>
  <c r="H21" i="17"/>
  <c r="I100" i="17"/>
  <c r="J100" i="17"/>
  <c r="H100" i="17"/>
  <c r="J89" i="17"/>
  <c r="I93" i="17"/>
  <c r="J93" i="17"/>
  <c r="H93" i="17"/>
  <c r="I89" i="17"/>
  <c r="H89" i="17"/>
  <c r="I32" i="17"/>
  <c r="J32" i="17"/>
  <c r="H32" i="17"/>
  <c r="J101" i="17" l="1"/>
  <c r="H80" i="17"/>
  <c r="J106" i="17"/>
  <c r="I106" i="17"/>
  <c r="H106" i="17"/>
  <c r="H23" i="17" l="1"/>
  <c r="H26" i="17"/>
  <c r="J112" i="17"/>
  <c r="I112" i="17"/>
  <c r="J111" i="17"/>
  <c r="H111" i="17"/>
  <c r="J79" i="17"/>
  <c r="I77" i="17"/>
  <c r="J26" i="17"/>
  <c r="I26" i="17"/>
  <c r="J23" i="17"/>
  <c r="I23" i="17"/>
  <c r="H33" i="17" l="1"/>
  <c r="H110" i="17"/>
  <c r="H113" i="17" s="1"/>
  <c r="I33" i="17"/>
  <c r="J33" i="17"/>
  <c r="J102" i="17" s="1"/>
  <c r="I110" i="17"/>
  <c r="J110" i="17"/>
  <c r="H81" i="17"/>
  <c r="I80" i="17"/>
  <c r="I81" i="17" s="1"/>
  <c r="I101" i="17"/>
  <c r="H101" i="17"/>
  <c r="U134" i="14"/>
  <c r="V51" i="14"/>
  <c r="V66" i="14" s="1"/>
  <c r="U51" i="14"/>
  <c r="U66" i="14" s="1"/>
  <c r="M66" i="14"/>
  <c r="J113" i="17" l="1"/>
  <c r="J103" i="17"/>
  <c r="I113" i="17"/>
  <c r="I102" i="17"/>
  <c r="I103" i="17" s="1"/>
  <c r="H102" i="17"/>
  <c r="H103" i="17" s="1"/>
  <c r="N66" i="14"/>
  <c r="U72" i="14" l="1"/>
  <c r="U113" i="14" l="1"/>
  <c r="U124" i="14"/>
  <c r="U117" i="14"/>
  <c r="O125" i="14"/>
  <c r="P125" i="14"/>
  <c r="M124" i="14"/>
  <c r="U125" i="14" l="1"/>
  <c r="V124" i="14" l="1"/>
  <c r="M21" i="14"/>
  <c r="O66" i="14"/>
  <c r="P66" i="14"/>
  <c r="R66" i="14"/>
  <c r="S66" i="14"/>
  <c r="T66" i="14"/>
  <c r="U75" i="14"/>
  <c r="V75" i="14"/>
  <c r="U79" i="14"/>
  <c r="V79" i="14"/>
  <c r="U84" i="14"/>
  <c r="V84" i="14"/>
  <c r="U88" i="14"/>
  <c r="V90" i="14"/>
  <c r="U91" i="14" l="1"/>
  <c r="V91" i="14"/>
  <c r="L21" i="14"/>
  <c r="K21" i="14"/>
  <c r="K26" i="14"/>
  <c r="L26" i="14"/>
  <c r="N26" i="14"/>
  <c r="L140" i="14" l="1"/>
  <c r="L139" i="14"/>
  <c r="L137" i="14"/>
  <c r="L136" i="14"/>
  <c r="L135" i="14"/>
  <c r="L134" i="14"/>
  <c r="K139" i="14"/>
  <c r="L133" i="14" l="1"/>
  <c r="L113" i="14"/>
  <c r="L125" i="14" s="1"/>
  <c r="L101" i="14"/>
  <c r="L84" i="14"/>
  <c r="L79" i="14"/>
  <c r="L75" i="14"/>
  <c r="L72" i="14"/>
  <c r="L40" i="14"/>
  <c r="L32" i="14"/>
  <c r="L23" i="14"/>
  <c r="L141" i="14" l="1"/>
  <c r="L138" i="14" s="1"/>
  <c r="L66" i="14"/>
  <c r="L33" i="14"/>
  <c r="L91" i="14"/>
  <c r="L102" i="14" l="1"/>
  <c r="L126" i="14" s="1"/>
  <c r="L127" i="14" s="1"/>
  <c r="Q42" i="14" l="1"/>
  <c r="K137" i="14" l="1"/>
  <c r="K140" i="14"/>
  <c r="K135" i="14"/>
  <c r="K136" i="14"/>
  <c r="K134" i="14"/>
  <c r="K66" i="14"/>
  <c r="K133" i="14" l="1"/>
  <c r="V113" i="14"/>
  <c r="V141" i="14"/>
  <c r="V139" i="14"/>
  <c r="U141" i="14"/>
  <c r="U140" i="14"/>
  <c r="U139" i="14"/>
  <c r="U136" i="14"/>
  <c r="U135" i="14"/>
  <c r="V21" i="14"/>
  <c r="V135" i="14"/>
  <c r="U32" i="14"/>
  <c r="U21" i="14"/>
  <c r="U138" i="14" l="1"/>
  <c r="U133" i="14"/>
  <c r="Q64" i="14"/>
  <c r="U142" i="14" l="1"/>
  <c r="M32" i="14"/>
  <c r="K32" i="14"/>
  <c r="M113" i="14" l="1"/>
  <c r="N117" i="14"/>
  <c r="M117" i="14"/>
  <c r="M125" i="14" s="1"/>
  <c r="M140" i="14"/>
  <c r="M138" i="14" s="1"/>
  <c r="M135" i="14"/>
  <c r="M134" i="14"/>
  <c r="M136" i="14"/>
  <c r="M133" i="14" l="1"/>
  <c r="K113" i="14" l="1"/>
  <c r="K125" i="14" s="1"/>
  <c r="K100" i="14"/>
  <c r="K97" i="14"/>
  <c r="K94" i="14"/>
  <c r="K84" i="14"/>
  <c r="K79" i="14"/>
  <c r="K75" i="14"/>
  <c r="K72" i="14"/>
  <c r="K101" i="14" l="1"/>
  <c r="K91" i="14"/>
  <c r="Q31" i="14" l="1"/>
  <c r="N124" i="14"/>
  <c r="K23" i="14" l="1"/>
  <c r="K33" i="14" l="1"/>
  <c r="N21" i="14"/>
  <c r="P88" i="14" l="1"/>
  <c r="H113" i="15" l="1"/>
  <c r="H32" i="15"/>
  <c r="H31" i="15"/>
  <c r="H23" i="15" l="1"/>
  <c r="H21" i="15"/>
  <c r="H78" i="15"/>
  <c r="H77" i="15"/>
  <c r="H77" i="16"/>
  <c r="H65" i="15"/>
  <c r="H34" i="15"/>
  <c r="H33" i="15"/>
  <c r="H60" i="15" s="1"/>
  <c r="J31" i="15" l="1"/>
  <c r="I31" i="15"/>
  <c r="J21" i="15"/>
  <c r="I21" i="15"/>
  <c r="I33" i="15" l="1"/>
  <c r="H116" i="15" l="1"/>
  <c r="J102" i="15" l="1"/>
  <c r="I102" i="15"/>
  <c r="H102" i="15"/>
  <c r="J98" i="15"/>
  <c r="I98" i="15"/>
  <c r="J94" i="15"/>
  <c r="I94" i="15"/>
  <c r="J87" i="15"/>
  <c r="I87" i="15"/>
  <c r="H87" i="15"/>
  <c r="H117" i="15"/>
  <c r="H115" i="15" s="1"/>
  <c r="I77" i="15"/>
  <c r="H84" i="15"/>
  <c r="J74" i="15"/>
  <c r="J73" i="15"/>
  <c r="I73" i="15"/>
  <c r="H72" i="15"/>
  <c r="J69" i="15"/>
  <c r="I69" i="15"/>
  <c r="H69" i="15"/>
  <c r="H71" i="15" s="1"/>
  <c r="J67" i="15"/>
  <c r="J66" i="15"/>
  <c r="I66" i="15"/>
  <c r="H68" i="15"/>
  <c r="H63" i="15"/>
  <c r="I34" i="15"/>
  <c r="J33" i="15"/>
  <c r="J32" i="15"/>
  <c r="I32" i="15"/>
  <c r="J24" i="15"/>
  <c r="I24" i="15"/>
  <c r="H24" i="15"/>
  <c r="J23" i="15"/>
  <c r="I23" i="15"/>
  <c r="H112" i="15"/>
  <c r="H22" i="15"/>
  <c r="J19" i="15"/>
  <c r="I19" i="15"/>
  <c r="H19" i="15"/>
  <c r="H20" i="15" s="1"/>
  <c r="J12" i="15"/>
  <c r="H12" i="15"/>
  <c r="H103" i="15"/>
  <c r="H93" i="15"/>
  <c r="H75" i="15"/>
  <c r="H64" i="15"/>
  <c r="H18" i="15"/>
  <c r="I12" i="15"/>
  <c r="M117" i="16"/>
  <c r="L117" i="16"/>
  <c r="M116" i="16"/>
  <c r="M115" i="16" s="1"/>
  <c r="L116" i="16"/>
  <c r="M114" i="16"/>
  <c r="L114" i="16"/>
  <c r="H114" i="16"/>
  <c r="M113" i="16"/>
  <c r="L113" i="16"/>
  <c r="M112" i="16"/>
  <c r="L112" i="16"/>
  <c r="M111" i="16"/>
  <c r="L111" i="16"/>
  <c r="K104" i="16"/>
  <c r="J104" i="16"/>
  <c r="M103" i="16"/>
  <c r="L103" i="16"/>
  <c r="I103" i="16"/>
  <c r="H102" i="16"/>
  <c r="H103" i="16" s="1"/>
  <c r="H104" i="16" s="1"/>
  <c r="M101" i="16"/>
  <c r="L101" i="16"/>
  <c r="M97" i="16"/>
  <c r="L97" i="16"/>
  <c r="M93" i="16"/>
  <c r="L93" i="16"/>
  <c r="I93" i="16"/>
  <c r="H93" i="16"/>
  <c r="L84" i="16"/>
  <c r="K84" i="16"/>
  <c r="J84" i="16"/>
  <c r="J85" i="16" s="1"/>
  <c r="I84" i="16"/>
  <c r="H78" i="16"/>
  <c r="J76" i="16"/>
  <c r="M75" i="16"/>
  <c r="L75" i="16"/>
  <c r="L76" i="16" s="1"/>
  <c r="K75" i="16"/>
  <c r="H72" i="16"/>
  <c r="H75" i="16" s="1"/>
  <c r="M71" i="16"/>
  <c r="L71" i="16"/>
  <c r="K71" i="16"/>
  <c r="H69" i="16"/>
  <c r="H71" i="16" s="1"/>
  <c r="M68" i="16"/>
  <c r="L68" i="16"/>
  <c r="K68" i="16"/>
  <c r="H65" i="16"/>
  <c r="H68" i="16" s="1"/>
  <c r="I64" i="16"/>
  <c r="I76" i="16" s="1"/>
  <c r="H63" i="16"/>
  <c r="H64" i="16" s="1"/>
  <c r="M60" i="16"/>
  <c r="L60" i="16"/>
  <c r="K60" i="16"/>
  <c r="H34" i="16"/>
  <c r="H116" i="16" s="1"/>
  <c r="H33" i="16"/>
  <c r="H32" i="16"/>
  <c r="J31" i="16"/>
  <c r="J60" i="16" s="1"/>
  <c r="I31" i="16"/>
  <c r="I60" i="16" s="1"/>
  <c r="M28" i="16"/>
  <c r="L28" i="16"/>
  <c r="K28" i="16"/>
  <c r="J28" i="16"/>
  <c r="I28" i="16"/>
  <c r="H24" i="16"/>
  <c r="H23" i="16"/>
  <c r="H112" i="16" s="1"/>
  <c r="M22" i="16"/>
  <c r="L22" i="16"/>
  <c r="I22" i="16"/>
  <c r="H22" i="16" s="1"/>
  <c r="H21" i="16"/>
  <c r="M20" i="16"/>
  <c r="L20" i="16"/>
  <c r="I20" i="16"/>
  <c r="H20" i="16"/>
  <c r="H19" i="16"/>
  <c r="M18" i="16"/>
  <c r="L18" i="16"/>
  <c r="K18" i="16"/>
  <c r="J18" i="16"/>
  <c r="J29" i="16" s="1"/>
  <c r="I18" i="16"/>
  <c r="H12" i="16"/>
  <c r="I85" i="16" l="1"/>
  <c r="H111" i="16"/>
  <c r="M29" i="16"/>
  <c r="H117" i="16"/>
  <c r="L85" i="16"/>
  <c r="L104" i="16"/>
  <c r="H111" i="15"/>
  <c r="H28" i="15"/>
  <c r="H104" i="15"/>
  <c r="K29" i="16"/>
  <c r="K76" i="16"/>
  <c r="K85" i="16" s="1"/>
  <c r="K105" i="16" s="1"/>
  <c r="K106" i="16" s="1"/>
  <c r="M76" i="16"/>
  <c r="M85" i="16" s="1"/>
  <c r="H110" i="16"/>
  <c r="H28" i="16"/>
  <c r="L29" i="16"/>
  <c r="L105" i="16" s="1"/>
  <c r="L106" i="16" s="1"/>
  <c r="H113" i="16"/>
  <c r="H60" i="16"/>
  <c r="H84" i="16"/>
  <c r="H85" i="16" s="1"/>
  <c r="I104" i="16"/>
  <c r="M104" i="16"/>
  <c r="M110" i="16"/>
  <c r="M118" i="16" s="1"/>
  <c r="L110" i="16"/>
  <c r="L115" i="16"/>
  <c r="H76" i="15"/>
  <c r="H29" i="15"/>
  <c r="H115" i="16"/>
  <c r="H76" i="16"/>
  <c r="J105" i="16"/>
  <c r="J106" i="16" s="1"/>
  <c r="M105" i="16"/>
  <c r="M106" i="16" s="1"/>
  <c r="I29" i="16"/>
  <c r="H18" i="16"/>
  <c r="H29" i="16" l="1"/>
  <c r="H85" i="15"/>
  <c r="H105" i="15" s="1"/>
  <c r="H106" i="15" s="1"/>
  <c r="L118" i="16"/>
  <c r="I105" i="16"/>
  <c r="I106" i="16" s="1"/>
  <c r="H105" i="16"/>
  <c r="H106" i="16" s="1"/>
  <c r="H118" i="16"/>
  <c r="J113" i="15"/>
  <c r="J114" i="15"/>
  <c r="J116" i="15"/>
  <c r="J117" i="15"/>
  <c r="H114" i="15" l="1"/>
  <c r="H110" i="15" s="1"/>
  <c r="H118" i="15" s="1"/>
  <c r="J111" i="15"/>
  <c r="I116" i="15"/>
  <c r="I114" i="15"/>
  <c r="I113" i="15"/>
  <c r="I112" i="15"/>
  <c r="I111" i="15"/>
  <c r="I60" i="15"/>
  <c r="J93" i="15"/>
  <c r="I93" i="15"/>
  <c r="I84" i="15"/>
  <c r="I110" i="15" l="1"/>
  <c r="J60" i="15"/>
  <c r="J28" i="15"/>
  <c r="I28" i="15"/>
  <c r="I18" i="15"/>
  <c r="J18" i="15"/>
  <c r="I117" i="15" l="1"/>
  <c r="J112" i="15"/>
  <c r="J103" i="15"/>
  <c r="I103" i="15"/>
  <c r="J101" i="15"/>
  <c r="I101" i="15"/>
  <c r="J97" i="15"/>
  <c r="I97" i="15"/>
  <c r="J75" i="15"/>
  <c r="I75" i="15"/>
  <c r="J71" i="15"/>
  <c r="I71" i="15"/>
  <c r="J68" i="15"/>
  <c r="I68" i="15"/>
  <c r="J22" i="15"/>
  <c r="I22" i="15"/>
  <c r="J20" i="15"/>
  <c r="I20" i="15"/>
  <c r="I104" i="15" l="1"/>
  <c r="I76" i="15"/>
  <c r="I85" i="15" s="1"/>
  <c r="I29" i="15"/>
  <c r="J29" i="15"/>
  <c r="J110" i="15"/>
  <c r="I115" i="15"/>
  <c r="J115" i="15"/>
  <c r="J104" i="15"/>
  <c r="J76" i="15"/>
  <c r="J85" i="15" s="1"/>
  <c r="I105" i="15" l="1"/>
  <c r="I106" i="15" s="1"/>
  <c r="J118" i="15"/>
  <c r="I118" i="15"/>
  <c r="J105" i="15"/>
  <c r="J106" i="15" s="1"/>
  <c r="V32" i="14"/>
  <c r="N32" i="14"/>
  <c r="O32" i="14"/>
  <c r="P32" i="14"/>
  <c r="R32" i="14"/>
  <c r="S32" i="14"/>
  <c r="T32" i="14"/>
  <c r="K102" i="14" l="1"/>
  <c r="K126" i="14" s="1"/>
  <c r="L142" i="14" l="1"/>
  <c r="L144" i="14" s="1"/>
  <c r="N113" i="14"/>
  <c r="N125" i="14" s="1"/>
  <c r="R21" i="14" l="1"/>
  <c r="S21" i="14"/>
  <c r="T21" i="14"/>
  <c r="T91" i="14" l="1"/>
  <c r="T102" i="14" s="1"/>
  <c r="S91" i="14"/>
  <c r="S102" i="14" s="1"/>
  <c r="O91" i="14"/>
  <c r="O102" i="14" s="1"/>
  <c r="U102" i="14"/>
  <c r="P84" i="14"/>
  <c r="M84" i="14"/>
  <c r="P79" i="14"/>
  <c r="M79" i="14"/>
  <c r="V102" i="14" l="1"/>
  <c r="P91" i="14"/>
  <c r="P102" i="14" s="1"/>
  <c r="V140" i="14"/>
  <c r="V138" i="14" s="1"/>
  <c r="U23" i="14"/>
  <c r="V23" i="14"/>
  <c r="U26" i="14"/>
  <c r="V26" i="14"/>
  <c r="V117" i="14"/>
  <c r="V125" i="14" s="1"/>
  <c r="U33" i="14" l="1"/>
  <c r="V33" i="14"/>
  <c r="M72" i="14"/>
  <c r="N72" i="14"/>
  <c r="N91" i="14" s="1"/>
  <c r="N102" i="14" s="1"/>
  <c r="M91" i="14" l="1"/>
  <c r="M102" i="14" s="1"/>
  <c r="U126" i="14"/>
  <c r="V82" i="10" l="1"/>
  <c r="U82" i="10"/>
  <c r="V67" i="10"/>
  <c r="U67" i="10"/>
  <c r="V63" i="10"/>
  <c r="U63" i="10"/>
  <c r="R63" i="10"/>
  <c r="V71" i="10"/>
  <c r="U71" i="10"/>
  <c r="R71" i="10"/>
  <c r="Q71" i="10" s="1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6" i="10" s="1"/>
  <c r="U34" i="10"/>
  <c r="U86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T57" i="10" l="1"/>
  <c r="R56" i="10"/>
  <c r="Q56" i="10" s="1"/>
  <c r="Q33" i="10"/>
  <c r="U32" i="10"/>
  <c r="U45" i="10" s="1"/>
  <c r="U57" i="10" s="1"/>
  <c r="R32" i="10"/>
  <c r="S32" i="10"/>
  <c r="S45" i="10" s="1"/>
  <c r="S5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19" i="10" l="1"/>
  <c r="U81" i="10"/>
  <c r="V19" i="10"/>
  <c r="Q32" i="10"/>
  <c r="R45" i="10"/>
  <c r="Q12" i="10"/>
  <c r="R29" i="10"/>
  <c r="R57" i="10" l="1"/>
  <c r="Q57" i="10" s="1"/>
  <c r="Q45" i="10"/>
  <c r="Q140" i="14" l="1"/>
  <c r="V136" i="14"/>
  <c r="R124" i="14"/>
  <c r="Q119" i="14"/>
  <c r="Q124" i="14" s="1"/>
  <c r="T113" i="14"/>
  <c r="T125" i="14" s="1"/>
  <c r="S113" i="14"/>
  <c r="S125" i="14" s="1"/>
  <c r="R113" i="14"/>
  <c r="Q105" i="14"/>
  <c r="Q63" i="14"/>
  <c r="Q58" i="14"/>
  <c r="Q57" i="14"/>
  <c r="Q139" i="14"/>
  <c r="Q52" i="14"/>
  <c r="Q48" i="14"/>
  <c r="Q47" i="14"/>
  <c r="Q44" i="14"/>
  <c r="Q41" i="14"/>
  <c r="Q38" i="14"/>
  <c r="Q37" i="14"/>
  <c r="Q28" i="14"/>
  <c r="R26" i="14"/>
  <c r="Q26" i="14" s="1"/>
  <c r="Q24" i="14"/>
  <c r="R23" i="14"/>
  <c r="Q23" i="14" s="1"/>
  <c r="N23" i="14"/>
  <c r="M23" i="14" s="1"/>
  <c r="Q22" i="14"/>
  <c r="Q17" i="14"/>
  <c r="Q15" i="14"/>
  <c r="Q14" i="14"/>
  <c r="R125" i="14" l="1"/>
  <c r="Q66" i="14"/>
  <c r="N33" i="14"/>
  <c r="Q32" i="14"/>
  <c r="Q21" i="14"/>
  <c r="M142" i="14"/>
  <c r="M26" i="14"/>
  <c r="M33" i="14" s="1"/>
  <c r="S33" i="14"/>
  <c r="Q138" i="14"/>
  <c r="Q136" i="14"/>
  <c r="P33" i="14"/>
  <c r="O33" i="14"/>
  <c r="O126" i="14" s="1"/>
  <c r="Q113" i="14"/>
  <c r="Q125" i="14" s="1"/>
  <c r="Q134" i="14"/>
  <c r="T33" i="14"/>
  <c r="K138" i="14"/>
  <c r="K142" i="14" s="1"/>
  <c r="R33" i="14"/>
  <c r="Q135" i="14"/>
  <c r="V134" i="14"/>
  <c r="V133" i="14" s="1"/>
  <c r="V142" i="14" l="1"/>
  <c r="S126" i="14"/>
  <c r="S127" i="14" s="1"/>
  <c r="O127" i="14"/>
  <c r="T126" i="14"/>
  <c r="T127" i="14" s="1"/>
  <c r="Q33" i="14"/>
  <c r="V126" i="14"/>
  <c r="V127" i="14" s="1"/>
  <c r="Q133" i="14"/>
  <c r="Q142" i="14" s="1"/>
  <c r="R73" i="10"/>
  <c r="Q72" i="10"/>
  <c r="V144" i="14" l="1"/>
  <c r="Q73" i="10"/>
  <c r="R74" i="10"/>
  <c r="Q86" i="10"/>
  <c r="Q85" i="10" l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5" i="10" l="1"/>
  <c r="J29" i="10" l="1"/>
  <c r="I25" i="10" l="1"/>
  <c r="I82" i="10" l="1"/>
  <c r="J45" i="10" l="1"/>
  <c r="K45" i="10"/>
  <c r="L45" i="10"/>
  <c r="J19" i="10"/>
  <c r="I83" i="10" l="1"/>
  <c r="M20" i="10" l="1"/>
  <c r="I85" i="10"/>
  <c r="I86" i="10"/>
  <c r="U85" i="10"/>
  <c r="M85" i="10"/>
  <c r="L74" i="10"/>
  <c r="M86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L57" i="10"/>
  <c r="V74" i="10"/>
  <c r="N30" i="10"/>
  <c r="N75" i="10" s="1"/>
  <c r="N76" i="10" s="1"/>
  <c r="U84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Q84" i="10"/>
  <c r="V84" i="10"/>
  <c r="U80" i="10"/>
  <c r="Q23" i="10"/>
  <c r="R30" i="10"/>
  <c r="M82" i="10"/>
  <c r="J57" i="10"/>
  <c r="I56" i="10"/>
  <c r="I84" i="10"/>
  <c r="I39" i="10"/>
  <c r="M83" i="10"/>
  <c r="M84" i="10"/>
  <c r="I30" i="10" l="1"/>
  <c r="U87" i="10"/>
  <c r="M30" i="10"/>
  <c r="M75" i="10" s="1"/>
  <c r="M76" i="10" s="1"/>
  <c r="P75" i="10"/>
  <c r="P76" i="10" s="1"/>
  <c r="S75" i="10"/>
  <c r="S76" i="10" s="1"/>
  <c r="I80" i="10"/>
  <c r="I87" i="10" s="1"/>
  <c r="I45" i="10"/>
  <c r="Q30" i="10"/>
  <c r="Q80" i="10"/>
  <c r="Q87" i="10" s="1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7" i="10" s="1"/>
  <c r="U75" i="10"/>
  <c r="U76" i="10" s="1"/>
  <c r="I57" i="10" l="1"/>
  <c r="V81" i="10" s="1"/>
  <c r="V80" i="10" s="1"/>
  <c r="V87" i="10" s="1"/>
  <c r="Q75" i="10"/>
  <c r="Q76" i="10" s="1"/>
  <c r="J74" i="10"/>
  <c r="J75" i="10" s="1"/>
  <c r="J76" i="10" s="1"/>
  <c r="I74" i="10"/>
  <c r="I75" i="10" l="1"/>
  <c r="I76" i="10" s="1"/>
  <c r="U127" i="14"/>
  <c r="U144" i="14" s="1"/>
  <c r="N126" i="14" l="1"/>
  <c r="N127" i="14" s="1"/>
  <c r="K127" i="14"/>
  <c r="K144" i="14" s="1"/>
  <c r="M126" i="14" l="1"/>
  <c r="M127" i="14" s="1"/>
  <c r="M144" i="14" s="1"/>
  <c r="Q91" i="14"/>
  <c r="Q102" i="14" s="1"/>
  <c r="R91" i="14"/>
  <c r="R102" i="14" s="1"/>
  <c r="P126" i="14"/>
  <c r="P127" i="14" s="1"/>
  <c r="R126" i="14" l="1"/>
  <c r="R127" i="14" s="1"/>
  <c r="Q126" i="14"/>
  <c r="Q127" i="14" s="1"/>
</calcChain>
</file>

<file path=xl/comments1.xml><?xml version="1.0" encoding="utf-8"?>
<comments xmlns="http://schemas.openxmlformats.org/spreadsheetml/2006/main">
  <authors>
    <author>Snieguole Kacerauskaite</author>
    <author>Sniega</author>
  </authors>
  <commentList>
    <comment ref="E95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96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98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102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Sniega</author>
  </authors>
  <commentList>
    <comment ref="E95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96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98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102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3.xml><?xml version="1.0" encoding="utf-8"?>
<comments xmlns="http://schemas.openxmlformats.org/spreadsheetml/2006/main">
  <authors>
    <author>Sniega</author>
    <author>Snieguole Kacerauskaite</author>
  </authors>
  <commentList>
    <comment ref="E50" authorId="0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E84" authorId="0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E86" authorId="0">
      <text>
        <r>
          <rPr>
            <sz val="9"/>
            <color indexed="81"/>
            <rFont val="Tahoma"/>
            <family val="2"/>
            <charset val="186"/>
          </rPr>
          <t xml:space="preserve">"Išsaugoti ir puoselėti miesto jūrinį tapatumą atspindinčius jūrinius simbolius ir objektus bei panaudoti juos turizmo tikslams"
</t>
        </r>
      </text>
    </comment>
    <comment ref="E91" authorId="1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92" authorId="0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</commentList>
</comments>
</file>

<file path=xl/comments4.xml><?xml version="1.0" encoding="utf-8"?>
<comments xmlns="http://schemas.openxmlformats.org/spreadsheetml/2006/main">
  <authors>
    <author>Snieguole Kacerauskaite</author>
    <author>Sniega</author>
  </authors>
  <commentList>
    <comment ref="M18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iš šios sumos 18,8 - Jūros šventei</t>
        </r>
      </text>
    </comment>
    <comment ref="W28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(Klaipėdos kultūros magistrų,  „Padėkos kaukės“, „Garbės piliečio ženklo“, „Albatroso“)</t>
        </r>
      </text>
    </comment>
    <comment ref="F57" authorId="1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F58" authorId="1">
      <text>
        <r>
          <rPr>
            <sz val="9"/>
            <color indexed="81"/>
            <rFont val="Tahoma"/>
            <family val="2"/>
            <charset val="186"/>
          </rPr>
          <t xml:space="preserve">"Parengti miesto piliavietėje naujai įrengiamų erdvių muziejifikavimo koncepciją ir įrengti ekspozicijas"
</t>
        </r>
      </text>
    </comment>
    <comment ref="E73" authorId="0">
      <text>
        <r>
          <rPr>
            <sz val="9"/>
            <color indexed="81"/>
            <rFont val="Tahoma"/>
            <family val="2"/>
            <charset val="186"/>
          </rPr>
          <t>Viešosios bibliotekos 13 filialų, kurie nėra juridiniai asmenys: Kalnupės, Pempininkų, Vingio, Laukininkų, Miško, Melnragės, Debreceno,</t>
        </r>
        <r>
          <rPr>
            <b/>
            <sz val="9"/>
            <color indexed="81"/>
            <rFont val="Tahoma"/>
            <family val="2"/>
            <charset val="186"/>
          </rPr>
          <t xml:space="preserve"> „Kauno atžalyno“</t>
        </r>
        <r>
          <rPr>
            <sz val="9"/>
            <color indexed="81"/>
            <rFont val="Tahoma"/>
            <family val="2"/>
            <charset val="186"/>
          </rPr>
          <t xml:space="preserve">, Girulių, Šiaulių, „Karlskronos“, „Pelėdžiuko“, „Ruoniuko“ (KMT 2010-07-02 sprendimas Nr. T2-182) 
</t>
        </r>
      </text>
    </comment>
    <comment ref="M86" authorId="0">
      <text>
        <r>
          <rPr>
            <b/>
            <sz val="9"/>
            <color indexed="81"/>
            <rFont val="Tahoma"/>
            <family val="2"/>
            <charset val="186"/>
          </rPr>
          <t>Ž. Žvagulio lėšos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05" authorId="1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107" authorId="1">
      <text>
        <r>
          <rPr>
            <sz val="9"/>
            <color indexed="81"/>
            <rFont val="Tahoma"/>
            <family val="2"/>
            <charset val="186"/>
          </rPr>
          <t xml:space="preserve">"Išsaugoti ir puoselėti miesto jūrinį tapatumą atspindinčius jūrinius simbolius ir objektus bei panaudoti juos turizmo tikslams"
</t>
        </r>
      </text>
    </comment>
    <comment ref="F115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F116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</commentList>
</comments>
</file>

<file path=xl/sharedStrings.xml><?xml version="1.0" encoding="utf-8"?>
<sst xmlns="http://schemas.openxmlformats.org/spreadsheetml/2006/main" count="1340" uniqueCount="369">
  <si>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</si>
  <si>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</si>
  <si>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</si>
  <si>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</si>
  <si>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</si>
  <si>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</si>
  <si>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</si>
  <si>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</si>
  <si>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</si>
  <si>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</si>
  <si>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</si>
  <si>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</si>
  <si>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</si>
  <si>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</si>
  <si>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</si>
  <si>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</si>
  <si>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</si>
  <si>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</si>
  <si>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</si>
  <si>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</si>
  <si>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</si>
  <si>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</si>
  <si>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</si>
  <si>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</si>
  <si>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</si>
  <si>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</si>
  <si>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</si>
  <si>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</si>
  <si>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</si>
  <si>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</si>
  <si>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</si>
  <si>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</si>
  <si>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</si>
  <si>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</si>
  <si>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</si>
  <si>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</si>
  <si>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</si>
  <si>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</si>
  <si>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>BĮ Klaipėdos miesto savivaldybės etnokultūros centro veiklos organizavimas</t>
  </si>
  <si>
    <t>Remti kūrybinių organizacijų iniciatyvas ir miesto švenčių organizavimą</t>
  </si>
  <si>
    <t>05</t>
  </si>
  <si>
    <t>Papriemonės kodas</t>
  </si>
  <si>
    <t>1</t>
  </si>
  <si>
    <t>Kultūrinių projektų dalinis finansavimas ir vykdymas</t>
  </si>
  <si>
    <t>Organizuota jaunųjų kūrėjų kūrybos pristatymų, sk.</t>
  </si>
  <si>
    <t>Skirta meno stipendijų, sk.</t>
  </si>
  <si>
    <t>Surengta valstybinių švenčių</t>
  </si>
  <si>
    <t>Surengta paminėtinų datų renginių</t>
  </si>
  <si>
    <t>Lankytojų skaičius, tūkst.</t>
  </si>
  <si>
    <t>4</t>
  </si>
  <si>
    <t>2015-ųjų metų lėšų projektas</t>
  </si>
  <si>
    <t>2014-ieji metai</t>
  </si>
  <si>
    <t>2015-ieji metai</t>
  </si>
  <si>
    <t>planas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</si>
  <si>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</si>
  <si>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</si>
  <si>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06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</si>
  <si>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</si>
  <si>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</si>
  <si>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</si>
  <si>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</si>
  <si>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</si>
  <si>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</si>
  <si>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</si>
  <si>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</si>
  <si>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</si>
  <si>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</si>
  <si>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</si>
  <si>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MIESTO KULTŪRINIO SAVITUMO PUOSELĖJIMO BEI KULTŪRINIŲ PASLAUGŲ GERINIMO PROGRAMOS (NR. 08)</t>
  </si>
  <si>
    <t>Finansuota programų, sk.</t>
  </si>
  <si>
    <t>Meno stipendijų kultūros ir meno kūrėjams mokėjimas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</si>
  <si>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</si>
  <si>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</si>
  <si>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</si>
  <si>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</si>
  <si>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</si>
  <si>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Jaunųjų kūrėjų kūrybos pristatymas</t>
  </si>
  <si>
    <t>Jaunimo teatrinės veiklos programų rėmimas</t>
  </si>
  <si>
    <t>Tarptautinių ir regioninių kultūrinio turizmo kelių vystymas ir sklaida</t>
  </si>
  <si>
    <t>Parengta programa ir sąvadas</t>
  </si>
  <si>
    <t>Ekspozicijų skaičius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</si>
  <si>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</si>
  <si>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</si>
  <si>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</si>
  <si>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</si>
  <si>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</si>
  <si>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3.3.2.5.</t>
  </si>
  <si>
    <t>3.3.2.6.</t>
  </si>
  <si>
    <t>3.3.2.7.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</si>
  <si>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</si>
  <si>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</si>
  <si>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</si>
  <si>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</si>
  <si>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</si>
  <si>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</si>
  <si>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</si>
  <si>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</si>
  <si>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</si>
  <si>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</si>
  <si>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</si>
  <si>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</si>
  <si>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</si>
  <si>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</si>
  <si>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Paremtų rezidentų sk.</t>
  </si>
  <si>
    <t>Bendras parodų, projektų ir renginių (edukacinių ir kamerinių) skaičius</t>
  </si>
  <si>
    <t>Bendras parodų, projektų ir renginių skaičius</t>
  </si>
  <si>
    <t>07</t>
  </si>
  <si>
    <t>Pritaikyta tyrimų, sk.</t>
  </si>
  <si>
    <t>3.3.2.4</t>
  </si>
  <si>
    <t>3.3.3.1.</t>
  </si>
  <si>
    <t>BĮ Klaipėdos miesto savivaldybės Mažosios Lietuvos istorijos muziejaus veiklos organizavimas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</si>
  <si>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</si>
  <si>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</si>
  <si>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Kultūrinio turizmo maršrutų  (vėtrungių, švyturių, vargonų, karalienės Luizės keliо) formavimas</t>
  </si>
  <si>
    <t>Kūrybinių industrijų Menų inkubatoriaus rezidentų projektų dalinis finansavimas</t>
  </si>
  <si>
    <t xml:space="preserve">Dokumentacijos, reikalingos kultūros infrastruktūros plėtrai, parengimas:          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</si>
  <si>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</si>
  <si>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</si>
  <si>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</si>
  <si>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Kultūrinių renginių organizavimas</t>
  </si>
  <si>
    <t>Skatinti miesto bendruomenės kultūrinį ir kūrybinį aktyvumą bei gerinti kultūrinių paslaugų prieinamumą ir kokybę</t>
  </si>
  <si>
    <t xml:space="preserve">Organizuota apdovanojimo ceremonijų </t>
  </si>
  <si>
    <t>Dalyvauta Lietuvos dainų šventėje „Čia mūsų namai“</t>
  </si>
  <si>
    <t>Parengta galimybių studijų, sk.</t>
  </si>
  <si>
    <t>Vykdytojas (skyrius / asmuo)</t>
  </si>
  <si>
    <t>UKD Kultūros sk.</t>
  </si>
  <si>
    <t>MŪD Socialinės infrastruktūros priežiūros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</si>
  <si>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</si>
  <si>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</si>
  <si>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</si>
  <si>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</si>
  <si>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</si>
  <si>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</si>
  <si>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</si>
  <si>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</si>
  <si>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</si>
  <si>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</si>
  <si>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</si>
  <si>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</si>
  <si>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</si>
  <si>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</si>
  <si>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</si>
  <si>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</si>
  <si>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</si>
  <si>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</si>
  <si>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</si>
  <si>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</si>
  <si>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</si>
  <si>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</si>
  <si>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</si>
  <si>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</si>
  <si>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</si>
  <si>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</si>
  <si>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</si>
  <si>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</si>
  <si>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</si>
  <si>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</si>
  <si>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</si>
  <si>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Reprezentacinių Klaipėdos festivalių dalinis finansavimas</t>
  </si>
  <si>
    <t>BĮ Klaipėdos kultūrų komunikacijų centro veiklos organizavimas, iš jų: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</si>
  <si>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</si>
  <si>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</si>
  <si>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</si>
  <si>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</si>
  <si>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</si>
  <si>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</si>
  <si>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</si>
  <si>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</si>
  <si>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</si>
  <si>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</si>
  <si>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</si>
  <si>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</si>
  <si>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</si>
  <si>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 xml:space="preserve"> 2014–2017 M. KLAIPĖDOS MIESTO SAVIVALDYBĖS</t>
  </si>
  <si>
    <t>2015-ųjų metų asignavimų planas</t>
  </si>
  <si>
    <t>2017-ųjų metų lėšų projektas</t>
  </si>
  <si>
    <t>2017-ieji metai</t>
  </si>
  <si>
    <t>Jūrinę kultūrą puoselėjančių renginių dalinis finansavimas</t>
  </si>
  <si>
    <t>Nusipelniusių žmonių pagerbimas ir istorinių įvykių, vietų bei asmenybių atminimo įamžinimas</t>
  </si>
  <si>
    <t>9</t>
  </si>
  <si>
    <t>Surengta spektaklių, koncertų, kitų renginių</t>
  </si>
  <si>
    <t>BĮ Klaipėdos miesto savivaldybės koncertinės įstaigos Klaipėdos koncertų salės veiklos organizavimas, iš jų:</t>
  </si>
  <si>
    <t>BĮ Klaipėdos kultūrų komunikacijų centro fachverkinės architektūros pastato tvarkybos darbai (avarinės būklės likvidavimas, taikomieji tyrimai, projektavimas)</t>
  </si>
  <si>
    <t>Miesto kultūrą pristatančių objektų gamyba (ekspozicinė įranga, ekspozicijos, leidiniai)</t>
  </si>
  <si>
    <t>Išleista leidinių</t>
  </si>
  <si>
    <t>Baltijos jūros regiono šalių kultūrinio bendradarbiavimo projektų dalinis finansavimas</t>
  </si>
  <si>
    <t>Baltijos jūros regiono šalių kultūros forumų inicijavimas ir organizavimas</t>
  </si>
  <si>
    <t>Dalyvauta, inicijuota kultūros forumų</t>
  </si>
  <si>
    <t>Kūrybinių industrijų Menų inkubatoriaus rezidentų projektų dalinis finansavimas (stipendijos kultūros ir meno kūrėjams)</t>
  </si>
  <si>
    <t>2015-ųjų metų  asignavimų planas</t>
  </si>
  <si>
    <t>2017 m. poreikis</t>
  </si>
  <si>
    <t>5</t>
  </si>
  <si>
    <t>IED Projektų skyrius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</si>
  <si>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</si>
  <si>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SB(P)</t>
  </si>
  <si>
    <t>Parengtas techninis projektas, vnt.
Atlikti rekonsrukcijos darbai, užbaigtumas, proc.</t>
  </si>
  <si>
    <t xml:space="preserve">
30</t>
  </si>
  <si>
    <t xml:space="preserve">Parengtas techninis projektas, vnt.
</t>
  </si>
  <si>
    <t>Klaipėdos miesto savivaldybės Mažosios Lietuvos istorijos muziejaus Kalvystės muziejaus Šaltkalvių g. 2, Klaipėda, energetinio efektyvumo didinimas</t>
  </si>
  <si>
    <t xml:space="preserve">Parengtas techninis projektas, vnt.
</t>
  </si>
  <si>
    <t>Atlikti rekonsrukcijos darbai, užbaigtumas, proc.</t>
  </si>
  <si>
    <t>Klaipėdos miesto savivaldybės viešosios bibliotekos „Kauno atžalynas“ filialo pritaikymas bendruomenės poreikiams</t>
  </si>
  <si>
    <t>Biudžetinių įstaigų patalpų būklės gerinimas</t>
  </si>
  <si>
    <t>Įstaigų skaičius</t>
  </si>
  <si>
    <t>Etnokultūros centro pastato (Bažnyčių g. 4) šiluminio mazgo remontas</t>
  </si>
  <si>
    <t>Kultūros, meno, edukacinės veiklos ir leidybos projektų dalinis finansavimas</t>
  </si>
  <si>
    <t xml:space="preserve">Dailės palikimo išsaugojimo Klaipėdos m. koncepcijos ir programos parengimas (galerija) </t>
  </si>
  <si>
    <t>2015 m. asignavimų planas</t>
  </si>
  <si>
    <t>2016 m. lėšų projektas</t>
  </si>
  <si>
    <t>2017 m. lėšų projektas</t>
  </si>
  <si>
    <t>3.3.2.3</t>
  </si>
  <si>
    <t>1068</t>
  </si>
  <si>
    <t>833,5</t>
  </si>
  <si>
    <t>823,5</t>
  </si>
  <si>
    <t>3.3.2.5., 3.3.2.7.</t>
  </si>
  <si>
    <t>Iš viso priemonei:</t>
  </si>
  <si>
    <t>Vasaros koncertų estrados remontas</t>
  </si>
  <si>
    <t>3.2.2.2, 3.3.1.1, 3.3.2.6.</t>
  </si>
  <si>
    <t>Eur</t>
  </si>
  <si>
    <t>Planas</t>
  </si>
  <si>
    <t>Iš dalies finansuota projektų, skaičius</t>
  </si>
  <si>
    <t>Organizuota jaunųjų kūrėjų kūrybos pristatymų, skaičius</t>
  </si>
  <si>
    <t>Finansuota programų, skaičius</t>
  </si>
  <si>
    <t>Skirta meno stipendijų, skaičius</t>
  </si>
  <si>
    <t>Suorganizuota renginių, skaičius</t>
  </si>
  <si>
    <t>Pagaminta memorialinių objektų ir apdovanojimų, skaičius</t>
  </si>
  <si>
    <t>Organizuota apdovanojimo ceremonijų, skaičius</t>
  </si>
  <si>
    <t xml:space="preserve">Parengta ekspozicijų atnaujinimo ir piliavietės erdvių muziejifikavimo koncepcijų ir programų, skaičius            </t>
  </si>
  <si>
    <t>Parengta galimybių studijų, skaičius</t>
  </si>
  <si>
    <t xml:space="preserve">Iš dalies finansuota projektų, skaičius </t>
  </si>
  <si>
    <t>Pagaminta ekspozicijų, skaičius</t>
  </si>
  <si>
    <t>Išleista leidinių, skaičius</t>
  </si>
  <si>
    <t>Pritaikyta objektų, skaičius</t>
  </si>
  <si>
    <t>Inicijuota kultūros forumų, skaičius</t>
  </si>
  <si>
    <t>Atlikta tyrimų, skaičius</t>
  </si>
  <si>
    <t>Paremta rezidentų, skaičius</t>
  </si>
  <si>
    <t>Socialinę atskirtį mažinančių kultūros projektų dalinis finansavimas (2015 m. – projektai, skirti Senjorų metams paminėti)</t>
  </si>
  <si>
    <t>Jūros šventės  organizavimas ir įgyvendinimas</t>
  </si>
  <si>
    <t>BĮ Klaipėdos miesto savivaldybės viešosios bibliotekos veiklos organizavimas</t>
  </si>
  <si>
    <t xml:space="preserve"> - 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</si>
  <si>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Didžioji Vandens g. 2) sutvarkymas</t>
  </si>
  <si>
    <t>Pastato Debreceno g. 48 pritaikymas BĮ Klaipėdos miesto kultūros centro Žvejų rūmų veiklai (senjorų užimtumui)</t>
  </si>
  <si>
    <t>Miesto jūrinį tapatumą atspindinčių objektų (istorinių laivų ir pan.) pritaikymas kultūrinio turizmo reikmėms</t>
  </si>
  <si>
    <t>Jūrinio paveldo tyrimų rėmimas</t>
  </si>
  <si>
    <t>Fachverkinės architektūros pastatų komplekso (Bažnyčių g. 4 / Daržų g. 10; Aukštoji g. 1 /  Didžioji Vandens g. 2) sutvarkymas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</si>
  <si>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</si>
  <si>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Renginių, kuriuose dalyvauta, skaičius</t>
  </si>
  <si>
    <t>Dalyvių  ir lankytojų skaičius etnokultūriniuose renginiuose, tūkst.</t>
  </si>
  <si>
    <t xml:space="preserve">Parengta ekspozicijų atnaujinimo ir piliavietės erdvių muziejifikavimo koncepcijų ir programų, skaičius             </t>
  </si>
  <si>
    <t>Pagaminta memorialinių objektų, skaičius</t>
  </si>
  <si>
    <t>Surengta koncertų ir kitų renginių, skaičius</t>
  </si>
  <si>
    <t>Administruojamų tinklalapių skaičius</t>
  </si>
  <si>
    <t>Įgyvendinta meno parodų, skaičius</t>
  </si>
  <si>
    <t>Suremontuota kultūros objektų, skaičius</t>
  </si>
  <si>
    <t>Socialinę atskirtį mažinančių kultūros projektų dalinis finansavimas (2015 m. – projektai, skirti Senjorų metams paminėti);</t>
  </si>
  <si>
    <r>
      <t xml:space="preserve"> - Europos ekonominės erdvės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projektas „Bendradarbiavimu paremta profesionalaus meno integracija į kūrybines dirbtuves“</t>
    </r>
  </si>
  <si>
    <t xml:space="preserve"> - Europos ekonominės erdvės projekto „Tarptautinės kūrybinės koprodukcijos šiuolaikinės muzikos festivalis „Permainų muzika“ įgyvendinimas</t>
  </si>
  <si>
    <r>
      <t xml:space="preserve"> - Europos ekonominės erdvės</t>
    </r>
    <r>
      <rPr>
        <sz val="10"/>
        <color rgb="FFFF0000"/>
        <rFont val="Times New Roman"/>
        <family val="1"/>
        <charset val="186"/>
      </rPr>
      <t xml:space="preserve">  </t>
    </r>
    <r>
      <rPr>
        <sz val="10"/>
        <rFont val="Times New Roman"/>
        <family val="1"/>
        <charset val="186"/>
      </rPr>
      <t>projektas „Bendradarbiavimu paremta profesionalaus meno integracija į kūrybines dirbtuves“</t>
    </r>
  </si>
  <si>
    <t xml:space="preserve"> - Europos ekonominės erdvės  projekto „Tarptautinės kūrybinės koprodukcijos šiuolaikinės muzikos festivalis „Permainų muzika“ įgyvendinimas</t>
  </si>
  <si>
    <t xml:space="preserve"> 2015–2017 M. KLAIPĖDOS MIESTO SAVIVALDYBĖS</t>
  </si>
  <si>
    <t xml:space="preserve">Modernaus bendruomenės centro-bibliotekos statyba pietinėje miesto dalyje </t>
  </si>
  <si>
    <t xml:space="preserve">Parengtas techninis projektas, vnt.  
</t>
  </si>
  <si>
    <t xml:space="preserve">Vasaros koncertų estrados statinių nugriovimas ir teritorijos sutvarkymas </t>
  </si>
  <si>
    <t>Parengtas investicinis projektas</t>
  </si>
  <si>
    <t>Parengtas energetinis auditas</t>
  </si>
  <si>
    <t>Parengtas techninis projektas</t>
  </si>
  <si>
    <t>Parengta projekto ekspertizė</t>
  </si>
  <si>
    <t>Atlikta rangos darbų, proc.</t>
  </si>
  <si>
    <t>Kalvystės muziejaus pastatų (Šaltkalvių g. 2; 2A) energetinio efektyvumo didinimas</t>
  </si>
  <si>
    <t>Kt</t>
  </si>
  <si>
    <t xml:space="preserve">Jaunųjų klaipėdiečių kūrėjų, išvykusių iš Klaipėdos ar Lietuvos, kūrybos pristatymas „Mes esame“ </t>
  </si>
  <si>
    <t xml:space="preserve">Socialinę atskirtį mažinančių kultūros projektų dalinis finansavimas </t>
  </si>
  <si>
    <t>Iš dalies finansuota kitų projektų, skaičius</t>
  </si>
  <si>
    <t>Surengta Jūros šventė</t>
  </si>
  <si>
    <t>Kultūros kvartalo įveiklinimui skirtų projektų dalinis finansavimas</t>
  </si>
  <si>
    <t>Skirta kultūros ir meno stipendijų, skaičius</t>
  </si>
  <si>
    <t>Valstybinių dienų ir kitų miestui aktualių renginių organizavimas</t>
  </si>
  <si>
    <t>Suorganizuota valstybinių švenčių, atmintinų datų paminėjimų ir miesto švenčių (Sausio 13-oji, Sausio 15-oji, Vasario 16-oji, Kovo 11-oji,  Miesto gimtadienis, Kalėdinių ir naujametinių renginių ciklas ir pan.)</t>
  </si>
  <si>
    <t>Suorganizuotas Šviesų festivalis</t>
  </si>
  <si>
    <t>Parengta modernizavimo koncepcija</t>
  </si>
  <si>
    <t xml:space="preserve">Miesto jūrinį tapatumą atspindinčių objektų pritaikymas kultūrinio turizmo reikmėms </t>
  </si>
  <si>
    <t>Miestą reprezentuojančio jūrinio kultūros paveldo kaupimas ir viešinimas</t>
  </si>
  <si>
    <t>Parengtas miesto jūrinę kultūrą reprezentuojančių objektų sąvadas</t>
  </si>
  <si>
    <t>Surengta tarptautinė konferencija „Common Sea, common Culture“</t>
  </si>
  <si>
    <t xml:space="preserve">Pasirengimas Europos kultūros sostinės 2022 m. konkursui </t>
  </si>
  <si>
    <t>Veiksmingos Klaipėdos miesto kultūros komunikavimo ir įvaizdžio formavimo sistemos sukūrimas</t>
  </si>
  <si>
    <t xml:space="preserve">Sukurta ir įdiegta „Miestiečio-kultūros vartotojo kortelė“ </t>
  </si>
  <si>
    <t>Atlikta tyrimų, sk.</t>
  </si>
  <si>
    <t>Stipendijų mokėjimas kultūros ir meno kūrėjams</t>
  </si>
  <si>
    <t>Kultūrinio turizmo maršrutų   formavimas</t>
  </si>
  <si>
    <t>Lėšų poreikis 2016-iesiems metams</t>
  </si>
  <si>
    <t>2018 m. poreikis</t>
  </si>
  <si>
    <t xml:space="preserve"> 2015–2018 M. KLAIPĖDOS MIESTO SAVIVALDYBĖS</t>
  </si>
  <si>
    <t>Virtualių lankytojų skaičius, tūkst.</t>
  </si>
  <si>
    <t xml:space="preserve">Jūrinio kultūros paveldo vertybių aktualizavimas </t>
  </si>
  <si>
    <t>** pagal Klaipėdos miesto savivaldybės tarybos 2015 m. vasario 19 d. sprendimą Nr. T2-12</t>
  </si>
  <si>
    <t>IED Statybos ir infrastrukt. plėtros skyrius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</si>
  <si>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</si>
  <si>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2018-ieji metai</t>
  </si>
  <si>
    <t>Lėšų poreikis 2016 m.</t>
  </si>
  <si>
    <t>Programos „Lietuvos kultūros sostinė Klaipėda – neužšąlantis kultūros uostas“ įgyvendinimas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</si>
  <si>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</si>
  <si>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</si>
  <si>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 xml:space="preserve">BĮ Klaipėdos miesto savivaldybės koncertinės įstaigos Klaipėdos koncertų salės veiklos organizavimas  </t>
  </si>
  <si>
    <t>Projekto „Pažink svetimšalį: Gdansko, Kaliningrado ir Klaipėdos gyventojų savitarpio pažinimo skatinimas per šiuolaikinės kultūros ir meno mainus“ įgyvendinimas</t>
  </si>
  <si>
    <t>2015 m. patvirtintas asignavimų planas**</t>
  </si>
  <si>
    <t xml:space="preserve">BĮ Klaipėdos miesto savivaldybės kultūros centro Žvejų rūmų veiklos organizavimas  </t>
  </si>
  <si>
    <t>SB(VB)</t>
  </si>
  <si>
    <t>2015 m. asignavimų plano pakeitimas***</t>
  </si>
  <si>
    <t>Parengtas Vasaros koncertų estrados modernizavimo techninis projektas</t>
  </si>
  <si>
    <t>Įgyvendintas projektas įgarsinant miesto viešajame transporte įdomiausius Klaipėdos istorijos faktus</t>
  </si>
  <si>
    <t xml:space="preserve"> - projekto „BCP goes public“/„Verslo ir kultūros partnerystė“ įgyvendinimas</t>
  </si>
  <si>
    <t>Įgyvendintas projektas, įrengiant knygų lentynas miesto viešojo transporto stotelėse</t>
  </si>
  <si>
    <t>BĮ Klaipėdos miesto savivaldybės viešosios bibliotekos veiklos organizavimas:</t>
  </si>
  <si>
    <t>BĮ Klaipėdos kultūrų komunikacijų centro veiklos organizavimas:</t>
  </si>
  <si>
    <t>Dalyvių skaičiaus augimas proc.</t>
  </si>
  <si>
    <t>Įgyvendinta Dailės palikimo išsaugojimo programos dalis proc.</t>
  </si>
  <si>
    <t>Įgyvendintas kultūros projektas „Mažosios Lietuvos (Prūsų Lietuvos) dailė: nuo Nidos menininkų kolonijos kūrėjų iki Prano Domšaičio“ (įgyvendintų veiklų sk.)</t>
  </si>
  <si>
    <t>Įgyvendinta veiklų tęsiant Vėtrungių alėjos projektą</t>
  </si>
  <si>
    <t>Įgyvendinta pasirengimo tarptautiniam forumui „Common sea, common Culture“ programa</t>
  </si>
  <si>
    <t>Įgyvendinta pasirengimo Lietuvos kultūros sostinei programa</t>
  </si>
  <si>
    <t>Parengta paraiška Europos kultūros sostinei</t>
  </si>
  <si>
    <t>Sukurta ir įgyvendinama Klaipėdos kultūros rinkodaros programa</t>
  </si>
  <si>
    <t>Parengta koncepcija</t>
  </si>
  <si>
    <t>Valstybinės ir tarptautinės reikšmės kultūrinių projektų įgyvendinimas</t>
  </si>
  <si>
    <t xml:space="preserve">3.3.1.4. </t>
  </si>
  <si>
    <t>Klaipėdos kultūros srities tyrimas</t>
  </si>
  <si>
    <t>Parengtas investicijų projektas</t>
  </si>
  <si>
    <t>Parengta energijos vartojimo audito ataskaita</t>
  </si>
  <si>
    <t>Atlikta modernizavimo darbų, proc.</t>
  </si>
  <si>
    <t>*** pagal Klaipėdos miesto savivaldybės tarybos 2015 m. spalio 29 d. sprendimą Nr. T2-265</t>
  </si>
  <si>
    <t>tūkst. Eur</t>
  </si>
  <si>
    <t>2016-ųjų metų asignavimų planas</t>
  </si>
  <si>
    <t>3.3.2.5., 3.32.7.</t>
  </si>
  <si>
    <t>BĮ Klaipėdos miesto savivaldybės Mažosios Lietuvos istorijos muziejaus veiklos organizavimas:</t>
  </si>
  <si>
    <t>2016 m. asignavimų planas</t>
  </si>
  <si>
    <t>2018 m. lėšų projektas</t>
  </si>
  <si>
    <t xml:space="preserve"> 2016–2018 M. KLAIPĖDOS MIESTO SAVIVALDYBĖS</t>
  </si>
  <si>
    <t>2018-ųjų metų lėšų projektas</t>
  </si>
  <si>
    <t>Atlikta griovimo darbų, proc.</t>
  </si>
  <si>
    <t>Dokumentų išduotis bibliotekoje, tūkst.</t>
  </si>
  <si>
    <t xml:space="preserve">Administruojamų tinklalapių skaičius </t>
  </si>
  <si>
    <t>Atlikta rekonstrukcijos darbų,  proc.</t>
  </si>
  <si>
    <t xml:space="preserve">Parengtas Vasaros koncertų estrados modernizavimo techninis projektas </t>
  </si>
  <si>
    <t xml:space="preserve">Sukurta ir įdiegta „Miestiečio-kultūros vartotojo kortelė“  </t>
  </si>
  <si>
    <r>
      <t xml:space="preserve"> - projekto „Istorija veža“ įgyvendinimas </t>
    </r>
    <r>
      <rPr>
        <sz val="10"/>
        <color rgb="FFFF0000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 xml:space="preserve">
</t>
    </r>
  </si>
  <si>
    <t xml:space="preserve"> - projekto „Verslo ir kultūros partnerystė“ („BCP goes public“) įgyvendinimas;</t>
  </si>
  <si>
    <t>Skirta Kultūros fabrike reziduojančių menininkų stipendijų, skaičius</t>
  </si>
  <si>
    <t>Pagaminta apdovanojimų, skaičius</t>
  </si>
  <si>
    <t xml:space="preserve">Surengta kalendorinių, atmintinų datų, švenčių, skaičius                      </t>
  </si>
  <si>
    <t>Surengta koncertų, vakaronių, parodų, edukacinių renginių  skaičius</t>
  </si>
  <si>
    <t xml:space="preserve">Parengta ekspozicijų atnaujinimo ir piliavietės erdvių muziejifikavimo koncepcijų ir programų, skaičius      </t>
  </si>
  <si>
    <t>Surengta edukacinių programų, parodų, renginių, skaičius</t>
  </si>
  <si>
    <t>Surengtų etnokultūrinių renginių skaičius</t>
  </si>
  <si>
    <t xml:space="preserve"> - projekto „Stop – knyga“ įgyvendinimas </t>
  </si>
  <si>
    <t xml:space="preserve">Dailės palikimo išsaugojimo Klaipėdos mieste koncepcijos ir programos parengimas (galerija) </t>
  </si>
  <si>
    <t>Kultūros centro Žvejų rūmų modernizavimo koncepcijos parengimas</t>
  </si>
  <si>
    <t>Projekto „Klaipėdos miesto savivaldybės viešosios bibliotekos „Kauno atžalyno“ filialas – naujos galimybės mažiems ir dideliems“ parengimas</t>
  </si>
  <si>
    <t>Fachverkinės architektūros pastatų kompekso (Bažnyčių g. 4 / Daržų g. 10, Bažnyčių g. 6, Vežėjų g. 4, Aukštoji g. 1 / Didžioji Vandens g. 2) tvarkyba</t>
  </si>
  <si>
    <t>Iš dalies finansuota kultūros projektų, skаičius</t>
  </si>
  <si>
    <t>Dalyvavimas Baltijos jūros regiono šalių kultūrinėse programose bei jų inicijavimas</t>
  </si>
  <si>
    <t>Įgyvendinta Lietuvos kultūros sostinės programa</t>
  </si>
  <si>
    <t>Įgyvendinta projektų, skirtų paminėti darnaus judumo metams, skaičius</t>
  </si>
  <si>
    <t xml:space="preserve"> - projekto „Stop – knyga“ įgyvendinimas</t>
  </si>
  <si>
    <t xml:space="preserve"> - projekto „Istorija veža“ įgyvendinimas
</t>
  </si>
  <si>
    <t>Iš dalies finansuota kultūros projektų, skaičius</t>
  </si>
  <si>
    <r>
      <t xml:space="preserve">Dalyvavimas </t>
    </r>
    <r>
      <rPr>
        <sz val="10"/>
        <rFont val="Times New Roman"/>
        <family val="1"/>
        <charset val="186"/>
      </rPr>
      <t xml:space="preserve">Baltijos jūros regiono šalių </t>
    </r>
    <r>
      <rPr>
        <sz val="10"/>
        <rFont val="Times New Roman"/>
        <family val="1"/>
      </rPr>
      <t>kultūrinėse programose bei jų inicijavimas</t>
    </r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</si>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</sst>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>
      <alignment vertical="center"/>
    </xf>
  </cellStyleXfs>
  <cellXfs count="2581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164" fontId="4" fillId="5" borderId="25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164" fontId="4" fillId="5" borderId="68" xfId="0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10" fillId="0" borderId="0" xfId="0" applyFont="1"/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164" fontId="4" fillId="5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/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44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4" fillId="0" borderId="9" xfId="0" applyFont="1" applyBorder="1"/>
    <xf numFmtId="0" fontId="4" fillId="0" borderId="13" xfId="0" applyFont="1" applyBorder="1"/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0" fontId="4" fillId="5" borderId="38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9" borderId="24" xfId="0" applyNumberFormat="1" applyFont="1" applyFill="1" applyBorder="1" applyAlignment="1">
      <alignment horizontal="center" vertical="top"/>
    </xf>
    <xf numFmtId="164" fontId="4" fillId="9" borderId="9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76" xfId="0" applyNumberFormat="1" applyFont="1" applyFill="1" applyBorder="1" applyAlignment="1">
      <alignment horizontal="center" vertical="top"/>
    </xf>
    <xf numFmtId="164" fontId="4" fillId="9" borderId="44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5" fillId="9" borderId="65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4" fillId="9" borderId="78" xfId="0" applyNumberFormat="1" applyFont="1" applyFill="1" applyBorder="1" applyAlignment="1">
      <alignment horizontal="center" vertical="top" wrapText="1"/>
    </xf>
    <xf numFmtId="164" fontId="4" fillId="9" borderId="48" xfId="0" applyNumberFormat="1" applyFont="1" applyFill="1" applyBorder="1" applyAlignment="1">
      <alignment horizontal="center" vertical="top" wrapText="1"/>
    </xf>
    <xf numFmtId="164" fontId="4" fillId="9" borderId="77" xfId="0" applyNumberFormat="1" applyFont="1" applyFill="1" applyBorder="1" applyAlignment="1">
      <alignment horizontal="center" vertical="top" wrapText="1"/>
    </xf>
    <xf numFmtId="164" fontId="4" fillId="9" borderId="9" xfId="0" applyNumberFormat="1" applyFont="1" applyFill="1" applyBorder="1" applyAlignment="1">
      <alignment horizontal="center" vertical="top" wrapText="1"/>
    </xf>
    <xf numFmtId="164" fontId="4" fillId="9" borderId="22" xfId="0" applyNumberFormat="1" applyFont="1" applyFill="1" applyBorder="1" applyAlignment="1">
      <alignment horizontal="center" vertical="top" wrapText="1"/>
    </xf>
    <xf numFmtId="0" fontId="5" fillId="9" borderId="41" xfId="0" applyFont="1" applyFill="1" applyBorder="1" applyAlignment="1">
      <alignment horizontal="left" vertical="top" wrapText="1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0" fontId="5" fillId="9" borderId="41" xfId="0" applyFont="1" applyFill="1" applyBorder="1" applyAlignment="1">
      <alignment horizontal="center" vertical="top" wrapText="1"/>
    </xf>
    <xf numFmtId="164" fontId="4" fillId="9" borderId="33" xfId="0" applyNumberFormat="1" applyFont="1" applyFill="1" applyBorder="1" applyAlignment="1">
      <alignment horizontal="center" vertical="top" wrapText="1"/>
    </xf>
    <xf numFmtId="164" fontId="4" fillId="9" borderId="64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5" fillId="9" borderId="64" xfId="0" applyNumberFormat="1" applyFont="1" applyFill="1" applyBorder="1" applyAlignment="1">
      <alignment horizontal="center" vertical="top"/>
    </xf>
    <xf numFmtId="0" fontId="5" fillId="9" borderId="40" xfId="0" applyFont="1" applyFill="1" applyBorder="1" applyAlignment="1">
      <alignment horizontal="center" vertical="top" wrapText="1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4" fillId="9" borderId="71" xfId="0" applyNumberFormat="1" applyFont="1" applyFill="1" applyBorder="1" applyAlignment="1">
      <alignment horizontal="center" vertical="top"/>
    </xf>
    <xf numFmtId="164" fontId="4" fillId="9" borderId="70" xfId="0" applyNumberFormat="1" applyFont="1" applyFill="1" applyBorder="1" applyAlignment="1">
      <alignment horizontal="center" vertical="top"/>
    </xf>
    <xf numFmtId="164" fontId="4" fillId="9" borderId="75" xfId="0" applyNumberFormat="1" applyFont="1" applyFill="1" applyBorder="1" applyAlignment="1">
      <alignment horizontal="center" vertical="top"/>
    </xf>
    <xf numFmtId="164" fontId="4" fillId="9" borderId="49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0" fontId="5" fillId="9" borderId="31" xfId="0" applyFont="1" applyFill="1" applyBorder="1" applyAlignment="1">
      <alignment horizontal="center" vertical="top" wrapText="1"/>
    </xf>
    <xf numFmtId="164" fontId="5" fillId="9" borderId="29" xfId="0" applyNumberFormat="1" applyFont="1" applyFill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4" fillId="9" borderId="23" xfId="0" applyNumberFormat="1" applyFont="1" applyFill="1" applyBorder="1" applyAlignment="1">
      <alignment horizontal="center" vertical="top"/>
    </xf>
    <xf numFmtId="164" fontId="5" fillId="9" borderId="24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4" xfId="0" applyNumberFormat="1" applyFont="1" applyFill="1" applyBorder="1" applyAlignment="1">
      <alignment horizontal="center" vertical="top"/>
    </xf>
    <xf numFmtId="164" fontId="1" fillId="9" borderId="1" xfId="0" applyNumberFormat="1" applyFont="1" applyFill="1" applyBorder="1" applyAlignment="1">
      <alignment horizontal="center" vertical="top"/>
    </xf>
    <xf numFmtId="164" fontId="2" fillId="9" borderId="69" xfId="0" applyNumberFormat="1" applyFont="1" applyFill="1" applyBorder="1" applyAlignment="1">
      <alignment horizontal="center" vertical="top"/>
    </xf>
    <xf numFmtId="164" fontId="2" fillId="9" borderId="23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1" fillId="9" borderId="76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44" xfId="0" applyNumberFormat="1" applyFont="1" applyFill="1" applyBorder="1" applyAlignment="1">
      <alignment horizontal="center" vertical="top"/>
    </xf>
    <xf numFmtId="164" fontId="2" fillId="9" borderId="78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0" fontId="1" fillId="9" borderId="40" xfId="0" applyFont="1" applyFill="1" applyBorder="1" applyAlignment="1">
      <alignment horizontal="center" vertical="top" wrapText="1"/>
    </xf>
    <xf numFmtId="164" fontId="1" fillId="9" borderId="60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45" xfId="0" applyNumberFormat="1" applyFont="1" applyFill="1" applyBorder="1" applyAlignment="1">
      <alignment horizontal="center" vertical="top"/>
    </xf>
    <xf numFmtId="164" fontId="1" fillId="9" borderId="40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0" fontId="1" fillId="9" borderId="41" xfId="0" applyFont="1" applyFill="1" applyBorder="1" applyAlignment="1">
      <alignment horizontal="center" vertical="top" wrapText="1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8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9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2" fillId="0" borderId="61" xfId="0" applyNumberFormat="1" applyFont="1" applyFill="1" applyBorder="1" applyAlignment="1">
      <alignment horizontal="center" vertical="top"/>
    </xf>
    <xf numFmtId="164" fontId="12" fillId="0" borderId="24" xfId="0" applyNumberFormat="1" applyFont="1" applyFill="1" applyBorder="1" applyAlignment="1">
      <alignment horizontal="center" vertical="top"/>
    </xf>
    <xf numFmtId="164" fontId="12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0" borderId="70" xfId="0" applyNumberFormat="1" applyFont="1" applyBorder="1" applyAlignment="1">
      <alignment horizontal="center" vertical="top"/>
    </xf>
    <xf numFmtId="164" fontId="9" fillId="0" borderId="62" xfId="0" applyNumberFormat="1" applyFont="1" applyBorder="1" applyAlignment="1">
      <alignment horizontal="center" vertical="top"/>
    </xf>
    <xf numFmtId="164" fontId="9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center" vertical="top"/>
    </xf>
    <xf numFmtId="164" fontId="12" fillId="0" borderId="9" xfId="0" applyNumberFormat="1" applyFont="1" applyFill="1" applyBorder="1" applyAlignment="1">
      <alignment horizontal="center" vertical="top"/>
    </xf>
    <xf numFmtId="164" fontId="12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12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9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9" borderId="75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0" borderId="11" xfId="0" applyFont="1" applyBorder="1"/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9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9" borderId="19" xfId="0" applyNumberFormat="1" applyFont="1" applyFill="1" applyBorder="1" applyAlignment="1">
      <alignment horizontal="center" vertical="top"/>
    </xf>
    <xf numFmtId="164" fontId="2" fillId="9" borderId="74" xfId="0" applyNumberFormat="1" applyFont="1" applyFill="1" applyBorder="1" applyAlignment="1">
      <alignment horizontal="center" vertical="top"/>
    </xf>
    <xf numFmtId="164" fontId="2" fillId="9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8" borderId="9" xfId="0" applyFont="1" applyFill="1" applyBorder="1" applyAlignment="1">
      <alignment vertical="center" textRotation="90" wrapText="1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9" borderId="19" xfId="0" applyNumberFormat="1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/>
    </xf>
    <xf numFmtId="164" fontId="4" fillId="9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1" fontId="14" fillId="0" borderId="37" xfId="0" applyNumberFormat="1" applyFont="1" applyBorder="1" applyAlignment="1">
      <alignment horizontal="center" vertical="top" wrapText="1"/>
    </xf>
    <xf numFmtId="1" fontId="14" fillId="0" borderId="38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4" fillId="5" borderId="62" xfId="0" applyFont="1" applyFill="1" applyBorder="1" applyAlignment="1">
      <alignment horizontal="center" vertical="top"/>
    </xf>
    <xf numFmtId="0" fontId="4" fillId="5" borderId="49" xfId="0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54" xfId="0" applyFont="1" applyFill="1" applyBorder="1" applyAlignment="1">
      <alignment horizontal="left" vertical="top" wrapText="1"/>
    </xf>
    <xf numFmtId="0" fontId="4" fillId="5" borderId="63" xfId="0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0" fontId="4" fillId="5" borderId="76" xfId="0" applyFont="1" applyFill="1" applyBorder="1" applyAlignment="1">
      <alignment horizontal="center" vertical="top"/>
    </xf>
    <xf numFmtId="164" fontId="4" fillId="0" borderId="0" xfId="0" applyNumberFormat="1" applyFont="1"/>
    <xf numFmtId="164" fontId="5" fillId="9" borderId="4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9" borderId="67" xfId="0" applyFont="1" applyFill="1" applyBorder="1" applyAlignment="1">
      <alignment horizontal="center" vertical="top" wrapText="1"/>
    </xf>
    <xf numFmtId="0" fontId="4" fillId="0" borderId="49" xfId="0" applyFont="1" applyBorder="1"/>
    <xf numFmtId="0" fontId="2" fillId="5" borderId="9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vertical="top" wrapText="1"/>
    </xf>
    <xf numFmtId="164" fontId="2" fillId="8" borderId="30" xfId="0" applyNumberFormat="1" applyFont="1" applyFill="1" applyBorder="1" applyAlignment="1">
      <alignment horizontal="center" vertical="top" wrapText="1"/>
    </xf>
    <xf numFmtId="164" fontId="2" fillId="5" borderId="28" xfId="0" applyNumberFormat="1" applyFont="1" applyFill="1" applyBorder="1" applyAlignment="1">
      <alignment horizontal="center" vertical="top"/>
    </xf>
    <xf numFmtId="0" fontId="4" fillId="5" borderId="12" xfId="1" applyFont="1" applyFill="1" applyBorder="1" applyAlignment="1">
      <alignment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 wrapText="1"/>
    </xf>
    <xf numFmtId="164" fontId="4" fillId="5" borderId="45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4" fillId="5" borderId="72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vertical="top"/>
    </xf>
    <xf numFmtId="0" fontId="5" fillId="0" borderId="53" xfId="0" applyNumberFormat="1" applyFont="1" applyBorder="1" applyAlignment="1">
      <alignment vertical="top"/>
    </xf>
    <xf numFmtId="164" fontId="2" fillId="0" borderId="12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0" fontId="4" fillId="8" borderId="40" xfId="0" applyFont="1" applyFill="1" applyBorder="1" applyAlignment="1">
      <alignment horizontal="center" vertical="top" wrapText="1"/>
    </xf>
    <xf numFmtId="164" fontId="4" fillId="8" borderId="40" xfId="0" applyNumberFormat="1" applyFont="1" applyFill="1" applyBorder="1" applyAlignment="1">
      <alignment horizontal="center" vertical="top"/>
    </xf>
    <xf numFmtId="0" fontId="4" fillId="0" borderId="22" xfId="0" applyFont="1" applyBorder="1"/>
    <xf numFmtId="164" fontId="4" fillId="5" borderId="12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left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top" wrapText="1"/>
    </xf>
    <xf numFmtId="0" fontId="12" fillId="0" borderId="36" xfId="0" applyNumberFormat="1" applyFont="1" applyFill="1" applyBorder="1" applyAlignment="1">
      <alignment horizontal="center" vertical="top"/>
    </xf>
    <xf numFmtId="0" fontId="4" fillId="0" borderId="58" xfId="0" applyNumberFormat="1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wrapText="1"/>
    </xf>
    <xf numFmtId="0" fontId="4" fillId="0" borderId="35" xfId="0" applyNumberFormat="1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5" fillId="0" borderId="53" xfId="0" applyNumberFormat="1" applyFont="1" applyBorder="1" applyAlignment="1">
      <alignment vertical="top"/>
    </xf>
    <xf numFmtId="164" fontId="1" fillId="9" borderId="65" xfId="0" applyNumberFormat="1" applyFont="1" applyFill="1" applyBorder="1" applyAlignment="1">
      <alignment horizontal="center" vertical="top"/>
    </xf>
    <xf numFmtId="0" fontId="12" fillId="8" borderId="43" xfId="0" applyFont="1" applyFill="1" applyBorder="1" applyAlignment="1">
      <alignment horizontal="center" wrapText="1"/>
    </xf>
    <xf numFmtId="0" fontId="12" fillId="8" borderId="44" xfId="0" applyFont="1" applyFill="1" applyBorder="1" applyAlignment="1">
      <alignment horizontal="center" vertical="top" wrapText="1"/>
    </xf>
    <xf numFmtId="0" fontId="12" fillId="8" borderId="45" xfId="0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 wrapText="1"/>
    </xf>
    <xf numFmtId="0" fontId="4" fillId="8" borderId="30" xfId="0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9" xfId="0" applyNumberFormat="1" applyFont="1" applyFill="1" applyBorder="1" applyAlignment="1">
      <alignment horizontal="center" vertical="top"/>
    </xf>
    <xf numFmtId="0" fontId="12" fillId="0" borderId="49" xfId="0" applyNumberFormat="1" applyFont="1" applyFill="1" applyBorder="1" applyAlignment="1">
      <alignment horizontal="center" vertical="top"/>
    </xf>
    <xf numFmtId="0" fontId="4" fillId="0" borderId="5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4" xfId="0" applyFont="1" applyBorder="1"/>
    <xf numFmtId="49" fontId="5" fillId="8" borderId="9" xfId="0" applyNumberFormat="1" applyFont="1" applyFill="1" applyBorder="1" applyAlignment="1">
      <alignment vertical="center" textRotation="90" wrapText="1"/>
    </xf>
    <xf numFmtId="49" fontId="5" fillId="8" borderId="30" xfId="0" applyNumberFormat="1" applyFont="1" applyFill="1" applyBorder="1" applyAlignment="1">
      <alignment vertical="top" wrapText="1"/>
    </xf>
    <xf numFmtId="0" fontId="4" fillId="8" borderId="30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vertical="top" wrapText="1"/>
    </xf>
    <xf numFmtId="164" fontId="4" fillId="8" borderId="58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0" borderId="63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4" fillId="9" borderId="12" xfId="0" applyNumberFormat="1" applyFont="1" applyFill="1" applyBorder="1" applyAlignment="1">
      <alignment horizontal="center" vertical="top" wrapText="1"/>
    </xf>
    <xf numFmtId="164" fontId="4" fillId="9" borderId="68" xfId="0" applyNumberFormat="1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69" xfId="0" applyFont="1" applyBorder="1"/>
    <xf numFmtId="164" fontId="2" fillId="0" borderId="18" xfId="0" applyNumberFormat="1" applyFont="1" applyBorder="1" applyAlignment="1">
      <alignment horizontal="center" vertical="top"/>
    </xf>
    <xf numFmtId="0" fontId="2" fillId="0" borderId="69" xfId="0" applyFont="1" applyBorder="1"/>
    <xf numFmtId="164" fontId="4" fillId="0" borderId="75" xfId="0" applyNumberFormat="1" applyFont="1" applyFill="1" applyBorder="1" applyAlignment="1">
      <alignment horizontal="center" vertical="top"/>
    </xf>
    <xf numFmtId="164" fontId="2" fillId="0" borderId="75" xfId="0" applyNumberFormat="1" applyFont="1" applyBorder="1" applyAlignment="1">
      <alignment horizontal="center" vertical="top"/>
    </xf>
    <xf numFmtId="0" fontId="4" fillId="9" borderId="38" xfId="0" applyFont="1" applyFill="1" applyBorder="1"/>
    <xf numFmtId="164" fontId="2" fillId="9" borderId="30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 wrapText="1"/>
    </xf>
    <xf numFmtId="49" fontId="5" fillId="8" borderId="23" xfId="0" applyNumberFormat="1" applyFont="1" applyFill="1" applyBorder="1" applyAlignment="1">
      <alignment horizontal="center" vertical="top"/>
    </xf>
    <xf numFmtId="0" fontId="5" fillId="8" borderId="23" xfId="0" applyFont="1" applyFill="1" applyBorder="1" applyAlignment="1">
      <alignment horizontal="right" vertical="top"/>
    </xf>
    <xf numFmtId="164" fontId="5" fillId="8" borderId="23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right"/>
    </xf>
    <xf numFmtId="164" fontId="4" fillId="5" borderId="76" xfId="0" applyNumberFormat="1" applyFont="1" applyFill="1" applyBorder="1" applyAlignment="1">
      <alignment horizontal="center" vertical="top" wrapText="1"/>
    </xf>
    <xf numFmtId="164" fontId="4" fillId="9" borderId="40" xfId="0" applyNumberFormat="1" applyFont="1" applyFill="1" applyBorder="1" applyAlignment="1">
      <alignment horizontal="center" vertical="top" wrapText="1"/>
    </xf>
    <xf numFmtId="164" fontId="4" fillId="9" borderId="30" xfId="0" applyNumberFormat="1" applyFont="1" applyFill="1" applyBorder="1" applyAlignment="1">
      <alignment horizontal="center" vertical="top" wrapText="1"/>
    </xf>
    <xf numFmtId="164" fontId="4" fillId="9" borderId="30" xfId="0" applyNumberFormat="1" applyFont="1" applyFill="1" applyBorder="1" applyAlignment="1">
      <alignment horizontal="center" vertical="top"/>
    </xf>
    <xf numFmtId="1" fontId="4" fillId="0" borderId="38" xfId="0" applyNumberFormat="1" applyFont="1" applyBorder="1" applyAlignment="1">
      <alignment horizontal="center" vertical="top" wrapText="1"/>
    </xf>
    <xf numFmtId="0" fontId="4" fillId="8" borderId="9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4" fillId="8" borderId="30" xfId="0" applyFont="1" applyFill="1" applyBorder="1" applyAlignment="1">
      <alignment horizontal="left" vertical="top" wrapText="1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left" vertical="top" wrapText="1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164" fontId="4" fillId="9" borderId="11" xfId="0" applyNumberFormat="1" applyFont="1" applyFill="1" applyBorder="1" applyAlignment="1">
      <alignment horizontal="center" vertical="top" wrapText="1"/>
    </xf>
    <xf numFmtId="164" fontId="4" fillId="5" borderId="13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5" borderId="73" xfId="0" applyNumberFormat="1" applyFont="1" applyFill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164" fontId="4" fillId="0" borderId="0" xfId="0" applyNumberFormat="1" applyFont="1" applyBorder="1"/>
    <xf numFmtId="164" fontId="4" fillId="0" borderId="12" xfId="0" applyNumberFormat="1" applyFont="1" applyBorder="1"/>
    <xf numFmtId="0" fontId="4" fillId="9" borderId="16" xfId="0" applyFont="1" applyFill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center" vertical="top"/>
    </xf>
    <xf numFmtId="0" fontId="4" fillId="8" borderId="12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 shrinkToFit="1"/>
    </xf>
    <xf numFmtId="164" fontId="5" fillId="5" borderId="9" xfId="0" applyNumberFormat="1" applyFont="1" applyFill="1" applyBorder="1" applyAlignment="1">
      <alignment horizontal="center" vertical="top"/>
    </xf>
    <xf numFmtId="164" fontId="5" fillId="5" borderId="58" xfId="0" applyNumberFormat="1" applyFont="1" applyFill="1" applyBorder="1" applyAlignment="1">
      <alignment horizontal="center" vertical="top"/>
    </xf>
    <xf numFmtId="164" fontId="5" fillId="5" borderId="30" xfId="0" applyNumberFormat="1" applyFont="1" applyFill="1" applyBorder="1" applyAlignment="1">
      <alignment horizontal="center" vertical="top"/>
    </xf>
    <xf numFmtId="164" fontId="4" fillId="0" borderId="9" xfId="0" applyNumberFormat="1" applyFont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vertical="center" textRotation="90" wrapText="1"/>
    </xf>
    <xf numFmtId="0" fontId="5" fillId="9" borderId="41" xfId="0" applyFont="1" applyFill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left" vertical="top" wrapText="1"/>
    </xf>
    <xf numFmtId="0" fontId="4" fillId="8" borderId="1" xfId="0" applyNumberFormat="1" applyFont="1" applyFill="1" applyBorder="1" applyAlignment="1">
      <alignment horizontal="center" vertical="top"/>
    </xf>
    <xf numFmtId="0" fontId="4" fillId="8" borderId="34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3" xfId="0" applyNumberFormat="1" applyFont="1" applyFill="1" applyBorder="1" applyAlignment="1">
      <alignment horizontal="center" vertical="top"/>
    </xf>
    <xf numFmtId="0" fontId="4" fillId="8" borderId="50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164" fontId="5" fillId="9" borderId="25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vertical="top" wrapText="1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164" fontId="4" fillId="8" borderId="41" xfId="0" applyNumberFormat="1" applyFont="1" applyFill="1" applyBorder="1" applyAlignment="1">
      <alignment vertical="top" wrapText="1"/>
    </xf>
    <xf numFmtId="0" fontId="4" fillId="8" borderId="4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49" fontId="4" fillId="8" borderId="74" xfId="0" applyNumberFormat="1" applyFont="1" applyFill="1" applyBorder="1" applyAlignment="1">
      <alignment vertical="top"/>
    </xf>
    <xf numFmtId="49" fontId="4" fillId="8" borderId="72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9" borderId="38" xfId="0" applyFont="1" applyFill="1" applyBorder="1" applyAlignment="1">
      <alignment horizontal="center" vertical="top"/>
    </xf>
    <xf numFmtId="0" fontId="4" fillId="0" borderId="69" xfId="0" applyFont="1" applyBorder="1" applyAlignment="1">
      <alignment horizontal="center" vertical="top"/>
    </xf>
    <xf numFmtId="164" fontId="2" fillId="0" borderId="70" xfId="0" applyNumberFormat="1" applyFont="1" applyBorder="1" applyAlignment="1">
      <alignment horizontal="center" vertical="top"/>
    </xf>
    <xf numFmtId="0" fontId="2" fillId="8" borderId="18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0" fontId="2" fillId="8" borderId="58" xfId="0" applyFont="1" applyFill="1" applyBorder="1" applyAlignment="1">
      <alignment horizontal="center" vertical="top"/>
    </xf>
    <xf numFmtId="0" fontId="2" fillId="8" borderId="30" xfId="0" applyFont="1" applyFill="1" applyBorder="1" applyAlignment="1">
      <alignment horizontal="left" vertical="top" wrapText="1"/>
    </xf>
    <xf numFmtId="164" fontId="2" fillId="0" borderId="30" xfId="0" applyNumberFormat="1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left" vertical="top" wrapText="1"/>
    </xf>
    <xf numFmtId="0" fontId="2" fillId="9" borderId="38" xfId="0" applyFont="1" applyFill="1" applyBorder="1"/>
    <xf numFmtId="0" fontId="1" fillId="0" borderId="58" xfId="0" applyFont="1" applyFill="1" applyBorder="1" applyAlignment="1">
      <alignment vertical="center" textRotation="90" wrapText="1"/>
    </xf>
    <xf numFmtId="164" fontId="4" fillId="0" borderId="18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 wrapText="1"/>
    </xf>
    <xf numFmtId="164" fontId="2" fillId="0" borderId="38" xfId="0" applyNumberFormat="1" applyFont="1" applyBorder="1" applyAlignment="1">
      <alignment horizontal="center" vertical="top"/>
    </xf>
    <xf numFmtId="164" fontId="4" fillId="0" borderId="75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8" borderId="30" xfId="0" applyFont="1" applyFill="1" applyBorder="1" applyAlignment="1">
      <alignment horizontal="left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4" fillId="0" borderId="63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left" vertical="top" wrapText="1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vertical="top"/>
    </xf>
    <xf numFmtId="49" fontId="5" fillId="3" borderId="49" xfId="0" applyNumberFormat="1" applyFont="1" applyFill="1" applyBorder="1" applyAlignment="1">
      <alignment vertical="top"/>
    </xf>
    <xf numFmtId="0" fontId="5" fillId="0" borderId="58" xfId="0" applyFont="1" applyFill="1" applyBorder="1" applyAlignment="1">
      <alignment vertical="top" textRotation="90" wrapText="1"/>
    </xf>
    <xf numFmtId="0" fontId="5" fillId="0" borderId="73" xfId="0" applyFont="1" applyFill="1" applyBorder="1" applyAlignment="1">
      <alignment vertical="top" textRotation="90" wrapText="1"/>
    </xf>
    <xf numFmtId="0" fontId="5" fillId="0" borderId="53" xfId="0" applyFont="1" applyBorder="1" applyAlignment="1">
      <alignment horizontal="center" vertical="top"/>
    </xf>
    <xf numFmtId="0" fontId="4" fillId="0" borderId="54" xfId="0" applyFont="1" applyBorder="1"/>
    <xf numFmtId="0" fontId="4" fillId="9" borderId="53" xfId="0" applyFont="1" applyFill="1" applyBorder="1"/>
    <xf numFmtId="0" fontId="4" fillId="0" borderId="71" xfId="0" applyFont="1" applyBorder="1"/>
    <xf numFmtId="0" fontId="2" fillId="8" borderId="53" xfId="0" applyFont="1" applyFill="1" applyBorder="1"/>
    <xf numFmtId="0" fontId="2" fillId="8" borderId="55" xfId="0" applyFont="1" applyFill="1" applyBorder="1" applyAlignment="1">
      <alignment horizontal="left" vertical="top" wrapText="1"/>
    </xf>
    <xf numFmtId="0" fontId="2" fillId="8" borderId="75" xfId="0" applyFont="1" applyFill="1" applyBorder="1" applyAlignment="1">
      <alignment horizontal="center" vertical="top"/>
    </xf>
    <xf numFmtId="0" fontId="2" fillId="8" borderId="49" xfId="0" applyFont="1" applyFill="1" applyBorder="1" applyAlignment="1">
      <alignment horizontal="center" vertical="top"/>
    </xf>
    <xf numFmtId="0" fontId="2" fillId="8" borderId="63" xfId="0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8" borderId="30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164" fontId="4" fillId="5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/>
    </xf>
    <xf numFmtId="164" fontId="5" fillId="5" borderId="12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4" fillId="9" borderId="11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9" borderId="12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9" borderId="54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71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 wrapText="1"/>
    </xf>
    <xf numFmtId="3" fontId="5" fillId="9" borderId="52" xfId="0" applyNumberFormat="1" applyFont="1" applyFill="1" applyBorder="1" applyAlignment="1">
      <alignment horizontal="center" vertical="top"/>
    </xf>
    <xf numFmtId="3" fontId="5" fillId="9" borderId="41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 wrapText="1"/>
    </xf>
    <xf numFmtId="3" fontId="4" fillId="5" borderId="26" xfId="0" applyNumberFormat="1" applyFont="1" applyFill="1" applyBorder="1" applyAlignment="1">
      <alignment horizontal="center" vertical="top" wrapText="1"/>
    </xf>
    <xf numFmtId="3" fontId="4" fillId="9" borderId="40" xfId="0" applyNumberFormat="1" applyFont="1" applyFill="1" applyBorder="1" applyAlignment="1">
      <alignment horizontal="center" vertical="top" wrapText="1"/>
    </xf>
    <xf numFmtId="3" fontId="4" fillId="5" borderId="29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center" vertical="top" wrapText="1"/>
    </xf>
    <xf numFmtId="3" fontId="4" fillId="9" borderId="30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5" borderId="30" xfId="0" applyNumberFormat="1" applyFont="1" applyFill="1" applyBorder="1" applyAlignment="1">
      <alignment horizontal="center" vertical="top" wrapText="1"/>
    </xf>
    <xf numFmtId="3" fontId="4" fillId="9" borderId="30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5" fillId="9" borderId="41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/>
    </xf>
    <xf numFmtId="3" fontId="5" fillId="3" borderId="6" xfId="0" applyNumberFormat="1" applyFont="1" applyFill="1" applyBorder="1" applyAlignment="1">
      <alignment horizontal="center" vertical="top"/>
    </xf>
    <xf numFmtId="3" fontId="4" fillId="9" borderId="11" xfId="1" applyNumberFormat="1" applyFont="1" applyFill="1" applyBorder="1" applyAlignment="1">
      <alignment horizontal="center" vertical="top" wrapText="1"/>
    </xf>
    <xf numFmtId="3" fontId="4" fillId="5" borderId="38" xfId="0" applyNumberFormat="1" applyFont="1" applyFill="1" applyBorder="1" applyAlignment="1">
      <alignment horizontal="center" vertical="top" wrapText="1"/>
    </xf>
    <xf numFmtId="3" fontId="4" fillId="9" borderId="29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 wrapText="1"/>
    </xf>
    <xf numFmtId="3" fontId="4" fillId="9" borderId="12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/>
    </xf>
    <xf numFmtId="3" fontId="5" fillId="5" borderId="30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 wrapText="1"/>
    </xf>
    <xf numFmtId="3" fontId="5" fillId="9" borderId="67" xfId="0" applyNumberFormat="1" applyFont="1" applyFill="1" applyBorder="1" applyAlignment="1">
      <alignment horizontal="center" vertical="top"/>
    </xf>
    <xf numFmtId="3" fontId="5" fillId="9" borderId="68" xfId="0" applyNumberFormat="1" applyFont="1" applyFill="1" applyBorder="1" applyAlignment="1">
      <alignment horizontal="center" vertical="top" wrapText="1"/>
    </xf>
    <xf numFmtId="3" fontId="5" fillId="9" borderId="40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 wrapText="1"/>
    </xf>
    <xf numFmtId="3" fontId="4" fillId="5" borderId="31" xfId="0" applyNumberFormat="1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3" fontId="5" fillId="9" borderId="29" xfId="0" applyNumberFormat="1" applyFont="1" applyFill="1" applyBorder="1" applyAlignment="1">
      <alignment horizontal="center" vertical="top" wrapText="1"/>
    </xf>
    <xf numFmtId="3" fontId="5" fillId="9" borderId="26" xfId="0" applyNumberFormat="1" applyFont="1" applyFill="1" applyBorder="1" applyAlignment="1">
      <alignment horizontal="center" vertical="top"/>
    </xf>
    <xf numFmtId="3" fontId="5" fillId="9" borderId="31" xfId="0" applyNumberFormat="1" applyFont="1" applyFill="1" applyBorder="1" applyAlignment="1">
      <alignment horizontal="center" vertical="top"/>
    </xf>
    <xf numFmtId="3" fontId="4" fillId="9" borderId="68" xfId="0" applyNumberFormat="1" applyFont="1" applyFill="1" applyBorder="1" applyAlignment="1">
      <alignment horizontal="center" vertical="top" wrapText="1"/>
    </xf>
    <xf numFmtId="3" fontId="4" fillId="9" borderId="68" xfId="0" applyNumberFormat="1" applyFont="1" applyFill="1" applyBorder="1" applyAlignment="1">
      <alignment horizontal="center" vertical="top"/>
    </xf>
    <xf numFmtId="3" fontId="4" fillId="8" borderId="64" xfId="0" applyNumberFormat="1" applyFont="1" applyFill="1" applyBorder="1" applyAlignment="1">
      <alignment horizontal="center" vertical="top"/>
    </xf>
    <xf numFmtId="3" fontId="5" fillId="8" borderId="40" xfId="0" applyNumberFormat="1" applyFont="1" applyFill="1" applyBorder="1" applyAlignment="1">
      <alignment horizontal="center" vertical="top"/>
    </xf>
    <xf numFmtId="3" fontId="5" fillId="8" borderId="64" xfId="0" applyNumberFormat="1" applyFont="1" applyFill="1" applyBorder="1" applyAlignment="1">
      <alignment horizontal="center" vertical="top"/>
    </xf>
    <xf numFmtId="3" fontId="4" fillId="8" borderId="40" xfId="0" applyNumberFormat="1" applyFont="1" applyFill="1" applyBorder="1" applyAlignment="1">
      <alignment horizontal="center" vertical="top"/>
    </xf>
    <xf numFmtId="3" fontId="5" fillId="9" borderId="6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36" xfId="0" applyNumberFormat="1" applyFont="1" applyFill="1" applyBorder="1" applyAlignment="1">
      <alignment horizontal="center" vertical="top"/>
    </xf>
    <xf numFmtId="3" fontId="4" fillId="9" borderId="29" xfId="0" applyNumberFormat="1" applyFont="1" applyFill="1" applyBorder="1" applyAlignment="1">
      <alignment horizontal="center" vertical="top" wrapText="1"/>
    </xf>
    <xf numFmtId="3" fontId="4" fillId="9" borderId="0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 wrapText="1"/>
    </xf>
    <xf numFmtId="3" fontId="2" fillId="8" borderId="30" xfId="0" applyNumberFormat="1" applyFont="1" applyFill="1" applyBorder="1" applyAlignment="1">
      <alignment horizontal="center" vertical="top" wrapText="1"/>
    </xf>
    <xf numFmtId="3" fontId="4" fillId="9" borderId="54" xfId="0" applyNumberFormat="1" applyFont="1" applyFill="1" applyBorder="1" applyAlignment="1">
      <alignment horizontal="center"/>
    </xf>
    <xf numFmtId="3" fontId="2" fillId="8" borderId="53" xfId="0" applyNumberFormat="1" applyFont="1" applyFill="1" applyBorder="1"/>
    <xf numFmtId="3" fontId="2" fillId="5" borderId="53" xfId="0" applyNumberFormat="1" applyFont="1" applyFill="1" applyBorder="1" applyAlignment="1">
      <alignment horizontal="center" vertical="top" wrapText="1"/>
    </xf>
    <xf numFmtId="3" fontId="1" fillId="9" borderId="41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3" fontId="5" fillId="3" borderId="74" xfId="0" applyNumberFormat="1" applyFont="1" applyFill="1" applyBorder="1" applyAlignment="1">
      <alignment horizontal="center" vertical="top"/>
    </xf>
    <xf numFmtId="3" fontId="5" fillId="3" borderId="15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/>
    </xf>
    <xf numFmtId="3" fontId="5" fillId="4" borderId="14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8" borderId="2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top" wrapText="1"/>
    </xf>
    <xf numFmtId="3" fontId="5" fillId="4" borderId="26" xfId="0" applyNumberFormat="1" applyFont="1" applyFill="1" applyBorder="1" applyAlignment="1">
      <alignment horizontal="center" vertical="top"/>
    </xf>
    <xf numFmtId="3" fontId="5" fillId="4" borderId="31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  <xf numFmtId="3" fontId="4" fillId="0" borderId="32" xfId="0" applyNumberFormat="1" applyFont="1" applyFill="1" applyBorder="1" applyAlignment="1">
      <alignment horizontal="center" vertical="top" wrapText="1"/>
    </xf>
    <xf numFmtId="3" fontId="5" fillId="4" borderId="3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/>
    </xf>
    <xf numFmtId="3" fontId="4" fillId="5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3" fontId="5" fillId="5" borderId="12" xfId="0" applyNumberFormat="1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3" fontId="4" fillId="5" borderId="43" xfId="0" applyNumberFormat="1" applyFont="1" applyFill="1" applyBorder="1" applyAlignment="1">
      <alignment horizontal="center" vertical="top"/>
    </xf>
    <xf numFmtId="3" fontId="4" fillId="5" borderId="45" xfId="0" applyNumberFormat="1" applyFont="1" applyFill="1" applyBorder="1" applyAlignment="1">
      <alignment horizontal="center" vertical="top"/>
    </xf>
    <xf numFmtId="3" fontId="4" fillId="9" borderId="76" xfId="0" applyNumberFormat="1" applyFont="1" applyFill="1" applyBorder="1" applyAlignment="1">
      <alignment horizontal="center" vertical="top"/>
    </xf>
    <xf numFmtId="3" fontId="4" fillId="9" borderId="44" xfId="0" applyNumberFormat="1" applyFont="1" applyFill="1" applyBorder="1" applyAlignment="1">
      <alignment horizontal="center" vertical="top"/>
    </xf>
    <xf numFmtId="3" fontId="4" fillId="9" borderId="60" xfId="0" applyNumberFormat="1" applyFont="1" applyFill="1" applyBorder="1" applyAlignment="1">
      <alignment horizontal="center" vertical="top"/>
    </xf>
    <xf numFmtId="3" fontId="4" fillId="5" borderId="64" xfId="0" applyNumberFormat="1" applyFont="1" applyFill="1" applyBorder="1" applyAlignment="1">
      <alignment horizontal="center" vertical="top"/>
    </xf>
    <xf numFmtId="3" fontId="4" fillId="9" borderId="64" xfId="0" applyNumberFormat="1" applyFont="1" applyFill="1" applyBorder="1" applyAlignment="1">
      <alignment horizontal="center" vertical="top" wrapText="1"/>
    </xf>
    <xf numFmtId="3" fontId="4" fillId="9" borderId="44" xfId="0" applyNumberFormat="1" applyFont="1" applyFill="1" applyBorder="1" applyAlignment="1">
      <alignment horizontal="center" vertical="top" wrapText="1"/>
    </xf>
    <xf numFmtId="3" fontId="4" fillId="9" borderId="6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3" fontId="4" fillId="5" borderId="25" xfId="0" applyNumberFormat="1" applyFont="1" applyFill="1" applyBorder="1" applyAlignment="1">
      <alignment horizontal="center" vertical="top"/>
    </xf>
    <xf numFmtId="3" fontId="4" fillId="9" borderId="42" xfId="0" applyNumberFormat="1" applyFont="1" applyFill="1" applyBorder="1" applyAlignment="1">
      <alignment horizontal="center" vertical="top"/>
    </xf>
    <xf numFmtId="3" fontId="4" fillId="9" borderId="24" xfId="0" applyNumberFormat="1" applyFont="1" applyFill="1" applyBorder="1" applyAlignment="1">
      <alignment horizontal="center" vertical="top"/>
    </xf>
    <xf numFmtId="3" fontId="4" fillId="9" borderId="27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 wrapText="1"/>
    </xf>
    <xf numFmtId="3" fontId="2" fillId="0" borderId="1" xfId="0" applyNumberFormat="1" applyFont="1" applyBorder="1" applyAlignment="1">
      <alignment horizontal="center" vertical="top" textRotation="90" wrapText="1"/>
    </xf>
    <xf numFmtId="3" fontId="2" fillId="0" borderId="1" xfId="0" applyNumberFormat="1" applyFont="1" applyFill="1" applyBorder="1" applyAlignment="1">
      <alignment horizontal="center" vertical="top" textRotation="90" wrapText="1"/>
    </xf>
    <xf numFmtId="3" fontId="5" fillId="2" borderId="2" xfId="0" applyNumberFormat="1" applyFont="1" applyFill="1" applyBorder="1" applyAlignment="1">
      <alignment horizontal="center" vertical="top"/>
    </xf>
    <xf numFmtId="3" fontId="5" fillId="3" borderId="3" xfId="0" applyNumberFormat="1" applyFont="1" applyFill="1" applyBorder="1" applyAlignment="1">
      <alignment horizontal="center" vertical="top"/>
    </xf>
    <xf numFmtId="3" fontId="5" fillId="3" borderId="13" xfId="0" applyNumberFormat="1" applyFont="1" applyFill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3" fontId="5" fillId="0" borderId="13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textRotation="90" wrapText="1"/>
    </xf>
    <xf numFmtId="3" fontId="4" fillId="0" borderId="38" xfId="0" applyNumberFormat="1" applyFont="1" applyBorder="1" applyAlignment="1">
      <alignment horizontal="center" vertical="top"/>
    </xf>
    <xf numFmtId="3" fontId="4" fillId="5" borderId="21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4" fillId="5" borderId="57" xfId="0" applyNumberFormat="1" applyFont="1" applyFill="1" applyBorder="1" applyAlignment="1">
      <alignment horizontal="center" vertical="top"/>
    </xf>
    <xf numFmtId="3" fontId="4" fillId="9" borderId="69" xfId="0" applyNumberFormat="1" applyFont="1" applyFill="1" applyBorder="1" applyAlignment="1">
      <alignment horizontal="center" vertical="top"/>
    </xf>
    <xf numFmtId="3" fontId="4" fillId="9" borderId="13" xfId="0" applyNumberFormat="1" applyFont="1" applyFill="1" applyBorder="1" applyAlignment="1">
      <alignment horizontal="center" vertical="top"/>
    </xf>
    <xf numFmtId="3" fontId="4" fillId="9" borderId="28" xfId="0" applyNumberFormat="1" applyFont="1" applyFill="1" applyBorder="1" applyAlignment="1">
      <alignment horizontal="center" vertical="top"/>
    </xf>
    <xf numFmtId="3" fontId="4" fillId="0" borderId="48" xfId="0" applyNumberFormat="1" applyFont="1" applyBorder="1" applyAlignment="1">
      <alignment horizontal="center" vertical="top"/>
    </xf>
    <xf numFmtId="3" fontId="5" fillId="2" borderId="12" xfId="0" applyNumberFormat="1" applyFont="1" applyFill="1" applyBorder="1" applyAlignment="1">
      <alignment vertical="top"/>
    </xf>
    <xf numFmtId="3" fontId="5" fillId="3" borderId="9" xfId="0" applyNumberFormat="1" applyFont="1" applyFill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3" fontId="4" fillId="0" borderId="58" xfId="0" applyNumberFormat="1" applyFont="1" applyBorder="1" applyAlignment="1">
      <alignment vertical="top"/>
    </xf>
    <xf numFmtId="3" fontId="5" fillId="0" borderId="30" xfId="0" applyNumberFormat="1" applyFont="1" applyBorder="1" applyAlignment="1">
      <alignment vertical="top"/>
    </xf>
    <xf numFmtId="3" fontId="4" fillId="0" borderId="31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vertical="top" wrapText="1"/>
    </xf>
    <xf numFmtId="3" fontId="4" fillId="5" borderId="26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4" fillId="8" borderId="43" xfId="0" applyNumberFormat="1" applyFont="1" applyFill="1" applyBorder="1" applyAlignment="1">
      <alignment horizontal="center" vertical="top"/>
    </xf>
    <xf numFmtId="3" fontId="4" fillId="8" borderId="44" xfId="0" applyNumberFormat="1" applyFont="1" applyFill="1" applyBorder="1" applyAlignment="1">
      <alignment horizontal="center" vertical="top"/>
    </xf>
    <xf numFmtId="3" fontId="4" fillId="9" borderId="9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5" fillId="9" borderId="65" xfId="0" applyNumberFormat="1" applyFont="1" applyFill="1" applyBorder="1" applyAlignment="1">
      <alignment horizontal="center" vertical="top"/>
    </xf>
    <xf numFmtId="3" fontId="5" fillId="9" borderId="66" xfId="0" applyNumberFormat="1" applyFont="1" applyFill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top"/>
    </xf>
    <xf numFmtId="3" fontId="4" fillId="5" borderId="48" xfId="0" applyNumberFormat="1" applyFont="1" applyFill="1" applyBorder="1" applyAlignment="1">
      <alignment horizontal="center" vertical="top" wrapText="1"/>
    </xf>
    <xf numFmtId="3" fontId="4" fillId="5" borderId="59" xfId="0" applyNumberFormat="1" applyFont="1" applyFill="1" applyBorder="1" applyAlignment="1">
      <alignment horizontal="center" vertical="top" wrapText="1"/>
    </xf>
    <xf numFmtId="3" fontId="4" fillId="9" borderId="78" xfId="0" applyNumberFormat="1" applyFont="1" applyFill="1" applyBorder="1" applyAlignment="1">
      <alignment horizontal="center" vertical="top" wrapText="1"/>
    </xf>
    <xf numFmtId="3" fontId="4" fillId="9" borderId="48" xfId="0" applyNumberFormat="1" applyFont="1" applyFill="1" applyBorder="1" applyAlignment="1">
      <alignment horizontal="center" vertical="top" wrapText="1"/>
    </xf>
    <xf numFmtId="3" fontId="4" fillId="9" borderId="77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top" wrapText="1"/>
    </xf>
    <xf numFmtId="3" fontId="5" fillId="2" borderId="16" xfId="0" applyNumberFormat="1" applyFont="1" applyFill="1" applyBorder="1" applyAlignment="1">
      <alignment vertical="top"/>
    </xf>
    <xf numFmtId="3" fontId="4" fillId="0" borderId="9" xfId="0" applyNumberFormat="1" applyFont="1" applyFill="1" applyBorder="1" applyAlignment="1">
      <alignment vertical="top" wrapText="1"/>
    </xf>
    <xf numFmtId="3" fontId="4" fillId="5" borderId="76" xfId="0" applyNumberFormat="1" applyFont="1" applyFill="1" applyBorder="1" applyAlignment="1">
      <alignment horizontal="center" vertical="top"/>
    </xf>
    <xf numFmtId="3" fontId="5" fillId="3" borderId="9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vertical="top" wrapText="1"/>
    </xf>
    <xf numFmtId="3" fontId="4" fillId="5" borderId="9" xfId="0" applyNumberFormat="1" applyFont="1" applyFill="1" applyBorder="1" applyAlignment="1">
      <alignment horizontal="center" vertical="top" wrapText="1"/>
    </xf>
    <xf numFmtId="3" fontId="4" fillId="9" borderId="9" xfId="0" applyNumberFormat="1" applyFont="1" applyFill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vertical="top" wrapText="1"/>
    </xf>
    <xf numFmtId="3" fontId="4" fillId="0" borderId="61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/>
    </xf>
    <xf numFmtId="3" fontId="4" fillId="9" borderId="18" xfId="0" applyNumberFormat="1" applyFont="1" applyFill="1" applyBorder="1" applyAlignment="1">
      <alignment horizontal="center" vertical="top"/>
    </xf>
    <xf numFmtId="3" fontId="4" fillId="9" borderId="22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left" vertical="top" wrapText="1"/>
    </xf>
    <xf numFmtId="3" fontId="4" fillId="5" borderId="49" xfId="0" applyNumberFormat="1" applyFont="1" applyFill="1" applyBorder="1" applyAlignment="1">
      <alignment horizontal="center" vertical="top"/>
    </xf>
    <xf numFmtId="3" fontId="4" fillId="5" borderId="63" xfId="0" applyNumberFormat="1" applyFont="1" applyFill="1" applyBorder="1" applyAlignment="1">
      <alignment horizontal="center" vertical="top"/>
    </xf>
    <xf numFmtId="3" fontId="5" fillId="2" borderId="17" xfId="0" applyNumberFormat="1" applyFont="1" applyFill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8" borderId="3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textRotation="90" wrapText="1"/>
    </xf>
    <xf numFmtId="3" fontId="4" fillId="0" borderId="73" xfId="0" applyNumberFormat="1" applyFont="1" applyBorder="1" applyAlignment="1">
      <alignment vertical="top" wrapText="1"/>
    </xf>
    <xf numFmtId="3" fontId="5" fillId="0" borderId="72" xfId="0" applyNumberFormat="1" applyFont="1" applyBorder="1" applyAlignment="1">
      <alignment vertical="top" wrapText="1"/>
    </xf>
    <xf numFmtId="3" fontId="4" fillId="0" borderId="72" xfId="0" applyNumberFormat="1" applyFont="1" applyBorder="1" applyAlignment="1">
      <alignment vertical="top" wrapText="1"/>
    </xf>
    <xf numFmtId="3" fontId="4" fillId="5" borderId="51" xfId="0" applyNumberFormat="1" applyFont="1" applyFill="1" applyBorder="1" applyAlignment="1">
      <alignment horizontal="center" vertical="top"/>
    </xf>
    <xf numFmtId="3" fontId="5" fillId="2" borderId="15" xfId="0" applyNumberFormat="1" applyFont="1" applyFill="1" applyBorder="1" applyAlignment="1">
      <alignment horizontal="center" vertical="top"/>
    </xf>
    <xf numFmtId="3" fontId="5" fillId="3" borderId="20" xfId="0" applyNumberFormat="1" applyFont="1" applyFill="1" applyBorder="1" applyAlignment="1">
      <alignment horizontal="center" vertical="top"/>
    </xf>
    <xf numFmtId="3" fontId="5" fillId="3" borderId="2" xfId="0" applyNumberFormat="1" applyFont="1" applyFill="1" applyBorder="1" applyAlignment="1">
      <alignment horizontal="center" vertical="top"/>
    </xf>
    <xf numFmtId="3" fontId="5" fillId="3" borderId="5" xfId="0" applyNumberFormat="1" applyFont="1" applyFill="1" applyBorder="1" applyAlignment="1">
      <alignment horizontal="center" vertical="top"/>
    </xf>
    <xf numFmtId="3" fontId="5" fillId="3" borderId="79" xfId="0" applyNumberFormat="1" applyFont="1" applyFill="1" applyBorder="1" applyAlignment="1">
      <alignment horizontal="center" vertical="top"/>
    </xf>
    <xf numFmtId="3" fontId="5" fillId="3" borderId="80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3" fontId="5" fillId="3" borderId="13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center" vertical="top"/>
    </xf>
    <xf numFmtId="3" fontId="4" fillId="5" borderId="38" xfId="1" applyNumberFormat="1" applyFont="1" applyFill="1" applyBorder="1" applyAlignment="1">
      <alignment horizontal="center" vertical="top" wrapText="1"/>
    </xf>
    <xf numFmtId="3" fontId="4" fillId="5" borderId="47" xfId="0" applyNumberFormat="1" applyFont="1" applyFill="1" applyBorder="1" applyAlignment="1">
      <alignment horizontal="center" vertical="top" wrapText="1"/>
    </xf>
    <xf numFmtId="3" fontId="4" fillId="5" borderId="77" xfId="0" applyNumberFormat="1" applyFont="1" applyFill="1" applyBorder="1" applyAlignment="1">
      <alignment horizontal="center" vertical="top" wrapText="1"/>
    </xf>
    <xf numFmtId="3" fontId="4" fillId="9" borderId="56" xfId="0" applyNumberFormat="1" applyFont="1" applyFill="1" applyBorder="1" applyAlignment="1">
      <alignment horizontal="center" vertical="top" wrapText="1"/>
    </xf>
    <xf numFmtId="3" fontId="4" fillId="9" borderId="33" xfId="0" applyNumberFormat="1" applyFont="1" applyFill="1" applyBorder="1" applyAlignment="1">
      <alignment horizontal="center" vertical="top" wrapText="1"/>
    </xf>
    <xf numFmtId="3" fontId="4" fillId="9" borderId="46" xfId="0" applyNumberFormat="1" applyFont="1" applyFill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3" fontId="4" fillId="0" borderId="22" xfId="0" applyNumberFormat="1" applyFont="1" applyBorder="1" applyAlignment="1">
      <alignment vertical="top"/>
    </xf>
    <xf numFmtId="3" fontId="4" fillId="5" borderId="31" xfId="1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/>
    </xf>
    <xf numFmtId="3" fontId="4" fillId="9" borderId="45" xfId="0" applyNumberFormat="1" applyFont="1" applyFill="1" applyBorder="1" applyAlignment="1">
      <alignment horizontal="center" vertical="top"/>
    </xf>
    <xf numFmtId="3" fontId="4" fillId="0" borderId="68" xfId="0" applyNumberFormat="1" applyFont="1" applyFill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/>
    </xf>
    <xf numFmtId="3" fontId="4" fillId="0" borderId="43" xfId="0" applyNumberFormat="1" applyFont="1" applyBorder="1" applyAlignment="1">
      <alignment horizontal="center" vertical="top"/>
    </xf>
    <xf numFmtId="3" fontId="4" fillId="0" borderId="44" xfId="0" applyNumberFormat="1" applyFont="1" applyBorder="1" applyAlignment="1">
      <alignment horizontal="center" vertical="top"/>
    </xf>
    <xf numFmtId="3" fontId="4" fillId="0" borderId="9" xfId="0" applyNumberFormat="1" applyFont="1" applyBorder="1" applyAlignment="1">
      <alignment vertical="top"/>
    </xf>
    <xf numFmtId="3" fontId="5" fillId="9" borderId="44" xfId="0" applyNumberFormat="1" applyFont="1" applyFill="1" applyBorder="1" applyAlignment="1">
      <alignment horizontal="center" vertical="top"/>
    </xf>
    <xf numFmtId="3" fontId="5" fillId="9" borderId="45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left" vertical="top" wrapText="1"/>
    </xf>
    <xf numFmtId="3" fontId="4" fillId="5" borderId="37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4" fillId="8" borderId="3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left" vertical="top" wrapText="1"/>
    </xf>
    <xf numFmtId="3" fontId="4" fillId="5" borderId="56" xfId="0" applyNumberFormat="1" applyFont="1" applyFill="1" applyBorder="1" applyAlignment="1">
      <alignment horizontal="center" vertical="top"/>
    </xf>
    <xf numFmtId="3" fontId="4" fillId="5" borderId="48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/>
    </xf>
    <xf numFmtId="3" fontId="4" fillId="0" borderId="58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5" fillId="0" borderId="22" xfId="0" applyNumberFormat="1" applyFont="1" applyBorder="1" applyAlignment="1">
      <alignment vertical="top"/>
    </xf>
    <xf numFmtId="3" fontId="4" fillId="5" borderId="31" xfId="0" applyNumberFormat="1" applyFont="1" applyFill="1" applyBorder="1" applyAlignment="1">
      <alignment horizontal="left" vertical="top" wrapText="1"/>
    </xf>
    <xf numFmtId="3" fontId="5" fillId="0" borderId="53" xfId="0" applyNumberFormat="1" applyFont="1" applyBorder="1" applyAlignment="1">
      <alignment vertical="top"/>
    </xf>
    <xf numFmtId="3" fontId="4" fillId="0" borderId="63" xfId="0" applyNumberFormat="1" applyFont="1" applyBorder="1" applyAlignment="1">
      <alignment horizontal="center" vertical="top"/>
    </xf>
    <xf numFmtId="3" fontId="4" fillId="9" borderId="75" xfId="0" applyNumberFormat="1" applyFont="1" applyFill="1" applyBorder="1" applyAlignment="1">
      <alignment horizontal="center" vertical="top"/>
    </xf>
    <xf numFmtId="3" fontId="4" fillId="9" borderId="49" xfId="0" applyNumberFormat="1" applyFont="1" applyFill="1" applyBorder="1" applyAlignment="1">
      <alignment horizontal="center" vertical="top"/>
    </xf>
    <xf numFmtId="3" fontId="4" fillId="9" borderId="70" xfId="0" applyNumberFormat="1" applyFont="1" applyFill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center" vertical="top"/>
    </xf>
    <xf numFmtId="3" fontId="4" fillId="5" borderId="36" xfId="0" applyNumberFormat="1" applyFont="1" applyFill="1" applyBorder="1" applyAlignment="1">
      <alignment horizontal="center" vertical="top" wrapText="1"/>
    </xf>
    <xf numFmtId="3" fontId="4" fillId="5" borderId="29" xfId="0" applyNumberFormat="1" applyFont="1" applyFill="1" applyBorder="1" applyAlignment="1">
      <alignment horizontal="left" vertical="top" wrapText="1"/>
    </xf>
    <xf numFmtId="3" fontId="4" fillId="5" borderId="68" xfId="0" applyNumberFormat="1" applyFont="1" applyFill="1" applyBorder="1" applyAlignment="1">
      <alignment horizontal="left" vertical="top" wrapText="1"/>
    </xf>
    <xf numFmtId="3" fontId="4" fillId="5" borderId="32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0" borderId="45" xfId="0" applyNumberFormat="1" applyFont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 wrapText="1"/>
    </xf>
    <xf numFmtId="3" fontId="4" fillId="8" borderId="31" xfId="0" applyNumberFormat="1" applyFont="1" applyFill="1" applyBorder="1" applyAlignment="1">
      <alignment horizontal="center" vertical="top"/>
    </xf>
    <xf numFmtId="3" fontId="4" fillId="5" borderId="16" xfId="0" applyNumberFormat="1" applyFont="1" applyFill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/>
    </xf>
    <xf numFmtId="3" fontId="4" fillId="0" borderId="21" xfId="0" applyNumberFormat="1" applyFont="1" applyBorder="1" applyAlignment="1">
      <alignment horizontal="center" vertical="top"/>
    </xf>
    <xf numFmtId="3" fontId="4" fillId="0" borderId="3" xfId="0" applyNumberFormat="1" applyFont="1" applyFill="1" applyBorder="1" applyAlignment="1">
      <alignment vertical="top" wrapText="1"/>
    </xf>
    <xf numFmtId="3" fontId="13" fillId="0" borderId="13" xfId="0" applyNumberFormat="1" applyFont="1" applyFill="1" applyBorder="1" applyAlignment="1">
      <alignment horizontal="left" vertical="top" wrapText="1"/>
    </xf>
    <xf numFmtId="3" fontId="4" fillId="0" borderId="23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left" vertical="top"/>
    </xf>
    <xf numFmtId="3" fontId="1" fillId="0" borderId="9" xfId="0" applyNumberFormat="1" applyFont="1" applyFill="1" applyBorder="1" applyAlignment="1">
      <alignment horizontal="left" vertical="top" wrapText="1"/>
    </xf>
    <xf numFmtId="3" fontId="4" fillId="5" borderId="58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vertical="top"/>
    </xf>
    <xf numFmtId="3" fontId="4" fillId="9" borderId="26" xfId="0" applyNumberFormat="1" applyFont="1" applyFill="1" applyBorder="1" applyAlignment="1">
      <alignment horizontal="center" vertical="top"/>
    </xf>
    <xf numFmtId="3" fontId="6" fillId="0" borderId="9" xfId="0" applyNumberFormat="1" applyFont="1" applyBorder="1" applyAlignment="1">
      <alignment vertical="top"/>
    </xf>
    <xf numFmtId="3" fontId="4" fillId="5" borderId="54" xfId="0" applyNumberFormat="1" applyFont="1" applyFill="1" applyBorder="1" applyAlignment="1">
      <alignment horizontal="center" vertical="top"/>
    </xf>
    <xf numFmtId="3" fontId="4" fillId="9" borderId="71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vertical="top"/>
    </xf>
    <xf numFmtId="3" fontId="4" fillId="2" borderId="16" xfId="0" applyNumberFormat="1" applyFont="1" applyFill="1" applyBorder="1" applyAlignment="1">
      <alignment horizontal="center" vertical="top"/>
    </xf>
    <xf numFmtId="3" fontId="5" fillId="3" borderId="18" xfId="0" applyNumberFormat="1" applyFont="1" applyFill="1" applyBorder="1" applyAlignment="1">
      <alignment horizontal="center" vertical="top"/>
    </xf>
    <xf numFmtId="3" fontId="5" fillId="9" borderId="40" xfId="0" applyNumberFormat="1" applyFont="1" applyFill="1" applyBorder="1" applyAlignment="1">
      <alignment horizontal="center" vertical="top" wrapText="1"/>
    </xf>
    <xf numFmtId="3" fontId="5" fillId="9" borderId="68" xfId="0" applyNumberFormat="1" applyFont="1" applyFill="1" applyBorder="1" applyAlignment="1">
      <alignment horizontal="center" vertical="top"/>
    </xf>
    <xf numFmtId="3" fontId="5" fillId="9" borderId="60" xfId="0" applyNumberFormat="1" applyFont="1" applyFill="1" applyBorder="1" applyAlignment="1">
      <alignment horizontal="center" vertical="top"/>
    </xf>
    <xf numFmtId="3" fontId="4" fillId="9" borderId="0" xfId="0" applyNumberFormat="1" applyFont="1" applyFill="1" applyBorder="1" applyAlignment="1">
      <alignment horizontal="center" vertical="top" wrapText="1"/>
    </xf>
    <xf numFmtId="3" fontId="5" fillId="2" borderId="16" xfId="0" applyNumberFormat="1" applyFont="1" applyFill="1" applyBorder="1" applyAlignment="1">
      <alignment horizontal="center" vertical="top"/>
    </xf>
    <xf numFmtId="3" fontId="4" fillId="0" borderId="54" xfId="0" applyNumberFormat="1" applyFont="1" applyBorder="1" applyAlignment="1">
      <alignment horizontal="center" vertical="top"/>
    </xf>
    <xf numFmtId="3" fontId="4" fillId="2" borderId="17" xfId="0" applyNumberFormat="1" applyFont="1" applyFill="1" applyBorder="1" applyAlignment="1">
      <alignment horizontal="center" vertical="top"/>
    </xf>
    <xf numFmtId="3" fontId="5" fillId="3" borderId="19" xfId="0" applyNumberFormat="1" applyFont="1" applyFill="1" applyBorder="1" applyAlignment="1">
      <alignment horizontal="center" vertical="top"/>
    </xf>
    <xf numFmtId="3" fontId="6" fillId="0" borderId="3" xfId="0" applyNumberFormat="1" applyFont="1" applyBorder="1" applyAlignment="1">
      <alignment vertical="top"/>
    </xf>
    <xf numFmtId="3" fontId="4" fillId="6" borderId="4" xfId="0" applyNumberFormat="1" applyFont="1" applyFill="1" applyBorder="1" applyAlignment="1">
      <alignment vertical="top"/>
    </xf>
    <xf numFmtId="3" fontId="4" fillId="6" borderId="34" xfId="0" applyNumberFormat="1" applyFont="1" applyFill="1" applyBorder="1" applyAlignment="1">
      <alignment vertical="top"/>
    </xf>
    <xf numFmtId="3" fontId="5" fillId="6" borderId="41" xfId="0" applyNumberFormat="1" applyFont="1" applyFill="1" applyBorder="1" applyAlignment="1">
      <alignment horizontal="center" vertical="top" wrapText="1"/>
    </xf>
    <xf numFmtId="3" fontId="5" fillId="6" borderId="67" xfId="0" applyNumberFormat="1" applyFont="1" applyFill="1" applyBorder="1" applyAlignment="1">
      <alignment horizontal="center" vertical="top"/>
    </xf>
    <xf numFmtId="3" fontId="5" fillId="6" borderId="1" xfId="0" applyNumberFormat="1" applyFont="1" applyFill="1" applyBorder="1" applyAlignment="1">
      <alignment horizontal="center" vertical="top"/>
    </xf>
    <xf numFmtId="3" fontId="5" fillId="6" borderId="65" xfId="0" applyNumberFormat="1" applyFont="1" applyFill="1" applyBorder="1" applyAlignment="1">
      <alignment horizontal="center" vertical="top"/>
    </xf>
    <xf numFmtId="3" fontId="5" fillId="6" borderId="4" xfId="0" applyNumberFormat="1" applyFont="1" applyFill="1" applyBorder="1" applyAlignment="1">
      <alignment horizontal="center" vertical="top"/>
    </xf>
    <xf numFmtId="3" fontId="5" fillId="6" borderId="51" xfId="0" applyNumberFormat="1" applyFont="1" applyFill="1" applyBorder="1" applyAlignment="1">
      <alignment horizontal="center" vertical="top"/>
    </xf>
    <xf numFmtId="3" fontId="11" fillId="0" borderId="23" xfId="0" applyNumberFormat="1" applyFont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38" xfId="0" applyNumberFormat="1" applyFont="1" applyBorder="1" applyAlignment="1">
      <alignment vertical="top"/>
    </xf>
    <xf numFmtId="3" fontId="4" fillId="0" borderId="47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5" borderId="69" xfId="0" applyNumberFormat="1" applyFont="1" applyFill="1" applyBorder="1" applyAlignment="1">
      <alignment horizontal="center" vertical="top"/>
    </xf>
    <xf numFmtId="3" fontId="4" fillId="9" borderId="23" xfId="0" applyNumberFormat="1" applyFont="1" applyFill="1" applyBorder="1" applyAlignment="1">
      <alignment horizontal="center" vertical="top"/>
    </xf>
    <xf numFmtId="3" fontId="5" fillId="9" borderId="31" xfId="0" applyNumberFormat="1" applyFont="1" applyFill="1" applyBorder="1" applyAlignment="1">
      <alignment horizontal="center" vertical="top" wrapText="1"/>
    </xf>
    <xf numFmtId="3" fontId="5" fillId="9" borderId="29" xfId="0" applyNumberFormat="1" applyFont="1" applyFill="1" applyBorder="1" applyAlignment="1">
      <alignment horizontal="center" vertical="top"/>
    </xf>
    <xf numFmtId="3" fontId="5" fillId="9" borderId="24" xfId="0" applyNumberFormat="1" applyFont="1" applyFill="1" applyBorder="1" applyAlignment="1">
      <alignment horizontal="center" vertical="top"/>
    </xf>
    <xf numFmtId="3" fontId="5" fillId="9" borderId="42" xfId="0" applyNumberFormat="1" applyFont="1" applyFill="1" applyBorder="1" applyAlignment="1">
      <alignment horizontal="center" vertical="top"/>
    </xf>
    <xf numFmtId="3" fontId="5" fillId="9" borderId="32" xfId="0" applyNumberFormat="1" applyFont="1" applyFill="1" applyBorder="1" applyAlignment="1">
      <alignment horizontal="center" vertical="top"/>
    </xf>
    <xf numFmtId="3" fontId="5" fillId="9" borderId="27" xfId="0" applyNumberFormat="1" applyFont="1" applyFill="1" applyBorder="1" applyAlignment="1">
      <alignment horizontal="center" vertical="top"/>
    </xf>
    <xf numFmtId="3" fontId="4" fillId="5" borderId="29" xfId="0" applyNumberFormat="1" applyFont="1" applyFill="1" applyBorder="1" applyAlignment="1">
      <alignment horizontal="center" vertical="top"/>
    </xf>
    <xf numFmtId="3" fontId="4" fillId="5" borderId="42" xfId="0" applyNumberFormat="1" applyFont="1" applyFill="1" applyBorder="1" applyAlignment="1">
      <alignment horizontal="center" vertical="top"/>
    </xf>
    <xf numFmtId="3" fontId="4" fillId="0" borderId="68" xfId="0" applyNumberFormat="1" applyFont="1" applyFill="1" applyBorder="1" applyAlignment="1">
      <alignment vertical="top" wrapText="1"/>
    </xf>
    <xf numFmtId="3" fontId="4" fillId="5" borderId="18" xfId="0" applyNumberFormat="1" applyFont="1" applyFill="1" applyBorder="1" applyAlignment="1">
      <alignment horizontal="center" vertical="top"/>
    </xf>
    <xf numFmtId="3" fontId="5" fillId="9" borderId="76" xfId="0" applyNumberFormat="1" applyFont="1" applyFill="1" applyBorder="1" applyAlignment="1">
      <alignment horizontal="center" vertical="top"/>
    </xf>
    <xf numFmtId="3" fontId="5" fillId="9" borderId="35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vertical="top"/>
    </xf>
    <xf numFmtId="3" fontId="5" fillId="6" borderId="52" xfId="0" applyNumberFormat="1" applyFont="1" applyFill="1" applyBorder="1" applyAlignment="1">
      <alignment horizontal="center" vertical="top"/>
    </xf>
    <xf numFmtId="3" fontId="5" fillId="6" borderId="34" xfId="0" applyNumberFormat="1" applyFont="1" applyFill="1" applyBorder="1" applyAlignment="1">
      <alignment horizontal="center" vertical="top"/>
    </xf>
    <xf numFmtId="3" fontId="5" fillId="6" borderId="41" xfId="0" applyNumberFormat="1" applyFont="1" applyFill="1" applyBorder="1" applyAlignment="1">
      <alignment horizontal="center" vertical="top"/>
    </xf>
    <xf numFmtId="3" fontId="5" fillId="2" borderId="17" xfId="0" applyNumberFormat="1" applyFont="1" applyFill="1" applyBorder="1" applyAlignment="1">
      <alignment horizontal="center" vertical="top"/>
    </xf>
    <xf numFmtId="3" fontId="5" fillId="3" borderId="8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37" xfId="0" applyNumberFormat="1" applyFont="1" applyFill="1" applyBorder="1" applyAlignment="1">
      <alignment horizontal="left" vertical="top"/>
    </xf>
    <xf numFmtId="3" fontId="4" fillId="0" borderId="23" xfId="0" applyNumberFormat="1" applyFont="1" applyFill="1" applyBorder="1" applyAlignment="1">
      <alignment horizontal="center" vertical="top"/>
    </xf>
    <xf numFmtId="3" fontId="2" fillId="5" borderId="9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center" vertical="top"/>
    </xf>
    <xf numFmtId="3" fontId="2" fillId="0" borderId="58" xfId="0" applyNumberFormat="1" applyFont="1" applyBorder="1" applyAlignment="1">
      <alignment horizontal="center" vertical="top"/>
    </xf>
    <xf numFmtId="3" fontId="2" fillId="9" borderId="18" xfId="0" applyNumberFormat="1" applyFont="1" applyFill="1" applyBorder="1" applyAlignment="1">
      <alignment horizontal="center" vertical="top"/>
    </xf>
    <xf numFmtId="3" fontId="2" fillId="9" borderId="0" xfId="0" applyNumberFormat="1" applyFont="1" applyFill="1" applyBorder="1" applyAlignment="1">
      <alignment horizontal="center" vertical="top"/>
    </xf>
    <xf numFmtId="3" fontId="2" fillId="9" borderId="9" xfId="0" applyNumberFormat="1" applyFont="1" applyFill="1" applyBorder="1" applyAlignment="1">
      <alignment horizontal="center" vertical="top"/>
    </xf>
    <xf numFmtId="3" fontId="2" fillId="5" borderId="18" xfId="0" applyNumberFormat="1" applyFont="1" applyFill="1" applyBorder="1" applyAlignment="1">
      <alignment horizontal="center" vertical="top"/>
    </xf>
    <xf numFmtId="3" fontId="2" fillId="5" borderId="9" xfId="0" applyNumberFormat="1" applyFont="1" applyFill="1" applyBorder="1" applyAlignment="1">
      <alignment horizontal="center" vertical="top"/>
    </xf>
    <xf numFmtId="3" fontId="2" fillId="5" borderId="58" xfId="0" applyNumberFormat="1" applyFont="1" applyFill="1" applyBorder="1" applyAlignment="1">
      <alignment horizontal="center" vertical="top"/>
    </xf>
    <xf numFmtId="3" fontId="4" fillId="0" borderId="68" xfId="0" applyNumberFormat="1" applyFont="1" applyBorder="1" applyAlignment="1">
      <alignment horizontal="center" vertical="top"/>
    </xf>
    <xf numFmtId="3" fontId="2" fillId="0" borderId="44" xfId="0" applyNumberFormat="1" applyFont="1" applyBorder="1" applyAlignment="1">
      <alignment horizontal="center" vertical="top"/>
    </xf>
    <xf numFmtId="3" fontId="2" fillId="9" borderId="64" xfId="0" applyNumberFormat="1" applyFont="1" applyFill="1" applyBorder="1" applyAlignment="1">
      <alignment horizontal="center" vertical="top"/>
    </xf>
    <xf numFmtId="3" fontId="2" fillId="9" borderId="44" xfId="0" applyNumberFormat="1" applyFont="1" applyFill="1" applyBorder="1" applyAlignment="1">
      <alignment horizontal="center" vertical="top"/>
    </xf>
    <xf numFmtId="3" fontId="2" fillId="8" borderId="42" xfId="0" applyNumberFormat="1" applyFont="1" applyFill="1" applyBorder="1" applyAlignment="1">
      <alignment horizontal="center" vertical="top"/>
    </xf>
    <xf numFmtId="3" fontId="2" fillId="8" borderId="76" xfId="0" applyNumberFormat="1" applyFont="1" applyFill="1" applyBorder="1" applyAlignment="1">
      <alignment horizontal="center" vertical="top"/>
    </xf>
    <xf numFmtId="3" fontId="2" fillId="8" borderId="45" xfId="0" applyNumberFormat="1" applyFont="1" applyFill="1" applyBorder="1" applyAlignment="1">
      <alignment horizontal="center" vertical="top"/>
    </xf>
    <xf numFmtId="3" fontId="2" fillId="8" borderId="30" xfId="0" applyNumberFormat="1" applyFont="1" applyFill="1" applyBorder="1" applyAlignment="1">
      <alignment vertical="top"/>
    </xf>
    <xf numFmtId="3" fontId="2" fillId="0" borderId="26" xfId="0" applyNumberFormat="1" applyFont="1" applyBorder="1" applyAlignment="1">
      <alignment horizontal="center" vertical="top"/>
    </xf>
    <xf numFmtId="3" fontId="2" fillId="9" borderId="61" xfId="0" applyNumberFormat="1" applyFont="1" applyFill="1" applyBorder="1" applyAlignment="1">
      <alignment horizontal="center" vertical="top"/>
    </xf>
    <xf numFmtId="3" fontId="2" fillId="9" borderId="26" xfId="0" applyNumberFormat="1" applyFont="1" applyFill="1" applyBorder="1" applyAlignment="1">
      <alignment horizontal="center" vertical="top"/>
    </xf>
    <xf numFmtId="3" fontId="2" fillId="9" borderId="24" xfId="0" applyNumberFormat="1" applyFont="1" applyFill="1" applyBorder="1" applyAlignment="1">
      <alignment horizontal="center" vertical="top"/>
    </xf>
    <xf numFmtId="3" fontId="2" fillId="9" borderId="32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 wrapText="1"/>
    </xf>
    <xf numFmtId="3" fontId="2" fillId="5" borderId="24" xfId="0" applyNumberFormat="1" applyFont="1" applyFill="1" applyBorder="1" applyAlignment="1">
      <alignment horizontal="center" vertical="top"/>
    </xf>
    <xf numFmtId="3" fontId="1" fillId="9" borderId="4" xfId="0" applyNumberFormat="1" applyFont="1" applyFill="1" applyBorder="1" applyAlignment="1">
      <alignment horizontal="center" vertical="top"/>
    </xf>
    <xf numFmtId="3" fontId="1" fillId="9" borderId="1" xfId="0" applyNumberFormat="1" applyFont="1" applyFill="1" applyBorder="1" applyAlignment="1">
      <alignment horizontal="center" vertical="top"/>
    </xf>
    <xf numFmtId="3" fontId="1" fillId="9" borderId="66" xfId="0" applyNumberFormat="1" applyFont="1" applyFill="1" applyBorder="1" applyAlignment="1">
      <alignment horizontal="center" vertical="top"/>
    </xf>
    <xf numFmtId="3" fontId="1" fillId="9" borderId="52" xfId="0" applyNumberFormat="1" applyFont="1" applyFill="1" applyBorder="1" applyAlignment="1">
      <alignment horizontal="center" vertical="top"/>
    </xf>
    <xf numFmtId="3" fontId="1" fillId="9" borderId="34" xfId="0" applyNumberFormat="1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50" xfId="0" applyNumberFormat="1" applyFont="1" applyBorder="1" applyAlignment="1">
      <alignment horizontal="center" vertical="top"/>
    </xf>
    <xf numFmtId="3" fontId="2" fillId="0" borderId="47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3" fontId="2" fillId="5" borderId="23" xfId="0" applyNumberFormat="1" applyFont="1" applyFill="1" applyBorder="1" applyAlignment="1">
      <alignment horizontal="center" vertical="top"/>
    </xf>
    <xf numFmtId="3" fontId="2" fillId="5" borderId="28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2" fillId="9" borderId="23" xfId="0" applyNumberFormat="1" applyFont="1" applyFill="1" applyBorder="1" applyAlignment="1">
      <alignment horizontal="center" vertical="top"/>
    </xf>
    <xf numFmtId="3" fontId="2" fillId="9" borderId="13" xfId="0" applyNumberFormat="1" applyFont="1" applyFill="1" applyBorder="1" applyAlignment="1">
      <alignment horizontal="center" vertical="top"/>
    </xf>
    <xf numFmtId="3" fontId="2" fillId="9" borderId="37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vertical="top" textRotation="90" wrapText="1"/>
    </xf>
    <xf numFmtId="3" fontId="4" fillId="8" borderId="25" xfId="0" applyNumberFormat="1" applyFont="1" applyFill="1" applyBorder="1" applyAlignment="1">
      <alignment horizontal="center" vertical="top"/>
    </xf>
    <xf numFmtId="3" fontId="4" fillId="5" borderId="16" xfId="1" applyNumberFormat="1" applyFont="1" applyFill="1" applyBorder="1" applyAlignment="1">
      <alignment horizontal="center" vertical="top"/>
    </xf>
    <xf numFmtId="3" fontId="4" fillId="5" borderId="9" xfId="1" applyNumberFormat="1" applyFont="1" applyFill="1" applyBorder="1" applyAlignment="1">
      <alignment horizontal="center" vertical="top"/>
    </xf>
    <xf numFmtId="3" fontId="4" fillId="5" borderId="58" xfId="1" applyNumberFormat="1" applyFont="1" applyFill="1" applyBorder="1" applyAlignment="1">
      <alignment horizontal="center" vertical="top"/>
    </xf>
    <xf numFmtId="3" fontId="4" fillId="5" borderId="19" xfId="0" applyNumberFormat="1" applyFont="1" applyFill="1" applyBorder="1" applyAlignment="1">
      <alignment horizontal="center" vertical="top"/>
    </xf>
    <xf numFmtId="3" fontId="4" fillId="5" borderId="73" xfId="0" applyNumberFormat="1" applyFont="1" applyFill="1" applyBorder="1" applyAlignment="1">
      <alignment horizontal="center" vertical="top"/>
    </xf>
    <xf numFmtId="3" fontId="2" fillId="0" borderId="39" xfId="0" applyNumberFormat="1" applyFont="1" applyBorder="1" applyAlignment="1">
      <alignment vertical="top"/>
    </xf>
    <xf numFmtId="3" fontId="2" fillId="0" borderId="38" xfId="0" applyNumberFormat="1" applyFont="1" applyBorder="1" applyAlignment="1">
      <alignment vertical="top"/>
    </xf>
    <xf numFmtId="3" fontId="2" fillId="0" borderId="54" xfId="0" applyNumberFormat="1" applyFont="1" applyBorder="1" applyAlignment="1">
      <alignment horizontal="center" vertical="top"/>
    </xf>
    <xf numFmtId="3" fontId="2" fillId="0" borderId="49" xfId="0" applyNumberFormat="1" applyFont="1" applyBorder="1" applyAlignment="1">
      <alignment horizontal="center" vertical="top"/>
    </xf>
    <xf numFmtId="3" fontId="2" fillId="0" borderId="71" xfId="0" applyNumberFormat="1" applyFont="1" applyBorder="1" applyAlignment="1">
      <alignment horizontal="center" vertical="top"/>
    </xf>
    <xf numFmtId="3" fontId="2" fillId="0" borderId="63" xfId="0" applyNumberFormat="1" applyFont="1" applyBorder="1" applyAlignment="1">
      <alignment horizontal="center" vertical="top"/>
    </xf>
    <xf numFmtId="3" fontId="1" fillId="9" borderId="67" xfId="0" applyNumberFormat="1" applyFont="1" applyFill="1" applyBorder="1" applyAlignment="1">
      <alignment horizontal="center" vertical="top"/>
    </xf>
    <xf numFmtId="3" fontId="5" fillId="2" borderId="5" xfId="0" applyNumberFormat="1" applyFont="1" applyFill="1" applyBorder="1" applyAlignment="1">
      <alignment horizontal="center" vertical="top"/>
    </xf>
    <xf numFmtId="3" fontId="5" fillId="4" borderId="2" xfId="0" applyNumberFormat="1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3" fontId="5" fillId="4" borderId="8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5" fillId="4" borderId="79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3" fontId="5" fillId="4" borderId="32" xfId="0" applyNumberFormat="1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 vertical="top"/>
    </xf>
    <xf numFmtId="3" fontId="5" fillId="4" borderId="32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2" fillId="0" borderId="25" xfId="0" applyNumberFormat="1" applyFont="1" applyBorder="1" applyAlignment="1">
      <alignment horizontal="center" vertical="top"/>
    </xf>
    <xf numFmtId="3" fontId="4" fillId="0" borderId="30" xfId="0" applyNumberFormat="1" applyFont="1" applyFill="1" applyBorder="1" applyAlignment="1">
      <alignment vertical="top" wrapText="1"/>
    </xf>
    <xf numFmtId="0" fontId="2" fillId="0" borderId="30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left" vertical="top"/>
    </xf>
    <xf numFmtId="3" fontId="4" fillId="0" borderId="30" xfId="0" applyNumberFormat="1" applyFont="1" applyFill="1" applyBorder="1" applyAlignment="1">
      <alignment horizontal="left" vertical="top"/>
    </xf>
    <xf numFmtId="3" fontId="4" fillId="0" borderId="30" xfId="0" applyNumberFormat="1" applyFont="1" applyFill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center" vertical="top"/>
    </xf>
    <xf numFmtId="3" fontId="2" fillId="0" borderId="68" xfId="0" applyNumberFormat="1" applyFont="1" applyBorder="1" applyAlignment="1">
      <alignment horizontal="center" vertical="top"/>
    </xf>
    <xf numFmtId="3" fontId="2" fillId="0" borderId="45" xfId="0" applyNumberFormat="1" applyFont="1" applyBorder="1" applyAlignment="1">
      <alignment horizontal="center" vertical="top"/>
    </xf>
    <xf numFmtId="3" fontId="2" fillId="0" borderId="29" xfId="0" applyNumberFormat="1" applyFont="1" applyBorder="1" applyAlignment="1">
      <alignment horizontal="center" vertical="top"/>
    </xf>
    <xf numFmtId="3" fontId="1" fillId="9" borderId="51" xfId="0" applyNumberFormat="1" applyFont="1" applyFill="1" applyBorder="1" applyAlignment="1">
      <alignment horizontal="center" vertical="top"/>
    </xf>
    <xf numFmtId="3" fontId="4" fillId="5" borderId="44" xfId="0" applyNumberFormat="1" applyFont="1" applyFill="1" applyBorder="1" applyAlignment="1">
      <alignment horizontal="center" vertical="top"/>
    </xf>
    <xf numFmtId="3" fontId="4" fillId="5" borderId="3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 wrapText="1"/>
    </xf>
    <xf numFmtId="3" fontId="1" fillId="0" borderId="72" xfId="0" applyNumberFormat="1" applyFont="1" applyBorder="1" applyAlignment="1">
      <alignment horizontal="center" vertical="top"/>
    </xf>
    <xf numFmtId="3" fontId="4" fillId="0" borderId="57" xfId="0" applyNumberFormat="1" applyFont="1" applyBorder="1" applyAlignment="1">
      <alignment horizontal="center" vertical="top"/>
    </xf>
    <xf numFmtId="3" fontId="4" fillId="0" borderId="58" xfId="0" applyNumberFormat="1" applyFont="1" applyBorder="1" applyAlignment="1">
      <alignment horizontal="center" vertical="top"/>
    </xf>
    <xf numFmtId="3" fontId="4" fillId="0" borderId="56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4" fillId="0" borderId="52" xfId="0" applyNumberFormat="1" applyFont="1" applyBorder="1" applyAlignment="1">
      <alignment horizontal="center" vertical="center" textRotation="90"/>
    </xf>
    <xf numFmtId="3" fontId="4" fillId="0" borderId="1" xfId="0" applyNumberFormat="1" applyFont="1" applyBorder="1" applyAlignment="1">
      <alignment horizontal="center" vertical="center" textRotation="90"/>
    </xf>
    <xf numFmtId="3" fontId="4" fillId="0" borderId="51" xfId="0" applyNumberFormat="1" applyFont="1" applyBorder="1" applyAlignment="1">
      <alignment horizontal="center" vertical="center" textRotation="90"/>
    </xf>
    <xf numFmtId="3" fontId="4" fillId="0" borderId="30" xfId="0" applyNumberFormat="1" applyFont="1" applyBorder="1" applyAlignment="1">
      <alignment horizontal="center" vertical="top"/>
    </xf>
    <xf numFmtId="3" fontId="5" fillId="9" borderId="52" xfId="0" applyNumberFormat="1" applyFont="1" applyFill="1" applyBorder="1" applyAlignment="1">
      <alignment horizontal="center" vertical="top"/>
    </xf>
    <xf numFmtId="3" fontId="5" fillId="9" borderId="1" xfId="0" applyNumberFormat="1" applyFont="1" applyFill="1" applyBorder="1" applyAlignment="1">
      <alignment horizontal="center" vertical="top"/>
    </xf>
    <xf numFmtId="3" fontId="5" fillId="9" borderId="51" xfId="0" applyNumberFormat="1" applyFont="1" applyFill="1" applyBorder="1" applyAlignment="1">
      <alignment horizontal="center" vertical="top"/>
    </xf>
    <xf numFmtId="3" fontId="5" fillId="3" borderId="10" xfId="0" applyNumberFormat="1" applyFont="1" applyFill="1" applyBorder="1" applyAlignment="1">
      <alignment horizontal="center" vertical="top"/>
    </xf>
    <xf numFmtId="3" fontId="4" fillId="8" borderId="42" xfId="0" applyNumberFormat="1" applyFont="1" applyFill="1" applyBorder="1" applyAlignment="1">
      <alignment horizontal="center" vertical="top"/>
    </xf>
    <xf numFmtId="165" fontId="4" fillId="5" borderId="21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textRotation="90" wrapText="1"/>
    </xf>
    <xf numFmtId="3" fontId="4" fillId="0" borderId="36" xfId="0" applyNumberFormat="1" applyFont="1" applyFill="1" applyBorder="1" applyAlignment="1">
      <alignment vertical="top" wrapText="1"/>
    </xf>
    <xf numFmtId="3" fontId="2" fillId="0" borderId="60" xfId="0" applyNumberFormat="1" applyFont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horizontal="center" vertical="top"/>
    </xf>
    <xf numFmtId="3" fontId="4" fillId="0" borderId="38" xfId="0" applyNumberFormat="1" applyFont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 textRotation="90" wrapText="1"/>
    </xf>
    <xf numFmtId="3" fontId="4" fillId="0" borderId="73" xfId="0" applyNumberFormat="1" applyFont="1" applyBorder="1" applyAlignment="1">
      <alignment vertical="top"/>
    </xf>
    <xf numFmtId="3" fontId="5" fillId="0" borderId="72" xfId="0" applyNumberFormat="1" applyFont="1" applyBorder="1" applyAlignment="1">
      <alignment vertical="top"/>
    </xf>
    <xf numFmtId="3" fontId="4" fillId="5" borderId="28" xfId="0" applyNumberFormat="1" applyFont="1" applyFill="1" applyBorder="1" applyAlignment="1">
      <alignment horizontal="center" vertical="top"/>
    </xf>
    <xf numFmtId="3" fontId="4" fillId="5" borderId="11" xfId="0" applyNumberFormat="1" applyFont="1" applyFill="1" applyBorder="1" applyAlignment="1">
      <alignment vertical="top" wrapText="1"/>
    </xf>
    <xf numFmtId="165" fontId="4" fillId="5" borderId="29" xfId="1" applyNumberFormat="1" applyFont="1" applyFill="1" applyBorder="1" applyAlignment="1">
      <alignment horizontal="left" vertical="top" wrapText="1"/>
    </xf>
    <xf numFmtId="165" fontId="4" fillId="5" borderId="68" xfId="1" applyNumberFormat="1" applyFont="1" applyFill="1" applyBorder="1" applyAlignment="1">
      <alignment horizontal="left" vertical="top" wrapText="1"/>
    </xf>
    <xf numFmtId="3" fontId="4" fillId="0" borderId="15" xfId="0" applyNumberFormat="1" applyFont="1" applyBorder="1" applyAlignment="1">
      <alignment vertical="top"/>
    </xf>
    <xf numFmtId="165" fontId="4" fillId="5" borderId="40" xfId="1" applyNumberFormat="1" applyFont="1" applyFill="1" applyBorder="1" applyAlignment="1">
      <alignment horizontal="left" vertical="top" wrapText="1"/>
    </xf>
    <xf numFmtId="3" fontId="4" fillId="8" borderId="76" xfId="0" applyNumberFormat="1" applyFont="1" applyFill="1" applyBorder="1" applyAlignment="1">
      <alignment horizontal="center" vertical="top"/>
    </xf>
    <xf numFmtId="49" fontId="4" fillId="5" borderId="44" xfId="0" applyNumberFormat="1" applyFont="1" applyFill="1" applyBorder="1" applyAlignment="1">
      <alignment horizontal="center" vertical="top"/>
    </xf>
    <xf numFmtId="49" fontId="4" fillId="5" borderId="49" xfId="0" applyNumberFormat="1" applyFont="1" applyFill="1" applyBorder="1" applyAlignment="1">
      <alignment horizontal="center" vertical="top"/>
    </xf>
    <xf numFmtId="3" fontId="5" fillId="9" borderId="72" xfId="0" applyNumberFormat="1" applyFont="1" applyFill="1" applyBorder="1" applyAlignment="1">
      <alignment horizontal="center" vertical="top" wrapText="1"/>
    </xf>
    <xf numFmtId="3" fontId="5" fillId="9" borderId="17" xfId="0" applyNumberFormat="1" applyFont="1" applyFill="1" applyBorder="1" applyAlignment="1">
      <alignment horizontal="center" vertical="top"/>
    </xf>
    <xf numFmtId="3" fontId="5" fillId="9" borderId="3" xfId="0" applyNumberFormat="1" applyFont="1" applyFill="1" applyBorder="1" applyAlignment="1">
      <alignment horizontal="center" vertical="top"/>
    </xf>
    <xf numFmtId="3" fontId="5" fillId="9" borderId="73" xfId="0" applyNumberFormat="1" applyFont="1" applyFill="1" applyBorder="1" applyAlignment="1">
      <alignment horizontal="center" vertical="top"/>
    </xf>
    <xf numFmtId="3" fontId="5" fillId="9" borderId="74" xfId="0" applyNumberFormat="1" applyFont="1" applyFill="1" applyBorder="1" applyAlignment="1">
      <alignment horizontal="center" vertical="top"/>
    </xf>
    <xf numFmtId="3" fontId="5" fillId="9" borderId="15" xfId="0" applyNumberFormat="1" applyFont="1" applyFill="1" applyBorder="1" applyAlignment="1">
      <alignment horizontal="center" vertical="top"/>
    </xf>
    <xf numFmtId="3" fontId="5" fillId="9" borderId="72" xfId="0" applyNumberFormat="1" applyFont="1" applyFill="1" applyBorder="1" applyAlignment="1">
      <alignment horizontal="center" vertical="top"/>
    </xf>
    <xf numFmtId="3" fontId="2" fillId="8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Border="1" applyAlignment="1">
      <alignment vertical="top"/>
    </xf>
    <xf numFmtId="3" fontId="2" fillId="8" borderId="54" xfId="0" applyNumberFormat="1" applyFont="1" applyFill="1" applyBorder="1" applyAlignment="1">
      <alignment horizontal="center" vertical="top"/>
    </xf>
    <xf numFmtId="3" fontId="2" fillId="8" borderId="29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vertical="top"/>
    </xf>
    <xf numFmtId="3" fontId="4" fillId="8" borderId="69" xfId="0" applyNumberFormat="1" applyFont="1" applyFill="1" applyBorder="1" applyAlignment="1">
      <alignment horizontal="center" vertical="top"/>
    </xf>
    <xf numFmtId="3" fontId="4" fillId="0" borderId="39" xfId="0" applyNumberFormat="1" applyFont="1" applyBorder="1" applyAlignment="1">
      <alignment vertical="top" wrapText="1"/>
    </xf>
    <xf numFmtId="3" fontId="4" fillId="0" borderId="33" xfId="0" applyNumberFormat="1" applyFont="1" applyBorder="1" applyAlignment="1">
      <alignment horizontal="center" vertical="top"/>
    </xf>
    <xf numFmtId="3" fontId="4" fillId="0" borderId="46" xfId="0" applyNumberFormat="1" applyFont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left" vertical="top" wrapText="1"/>
    </xf>
    <xf numFmtId="3" fontId="4" fillId="0" borderId="53" xfId="0" applyNumberFormat="1" applyFont="1" applyFill="1" applyBorder="1" applyAlignment="1">
      <alignment vertical="top" wrapText="1"/>
    </xf>
    <xf numFmtId="3" fontId="4" fillId="0" borderId="71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vertical="top" wrapText="1"/>
    </xf>
    <xf numFmtId="3" fontId="4" fillId="0" borderId="76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3" fontId="4" fillId="8" borderId="44" xfId="0" applyNumberFormat="1" applyFont="1" applyFill="1" applyBorder="1" applyAlignment="1">
      <alignment vertical="top" wrapText="1"/>
    </xf>
    <xf numFmtId="3" fontId="4" fillId="0" borderId="61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49" fontId="4" fillId="5" borderId="44" xfId="0" applyNumberFormat="1" applyFont="1" applyFill="1" applyBorder="1" applyAlignment="1">
      <alignment vertical="top"/>
    </xf>
    <xf numFmtId="3" fontId="4" fillId="0" borderId="18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Fill="1" applyBorder="1" applyAlignment="1">
      <alignment horizontal="center" vertical="top" wrapText="1"/>
    </xf>
    <xf numFmtId="3" fontId="4" fillId="8" borderId="3" xfId="0" applyNumberFormat="1" applyFont="1" applyFill="1" applyBorder="1" applyAlignment="1">
      <alignment horizontal="center" vertical="top" textRotation="90" wrapText="1"/>
    </xf>
    <xf numFmtId="3" fontId="5" fillId="9" borderId="41" xfId="0" applyNumberFormat="1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73" xfId="0" applyNumberFormat="1" applyFont="1" applyFill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/>
    </xf>
    <xf numFmtId="3" fontId="4" fillId="8" borderId="11" xfId="0" applyNumberFormat="1" applyFont="1" applyFill="1" applyBorder="1" applyAlignment="1">
      <alignment horizontal="center" vertical="top"/>
    </xf>
    <xf numFmtId="3" fontId="4" fillId="0" borderId="72" xfId="0" applyNumberFormat="1" applyFont="1" applyFill="1" applyBorder="1" applyAlignment="1">
      <alignment vertical="top" wrapText="1"/>
    </xf>
    <xf numFmtId="3" fontId="4" fillId="0" borderId="74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5" borderId="11" xfId="0" applyNumberFormat="1" applyFont="1" applyFill="1" applyBorder="1" applyAlignment="1">
      <alignment horizontal="center" vertical="top"/>
    </xf>
    <xf numFmtId="3" fontId="4" fillId="8" borderId="78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Border="1" applyAlignment="1">
      <alignment vertical="top" wrapText="1"/>
    </xf>
    <xf numFmtId="3" fontId="5" fillId="0" borderId="30" xfId="0" applyNumberFormat="1" applyFont="1" applyBorder="1" applyAlignment="1">
      <alignment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4" fillId="8" borderId="18" xfId="0" applyNumberFormat="1" applyFont="1" applyFill="1" applyBorder="1" applyAlignment="1">
      <alignment horizontal="center" vertical="top" wrapText="1"/>
    </xf>
    <xf numFmtId="3" fontId="4" fillId="9" borderId="18" xfId="0" applyNumberFormat="1" applyFont="1" applyFill="1" applyBorder="1" applyAlignment="1">
      <alignment horizontal="center" vertical="top" wrapText="1"/>
    </xf>
    <xf numFmtId="3" fontId="4" fillId="9" borderId="22" xfId="0" applyNumberFormat="1" applyFont="1" applyFill="1" applyBorder="1" applyAlignment="1">
      <alignment horizontal="center" vertical="top" wrapText="1"/>
    </xf>
    <xf numFmtId="3" fontId="4" fillId="0" borderId="54" xfId="0" applyNumberFormat="1" applyFont="1" applyFill="1" applyBorder="1" applyAlignment="1">
      <alignment horizontal="center" vertical="top"/>
    </xf>
    <xf numFmtId="3" fontId="4" fillId="0" borderId="55" xfId="0" applyNumberFormat="1" applyFont="1" applyFill="1" applyBorder="1" applyAlignment="1">
      <alignment horizontal="center" vertical="top"/>
    </xf>
    <xf numFmtId="3" fontId="4" fillId="8" borderId="33" xfId="0" applyNumberFormat="1" applyFont="1" applyFill="1" applyBorder="1" applyAlignment="1">
      <alignment horizontal="center" vertical="top" wrapText="1"/>
    </xf>
    <xf numFmtId="3" fontId="4" fillId="8" borderId="23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8" borderId="71" xfId="0" applyNumberFormat="1" applyFont="1" applyFill="1" applyBorder="1" applyAlignment="1">
      <alignment horizontal="center" vertical="top"/>
    </xf>
    <xf numFmtId="3" fontId="4" fillId="2" borderId="12" xfId="0" applyNumberFormat="1" applyFont="1" applyFill="1" applyBorder="1" applyAlignment="1">
      <alignment horizontal="center" vertical="top"/>
    </xf>
    <xf numFmtId="3" fontId="4" fillId="0" borderId="44" xfId="0" applyNumberFormat="1" applyFont="1" applyBorder="1" applyAlignment="1">
      <alignment vertical="top"/>
    </xf>
    <xf numFmtId="3" fontId="4" fillId="0" borderId="45" xfId="0" applyNumberFormat="1" applyFont="1" applyBorder="1" applyAlignment="1">
      <alignment vertical="top"/>
    </xf>
    <xf numFmtId="3" fontId="2" fillId="0" borderId="40" xfId="0" applyNumberFormat="1" applyFont="1" applyBorder="1" applyAlignment="1">
      <alignment horizontal="center" vertical="top"/>
    </xf>
    <xf numFmtId="3" fontId="2" fillId="0" borderId="61" xfId="0" applyNumberFormat="1" applyFont="1" applyBorder="1" applyAlignment="1">
      <alignment horizontal="center" vertical="top"/>
    </xf>
    <xf numFmtId="3" fontId="2" fillId="8" borderId="64" xfId="0" applyNumberFormat="1" applyFont="1" applyFill="1" applyBorder="1" applyAlignment="1">
      <alignment horizontal="center" vertical="top"/>
    </xf>
    <xf numFmtId="3" fontId="1" fillId="9" borderId="64" xfId="0" applyNumberFormat="1" applyFont="1" applyFill="1" applyBorder="1" applyAlignment="1">
      <alignment horizontal="center" vertical="top"/>
    </xf>
    <xf numFmtId="3" fontId="1" fillId="9" borderId="44" xfId="0" applyNumberFormat="1" applyFont="1" applyFill="1" applyBorder="1" applyAlignment="1">
      <alignment horizontal="center" vertical="top"/>
    </xf>
    <xf numFmtId="3" fontId="1" fillId="9" borderId="60" xfId="0" applyNumberFormat="1" applyFont="1" applyFill="1" applyBorder="1" applyAlignment="1">
      <alignment horizontal="center" vertical="top"/>
    </xf>
    <xf numFmtId="3" fontId="2" fillId="5" borderId="40" xfId="0" applyNumberFormat="1" applyFont="1" applyFill="1" applyBorder="1" applyAlignment="1">
      <alignment horizontal="center" vertical="top" wrapText="1"/>
    </xf>
    <xf numFmtId="3" fontId="2" fillId="5" borderId="68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44" xfId="0" applyNumberFormat="1" applyFont="1" applyFill="1" applyBorder="1" applyAlignment="1">
      <alignment horizontal="center" vertical="top" wrapText="1"/>
    </xf>
    <xf numFmtId="3" fontId="2" fillId="0" borderId="45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/>
    </xf>
    <xf numFmtId="3" fontId="2" fillId="0" borderId="68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3" fontId="2" fillId="8" borderId="26" xfId="0" applyNumberFormat="1" applyFont="1" applyFill="1" applyBorder="1" applyAlignment="1">
      <alignment horizontal="center" vertical="top"/>
    </xf>
    <xf numFmtId="3" fontId="1" fillId="9" borderId="31" xfId="0" applyNumberFormat="1" applyFont="1" applyFill="1" applyBorder="1" applyAlignment="1">
      <alignment horizontal="center" vertical="top" wrapText="1"/>
    </xf>
    <xf numFmtId="3" fontId="1" fillId="9" borderId="26" xfId="0" applyNumberFormat="1" applyFont="1" applyFill="1" applyBorder="1" applyAlignment="1">
      <alignment horizontal="center" vertical="top"/>
    </xf>
    <xf numFmtId="3" fontId="1" fillId="9" borderId="29" xfId="0" applyNumberFormat="1" applyFont="1" applyFill="1" applyBorder="1" applyAlignment="1">
      <alignment horizontal="center" vertical="top"/>
    </xf>
    <xf numFmtId="3" fontId="1" fillId="9" borderId="24" xfId="0" applyNumberFormat="1" applyFont="1" applyFill="1" applyBorder="1" applyAlignment="1">
      <alignment horizontal="center" vertical="top"/>
    </xf>
    <xf numFmtId="3" fontId="1" fillId="9" borderId="25" xfId="0" applyNumberFormat="1" applyFont="1" applyFill="1" applyBorder="1" applyAlignment="1">
      <alignment horizontal="center" vertical="top"/>
    </xf>
    <xf numFmtId="3" fontId="1" fillId="9" borderId="27" xfId="0" applyNumberFormat="1" applyFont="1" applyFill="1" applyBorder="1" applyAlignment="1">
      <alignment horizontal="center" vertical="top"/>
    </xf>
    <xf numFmtId="3" fontId="1" fillId="9" borderId="31" xfId="0" applyNumberFormat="1" applyFont="1" applyFill="1" applyBorder="1" applyAlignment="1">
      <alignment horizontal="center" vertical="top"/>
    </xf>
    <xf numFmtId="3" fontId="2" fillId="0" borderId="49" xfId="0" applyNumberFormat="1" applyFont="1" applyFill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2" fillId="9" borderId="76" xfId="0" applyNumberFormat="1" applyFont="1" applyFill="1" applyBorder="1" applyAlignment="1">
      <alignment horizontal="center" vertical="top"/>
    </xf>
    <xf numFmtId="3" fontId="2" fillId="9" borderId="60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vertical="top" wrapText="1"/>
    </xf>
    <xf numFmtId="3" fontId="2" fillId="8" borderId="44" xfId="0" applyNumberFormat="1" applyFont="1" applyFill="1" applyBorder="1" applyAlignment="1">
      <alignment horizontal="center" vertical="top" wrapText="1"/>
    </xf>
    <xf numFmtId="3" fontId="2" fillId="8" borderId="45" xfId="0" applyNumberFormat="1" applyFont="1" applyFill="1" applyBorder="1" applyAlignment="1">
      <alignment horizontal="center" vertical="top" wrapText="1"/>
    </xf>
    <xf numFmtId="3" fontId="2" fillId="8" borderId="68" xfId="0" applyNumberFormat="1" applyFont="1" applyFill="1" applyBorder="1" applyAlignment="1">
      <alignment horizontal="center" vertical="top" wrapText="1"/>
    </xf>
    <xf numFmtId="3" fontId="2" fillId="5" borderId="44" xfId="0" applyNumberFormat="1" applyFont="1" applyFill="1" applyBorder="1" applyAlignment="1">
      <alignment horizontal="center" vertical="top" wrapText="1"/>
    </xf>
    <xf numFmtId="3" fontId="2" fillId="5" borderId="64" xfId="0" applyNumberFormat="1" applyFont="1" applyFill="1" applyBorder="1" applyAlignment="1">
      <alignment horizontal="center" vertical="top"/>
    </xf>
    <xf numFmtId="3" fontId="2" fillId="5" borderId="45" xfId="0" applyNumberFormat="1" applyFont="1" applyFill="1" applyBorder="1" applyAlignment="1">
      <alignment horizontal="center" vertical="top"/>
    </xf>
    <xf numFmtId="3" fontId="2" fillId="9" borderId="64" xfId="0" applyNumberFormat="1" applyFont="1" applyFill="1" applyBorder="1" applyAlignment="1">
      <alignment horizontal="center" vertical="top" wrapText="1"/>
    </xf>
    <xf numFmtId="3" fontId="2" fillId="9" borderId="44" xfId="0" applyNumberFormat="1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left" vertical="top" wrapText="1"/>
    </xf>
    <xf numFmtId="3" fontId="2" fillId="0" borderId="25" xfId="0" applyNumberFormat="1" applyFont="1" applyFill="1" applyBorder="1" applyAlignment="1">
      <alignment horizontal="center" vertical="top"/>
    </xf>
    <xf numFmtId="3" fontId="2" fillId="8" borderId="0" xfId="0" applyNumberFormat="1" applyFont="1" applyFill="1" applyBorder="1" applyAlignment="1">
      <alignment horizontal="center" vertical="top" wrapText="1"/>
    </xf>
    <xf numFmtId="3" fontId="2" fillId="5" borderId="9" xfId="0" applyNumberFormat="1" applyFont="1" applyFill="1" applyBorder="1" applyAlignment="1">
      <alignment horizontal="center" vertical="top" wrapText="1"/>
    </xf>
    <xf numFmtId="3" fontId="2" fillId="5" borderId="0" xfId="0" applyNumberFormat="1" applyFont="1" applyFill="1" applyBorder="1" applyAlignment="1">
      <alignment horizontal="center" vertical="top"/>
    </xf>
    <xf numFmtId="3" fontId="2" fillId="9" borderId="0" xfId="0" applyNumberFormat="1" applyFont="1" applyFill="1" applyBorder="1" applyAlignment="1">
      <alignment horizontal="center" vertical="top" wrapText="1"/>
    </xf>
    <xf numFmtId="3" fontId="2" fillId="9" borderId="9" xfId="0" applyNumberFormat="1" applyFont="1" applyFill="1" applyBorder="1" applyAlignment="1">
      <alignment horizontal="center" vertical="top" wrapText="1"/>
    </xf>
    <xf numFmtId="3" fontId="2" fillId="9" borderId="22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3" fontId="2" fillId="0" borderId="43" xfId="0" applyNumberFormat="1" applyFont="1" applyBorder="1" applyAlignment="1">
      <alignment horizontal="center" vertical="top"/>
    </xf>
    <xf numFmtId="3" fontId="2" fillId="5" borderId="76" xfId="0" applyNumberFormat="1" applyFont="1" applyFill="1" applyBorder="1" applyAlignment="1">
      <alignment horizontal="center" vertical="top"/>
    </xf>
    <xf numFmtId="3" fontId="2" fillId="5" borderId="44" xfId="0" applyNumberFormat="1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center" vertical="top"/>
    </xf>
    <xf numFmtId="3" fontId="2" fillId="5" borderId="76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5" borderId="32" xfId="0" applyNumberFormat="1" applyFont="1" applyFill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2" fillId="0" borderId="16" xfId="0" applyNumberFormat="1" applyFont="1" applyBorder="1" applyAlignment="1">
      <alignment vertical="top"/>
    </xf>
    <xf numFmtId="3" fontId="2" fillId="0" borderId="9" xfId="0" applyNumberFormat="1" applyFont="1" applyBorder="1" applyAlignment="1">
      <alignment vertical="top"/>
    </xf>
    <xf numFmtId="3" fontId="2" fillId="0" borderId="36" xfId="0" applyNumberFormat="1" applyFont="1" applyBorder="1" applyAlignment="1">
      <alignment vertical="top"/>
    </xf>
    <xf numFmtId="3" fontId="2" fillId="9" borderId="12" xfId="0" applyNumberFormat="1" applyFont="1" applyFill="1" applyBorder="1" applyAlignment="1">
      <alignment vertical="top"/>
    </xf>
    <xf numFmtId="3" fontId="2" fillId="9" borderId="9" xfId="0" applyNumberFormat="1" applyFont="1" applyFill="1" applyBorder="1" applyAlignment="1">
      <alignment vertical="top"/>
    </xf>
    <xf numFmtId="3" fontId="2" fillId="9" borderId="0" xfId="0" applyNumberFormat="1" applyFont="1" applyFill="1" applyBorder="1" applyAlignment="1">
      <alignment vertical="top"/>
    </xf>
    <xf numFmtId="3" fontId="2" fillId="9" borderId="58" xfId="0" applyNumberFormat="1" applyFont="1" applyFill="1" applyBorder="1" applyAlignment="1">
      <alignment vertical="top"/>
    </xf>
    <xf numFmtId="3" fontId="2" fillId="0" borderId="62" xfId="0" applyNumberFormat="1" applyFont="1" applyBorder="1" applyAlignment="1">
      <alignment vertical="top"/>
    </xf>
    <xf numFmtId="3" fontId="2" fillId="0" borderId="49" xfId="0" applyNumberFormat="1" applyFont="1" applyBorder="1" applyAlignment="1">
      <alignment vertical="top"/>
    </xf>
    <xf numFmtId="3" fontId="2" fillId="9" borderId="49" xfId="0" applyNumberFormat="1" applyFont="1" applyFill="1" applyBorder="1" applyAlignment="1">
      <alignment vertical="top"/>
    </xf>
    <xf numFmtId="3" fontId="2" fillId="9" borderId="63" xfId="0" applyNumberFormat="1" applyFont="1" applyFill="1" applyBorder="1" applyAlignment="1">
      <alignment vertical="top"/>
    </xf>
    <xf numFmtId="3" fontId="2" fillId="9" borderId="62" xfId="0" applyNumberFormat="1" applyFont="1" applyFill="1" applyBorder="1" applyAlignment="1">
      <alignment horizontal="center" vertical="top"/>
    </xf>
    <xf numFmtId="3" fontId="2" fillId="9" borderId="71" xfId="0" applyNumberFormat="1" applyFont="1" applyFill="1" applyBorder="1" applyAlignment="1">
      <alignment horizontal="center" vertical="top"/>
    </xf>
    <xf numFmtId="3" fontId="2" fillId="9" borderId="49" xfId="0" applyNumberFormat="1" applyFont="1" applyFill="1" applyBorder="1" applyAlignment="1">
      <alignment horizontal="center" vertical="top"/>
    </xf>
    <xf numFmtId="3" fontId="2" fillId="9" borderId="55" xfId="0" applyNumberFormat="1" applyFont="1" applyFill="1" applyBorder="1" applyAlignment="1">
      <alignment horizontal="center" vertical="top"/>
    </xf>
    <xf numFmtId="3" fontId="1" fillId="9" borderId="67" xfId="0" applyNumberFormat="1" applyFont="1" applyFill="1" applyBorder="1" applyAlignment="1">
      <alignment horizontal="center" vertical="top" wrapText="1"/>
    </xf>
    <xf numFmtId="3" fontId="1" fillId="8" borderId="48" xfId="0" applyNumberFormat="1" applyFont="1" applyFill="1" applyBorder="1" applyAlignment="1">
      <alignment horizontal="left" vertical="top" wrapText="1"/>
    </xf>
    <xf numFmtId="3" fontId="2" fillId="8" borderId="69" xfId="0" applyNumberFormat="1" applyFont="1" applyFill="1" applyBorder="1" applyAlignment="1">
      <alignment horizontal="center" vertical="top"/>
    </xf>
    <xf numFmtId="3" fontId="2" fillId="0" borderId="44" xfId="0" applyNumberFormat="1" applyFont="1" applyFill="1" applyBorder="1" applyAlignment="1">
      <alignment vertical="top" wrapText="1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/>
    </xf>
    <xf numFmtId="3" fontId="2" fillId="5" borderId="27" xfId="0" applyNumberFormat="1" applyFont="1" applyFill="1" applyBorder="1" applyAlignment="1">
      <alignment horizontal="center" vertical="top"/>
    </xf>
    <xf numFmtId="3" fontId="2" fillId="9" borderId="25" xfId="0" applyNumberFormat="1" applyFont="1" applyFill="1" applyBorder="1" applyAlignment="1">
      <alignment horizontal="center" vertical="top"/>
    </xf>
    <xf numFmtId="3" fontId="2" fillId="8" borderId="31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Border="1" applyAlignment="1">
      <alignment horizontal="center" vertical="top"/>
    </xf>
    <xf numFmtId="3" fontId="2" fillId="0" borderId="62" xfId="0" applyNumberFormat="1" applyFont="1" applyFill="1" applyBorder="1" applyAlignment="1">
      <alignment horizontal="center" vertical="top"/>
    </xf>
    <xf numFmtId="3" fontId="1" fillId="9" borderId="41" xfId="0" applyNumberFormat="1" applyFont="1" applyFill="1" applyBorder="1" applyAlignment="1">
      <alignment horizontal="center" vertical="top" wrapText="1"/>
    </xf>
    <xf numFmtId="3" fontId="1" fillId="9" borderId="65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left" vertical="top" wrapText="1"/>
    </xf>
    <xf numFmtId="3" fontId="2" fillId="0" borderId="57" xfId="0" applyNumberFormat="1" applyFont="1" applyBorder="1" applyAlignment="1">
      <alignment vertical="top"/>
    </xf>
    <xf numFmtId="3" fontId="2" fillId="0" borderId="39" xfId="0" applyNumberFormat="1" applyFont="1" applyBorder="1" applyAlignment="1">
      <alignment horizontal="center" vertical="top"/>
    </xf>
    <xf numFmtId="3" fontId="2" fillId="8" borderId="78" xfId="0" applyNumberFormat="1" applyFont="1" applyFill="1" applyBorder="1" applyAlignment="1">
      <alignment vertical="top"/>
    </xf>
    <xf numFmtId="3" fontId="2" fillId="0" borderId="56" xfId="0" applyNumberFormat="1" applyFont="1" applyBorder="1" applyAlignment="1">
      <alignment vertical="top"/>
    </xf>
    <xf numFmtId="3" fontId="2" fillId="0" borderId="48" xfId="0" applyNumberFormat="1" applyFont="1" applyBorder="1" applyAlignment="1">
      <alignment vertical="top"/>
    </xf>
    <xf numFmtId="3" fontId="2" fillId="0" borderId="59" xfId="0" applyNumberFormat="1" applyFont="1" applyBorder="1" applyAlignment="1">
      <alignment vertical="top"/>
    </xf>
    <xf numFmtId="3" fontId="2" fillId="9" borderId="78" xfId="0" applyNumberFormat="1" applyFont="1" applyFill="1" applyBorder="1" applyAlignment="1">
      <alignment vertical="top"/>
    </xf>
    <xf numFmtId="3" fontId="2" fillId="9" borderId="33" xfId="0" applyNumberFormat="1" applyFont="1" applyFill="1" applyBorder="1" applyAlignment="1">
      <alignment vertical="top"/>
    </xf>
    <xf numFmtId="3" fontId="2" fillId="9" borderId="48" xfId="0" applyNumberFormat="1" applyFont="1" applyFill="1" applyBorder="1" applyAlignment="1">
      <alignment vertical="top"/>
    </xf>
    <xf numFmtId="3" fontId="2" fillId="0" borderId="9" xfId="0" applyNumberFormat="1" applyFont="1" applyFill="1" applyBorder="1" applyAlignment="1">
      <alignment vertical="top" textRotation="90" wrapText="1"/>
    </xf>
    <xf numFmtId="3" fontId="2" fillId="0" borderId="58" xfId="0" applyNumberFormat="1" applyFont="1" applyBorder="1" applyAlignment="1">
      <alignment vertical="top"/>
    </xf>
    <xf numFmtId="3" fontId="1" fillId="0" borderId="30" xfId="0" applyNumberFormat="1" applyFont="1" applyBorder="1" applyAlignment="1">
      <alignment vertical="top"/>
    </xf>
    <xf numFmtId="3" fontId="2" fillId="0" borderId="30" xfId="0" applyNumberFormat="1" applyFont="1" applyBorder="1" applyAlignment="1">
      <alignment vertical="top" wrapText="1"/>
    </xf>
    <xf numFmtId="3" fontId="2" fillId="0" borderId="53" xfId="0" applyNumberFormat="1" applyFont="1" applyBorder="1" applyAlignment="1">
      <alignment horizontal="center" vertical="top"/>
    </xf>
    <xf numFmtId="3" fontId="2" fillId="8" borderId="75" xfId="0" applyNumberFormat="1" applyFont="1" applyFill="1" applyBorder="1" applyAlignment="1">
      <alignment horizontal="center" vertical="top"/>
    </xf>
    <xf numFmtId="3" fontId="2" fillId="0" borderId="24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vertical="top"/>
    </xf>
    <xf numFmtId="3" fontId="2" fillId="9" borderId="75" xfId="0" applyNumberFormat="1" applyFont="1" applyFill="1" applyBorder="1" applyAlignment="1">
      <alignment horizontal="center" vertical="top"/>
    </xf>
    <xf numFmtId="3" fontId="2" fillId="5" borderId="29" xfId="0" applyNumberFormat="1" applyFont="1" applyFill="1" applyBorder="1" applyAlignment="1">
      <alignment horizontal="center" vertical="top" wrapText="1"/>
    </xf>
    <xf numFmtId="3" fontId="2" fillId="9" borderId="42" xfId="0" applyNumberFormat="1" applyFont="1" applyFill="1" applyBorder="1" applyAlignment="1">
      <alignment horizontal="center" vertical="top"/>
    </xf>
    <xf numFmtId="3" fontId="2" fillId="0" borderId="30" xfId="0" applyNumberFormat="1" applyFont="1" applyBorder="1" applyAlignment="1">
      <alignment horizontal="center" vertical="top"/>
    </xf>
    <xf numFmtId="3" fontId="2" fillId="8" borderId="0" xfId="0" applyNumberFormat="1" applyFont="1" applyFill="1" applyBorder="1" applyAlignment="1">
      <alignment horizontal="center" vertical="top"/>
    </xf>
    <xf numFmtId="3" fontId="2" fillId="0" borderId="16" xfId="0" applyNumberFormat="1" applyFont="1" applyBorder="1" applyAlignment="1">
      <alignment horizontal="center" vertical="top"/>
    </xf>
    <xf numFmtId="3" fontId="4" fillId="8" borderId="32" xfId="0" applyNumberFormat="1" applyFont="1" applyFill="1" applyBorder="1" applyAlignment="1">
      <alignment horizontal="left" vertical="top" wrapText="1"/>
    </xf>
    <xf numFmtId="3" fontId="4" fillId="8" borderId="35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 wrapText="1"/>
    </xf>
    <xf numFmtId="3" fontId="4" fillId="0" borderId="41" xfId="0" applyNumberFormat="1" applyFont="1" applyBorder="1" applyAlignment="1">
      <alignment vertical="top" wrapText="1"/>
    </xf>
    <xf numFmtId="3" fontId="4" fillId="0" borderId="73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/>
    </xf>
    <xf numFmtId="3" fontId="4" fillId="0" borderId="63" xfId="2" applyNumberFormat="1" applyFont="1" applyFill="1" applyBorder="1" applyAlignment="1">
      <alignment horizontal="center" vertical="top"/>
    </xf>
    <xf numFmtId="3" fontId="4" fillId="0" borderId="25" xfId="2" applyNumberFormat="1" applyFont="1" applyFill="1" applyBorder="1" applyAlignment="1">
      <alignment horizontal="center" vertical="top"/>
    </xf>
    <xf numFmtId="3" fontId="4" fillId="0" borderId="45" xfId="2" applyNumberFormat="1" applyFont="1" applyFill="1" applyBorder="1" applyAlignment="1">
      <alignment horizontal="center" vertical="top"/>
    </xf>
    <xf numFmtId="3" fontId="4" fillId="0" borderId="32" xfId="2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left" vertical="top" wrapText="1"/>
    </xf>
    <xf numFmtId="3" fontId="4" fillId="8" borderId="26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5" fillId="5" borderId="28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5" borderId="24" xfId="0" applyNumberFormat="1" applyFont="1" applyFill="1" applyBorder="1" applyAlignment="1">
      <alignment vertical="top"/>
    </xf>
    <xf numFmtId="49" fontId="4" fillId="5" borderId="20" xfId="0" applyNumberFormat="1" applyFont="1" applyFill="1" applyBorder="1" applyAlignment="1">
      <alignment vertical="top"/>
    </xf>
    <xf numFmtId="49" fontId="5" fillId="5" borderId="13" xfId="0" applyNumberFormat="1" applyFont="1" applyFill="1" applyBorder="1" applyAlignment="1">
      <alignment vertical="top"/>
    </xf>
    <xf numFmtId="49" fontId="4" fillId="5" borderId="3" xfId="0" applyNumberFormat="1" applyFont="1" applyFill="1" applyBorder="1" applyAlignment="1">
      <alignment vertical="top"/>
    </xf>
    <xf numFmtId="49" fontId="4" fillId="5" borderId="60" xfId="0" applyNumberFormat="1" applyFont="1" applyFill="1" applyBorder="1" applyAlignment="1">
      <alignment horizontal="center" vertical="top"/>
    </xf>
    <xf numFmtId="49" fontId="4" fillId="5" borderId="22" xfId="0" applyNumberFormat="1" applyFont="1" applyFill="1" applyBorder="1" applyAlignment="1">
      <alignment horizontal="center" vertical="top"/>
    </xf>
    <xf numFmtId="49" fontId="4" fillId="8" borderId="3" xfId="0" applyNumberFormat="1" applyFont="1" applyFill="1" applyBorder="1" applyAlignment="1">
      <alignment vertical="top"/>
    </xf>
    <xf numFmtId="49" fontId="5" fillId="5" borderId="22" xfId="0" applyNumberFormat="1" applyFont="1" applyFill="1" applyBorder="1" applyAlignment="1">
      <alignment vertical="top"/>
    </xf>
    <xf numFmtId="49" fontId="4" fillId="5" borderId="9" xfId="0" applyNumberFormat="1" applyFont="1" applyFill="1" applyBorder="1" applyAlignment="1">
      <alignment vertical="top"/>
    </xf>
    <xf numFmtId="49" fontId="4" fillId="5" borderId="70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49" fontId="5" fillId="6" borderId="28" xfId="0" applyNumberFormat="1" applyFont="1" applyFill="1" applyBorder="1" applyAlignment="1">
      <alignment horizontal="center" vertical="top"/>
    </xf>
    <xf numFmtId="49" fontId="4" fillId="6" borderId="22" xfId="0" applyNumberFormat="1" applyFont="1" applyFill="1" applyBorder="1" applyAlignment="1">
      <alignment horizontal="center" vertical="top"/>
    </xf>
    <xf numFmtId="49" fontId="6" fillId="6" borderId="49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49" fontId="6" fillId="6" borderId="22" xfId="0" applyNumberFormat="1" applyFont="1" applyFill="1" applyBorder="1" applyAlignment="1">
      <alignment horizontal="center" vertical="top"/>
    </xf>
    <xf numFmtId="49" fontId="4" fillId="6" borderId="74" xfId="0" applyNumberFormat="1" applyFont="1" applyFill="1" applyBorder="1" applyAlignment="1">
      <alignment vertical="top"/>
    </xf>
    <xf numFmtId="49" fontId="5" fillId="6" borderId="13" xfId="0" applyNumberFormat="1" applyFont="1" applyFill="1" applyBorder="1" applyAlignment="1">
      <alignment horizontal="center" vertical="top"/>
    </xf>
    <xf numFmtId="49" fontId="6" fillId="6" borderId="70" xfId="0" applyNumberFormat="1" applyFont="1" applyFill="1" applyBorder="1" applyAlignment="1">
      <alignment horizontal="center" vertical="top"/>
    </xf>
    <xf numFmtId="49" fontId="4" fillId="6" borderId="20" xfId="0" applyNumberFormat="1" applyFont="1" applyFill="1" applyBorder="1" applyAlignment="1">
      <alignment vertical="top"/>
    </xf>
    <xf numFmtId="49" fontId="5" fillId="5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vertical="top"/>
    </xf>
    <xf numFmtId="49" fontId="4" fillId="0" borderId="3" xfId="0" applyNumberFormat="1" applyFont="1" applyBorder="1" applyAlignment="1">
      <alignment vertical="top"/>
    </xf>
    <xf numFmtId="49" fontId="4" fillId="5" borderId="13" xfId="0" applyNumberFormat="1" applyFont="1" applyFill="1" applyBorder="1" applyAlignment="1">
      <alignment horizontal="center" vertical="top"/>
    </xf>
    <xf numFmtId="49" fontId="4" fillId="5" borderId="24" xfId="0" applyNumberFormat="1" applyFont="1" applyFill="1" applyBorder="1" applyAlignment="1">
      <alignment horizontal="center" vertical="top"/>
    </xf>
    <xf numFmtId="49" fontId="4" fillId="0" borderId="23" xfId="0" applyNumberFormat="1" applyFont="1" applyBorder="1" applyAlignment="1">
      <alignment vertical="top"/>
    </xf>
    <xf numFmtId="3" fontId="5" fillId="2" borderId="15" xfId="0" applyNumberFormat="1" applyFont="1" applyFill="1" applyBorder="1" applyAlignment="1">
      <alignment vertical="top"/>
    </xf>
    <xf numFmtId="3" fontId="5" fillId="3" borderId="3" xfId="0" applyNumberFormat="1" applyFont="1" applyFill="1" applyBorder="1" applyAlignment="1">
      <alignment vertical="top"/>
    </xf>
    <xf numFmtId="3" fontId="5" fillId="0" borderId="3" xfId="0" applyNumberFormat="1" applyFont="1" applyBorder="1" applyAlignment="1">
      <alignment vertical="top"/>
    </xf>
    <xf numFmtId="0" fontId="4" fillId="0" borderId="65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>
      <alignment horizontal="center" vertical="top" wrapText="1"/>
    </xf>
    <xf numFmtId="49" fontId="4" fillId="8" borderId="44" xfId="0" applyNumberFormat="1" applyFont="1" applyFill="1" applyBorder="1" applyAlignment="1">
      <alignment vertical="top"/>
    </xf>
    <xf numFmtId="3" fontId="4" fillId="8" borderId="44" xfId="0" applyNumberFormat="1" applyFont="1" applyFill="1" applyBorder="1" applyAlignment="1">
      <alignment vertical="top" textRotation="90" wrapText="1"/>
    </xf>
    <xf numFmtId="3" fontId="5" fillId="8" borderId="40" xfId="0" applyNumberFormat="1" applyFont="1" applyFill="1" applyBorder="1" applyAlignment="1">
      <alignment vertical="top" wrapText="1"/>
    </xf>
    <xf numFmtId="3" fontId="4" fillId="0" borderId="35" xfId="0" applyNumberFormat="1" applyFont="1" applyBorder="1" applyAlignment="1">
      <alignment horizontal="center" vertical="top"/>
    </xf>
    <xf numFmtId="3" fontId="4" fillId="5" borderId="67" xfId="0" applyNumberFormat="1" applyFont="1" applyFill="1" applyBorder="1" applyAlignment="1">
      <alignment vertical="top" wrapText="1"/>
    </xf>
    <xf numFmtId="3" fontId="4" fillId="0" borderId="52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2" fillId="0" borderId="42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49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Fill="1" applyBorder="1" applyAlignment="1">
      <alignment vertical="top"/>
    </xf>
    <xf numFmtId="3" fontId="4" fillId="0" borderId="54" xfId="0" applyNumberFormat="1" applyFont="1" applyFill="1" applyBorder="1" applyAlignment="1">
      <alignment horizontal="left" vertical="top" wrapText="1"/>
    </xf>
    <xf numFmtId="3" fontId="4" fillId="8" borderId="44" xfId="0" applyNumberFormat="1" applyFont="1" applyFill="1" applyBorder="1" applyAlignment="1">
      <alignment horizontal="left" vertical="top" wrapText="1"/>
    </xf>
    <xf numFmtId="3" fontId="2" fillId="0" borderId="44" xfId="0" applyNumberFormat="1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4" fillId="0" borderId="63" xfId="0" applyNumberFormat="1" applyFont="1" applyFill="1" applyBorder="1" applyAlignment="1">
      <alignment horizontal="center" vertical="top"/>
    </xf>
    <xf numFmtId="3" fontId="2" fillId="0" borderId="30" xfId="0" applyNumberFormat="1" applyFont="1" applyBorder="1" applyAlignment="1">
      <alignment horizontal="center" vertical="top" wrapText="1"/>
    </xf>
    <xf numFmtId="3" fontId="2" fillId="0" borderId="72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/>
    </xf>
    <xf numFmtId="3" fontId="5" fillId="0" borderId="38" xfId="0" applyNumberFormat="1" applyFont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8" borderId="9" xfId="0" applyNumberFormat="1" applyFont="1" applyFill="1" applyBorder="1" applyAlignment="1">
      <alignment horizontal="left" vertical="top" wrapText="1"/>
    </xf>
    <xf numFmtId="3" fontId="4" fillId="0" borderId="64" xfId="0" applyNumberFormat="1" applyFont="1" applyBorder="1" applyAlignment="1">
      <alignment horizontal="center" vertical="top"/>
    </xf>
    <xf numFmtId="3" fontId="4" fillId="8" borderId="46" xfId="0" applyNumberFormat="1" applyFont="1" applyFill="1" applyBorder="1" applyAlignment="1">
      <alignment horizontal="center" vertical="top"/>
    </xf>
    <xf numFmtId="3" fontId="4" fillId="8" borderId="55" xfId="0" applyNumberFormat="1" applyFont="1" applyFill="1" applyBorder="1" applyAlignment="1">
      <alignment horizontal="center" vertical="top"/>
    </xf>
    <xf numFmtId="3" fontId="5" fillId="4" borderId="26" xfId="0" applyNumberFormat="1" applyFont="1" applyFill="1" applyBorder="1" applyAlignment="1">
      <alignment vertical="top" wrapText="1"/>
    </xf>
    <xf numFmtId="3" fontId="5" fillId="4" borderId="32" xfId="0" applyNumberFormat="1" applyFont="1" applyFill="1" applyBorder="1" applyAlignment="1">
      <alignment vertical="top" wrapText="1"/>
    </xf>
    <xf numFmtId="3" fontId="4" fillId="0" borderId="26" xfId="0" applyNumberFormat="1" applyFont="1" applyBorder="1" applyAlignment="1">
      <alignment vertical="top"/>
    </xf>
    <xf numFmtId="3" fontId="4" fillId="0" borderId="32" xfId="0" applyNumberFormat="1" applyFont="1" applyBorder="1" applyAlignment="1">
      <alignment vertical="top"/>
    </xf>
    <xf numFmtId="3" fontId="4" fillId="0" borderId="26" xfId="0" applyNumberFormat="1" applyFont="1" applyBorder="1" applyAlignment="1">
      <alignment vertical="top" wrapText="1"/>
    </xf>
    <xf numFmtId="3" fontId="4" fillId="0" borderId="32" xfId="0" applyNumberFormat="1" applyFont="1" applyBorder="1" applyAlignment="1">
      <alignment vertical="top" wrapText="1"/>
    </xf>
    <xf numFmtId="3" fontId="5" fillId="4" borderId="26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3" fontId="5" fillId="9" borderId="4" xfId="0" applyNumberFormat="1" applyFont="1" applyFill="1" applyBorder="1" applyAlignment="1">
      <alignment vertical="top"/>
    </xf>
    <xf numFmtId="3" fontId="5" fillId="9" borderId="34" xfId="0" applyNumberFormat="1" applyFont="1" applyFill="1" applyBorder="1" applyAlignment="1">
      <alignment vertical="top"/>
    </xf>
    <xf numFmtId="3" fontId="4" fillId="0" borderId="33" xfId="0" applyNumberFormat="1" applyFont="1" applyBorder="1" applyAlignment="1">
      <alignment vertical="top" wrapText="1"/>
    </xf>
    <xf numFmtId="3" fontId="4" fillId="0" borderId="46" xfId="0" applyNumberFormat="1" applyFont="1" applyBorder="1" applyAlignment="1">
      <alignment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 wrapText="1"/>
    </xf>
    <xf numFmtId="3" fontId="4" fillId="5" borderId="55" xfId="0" applyNumberFormat="1" applyFont="1" applyFill="1" applyBorder="1" applyAlignment="1">
      <alignment horizontal="center" vertical="top" wrapText="1"/>
    </xf>
    <xf numFmtId="0" fontId="4" fillId="8" borderId="12" xfId="0" applyNumberFormat="1" applyFont="1" applyFill="1" applyBorder="1" applyAlignment="1">
      <alignment horizontal="center" vertical="top"/>
    </xf>
    <xf numFmtId="0" fontId="4" fillId="8" borderId="44" xfId="0" applyNumberFormat="1" applyFont="1" applyFill="1" applyBorder="1" applyAlignment="1">
      <alignment horizontal="center" vertical="top"/>
    </xf>
    <xf numFmtId="0" fontId="4" fillId="8" borderId="58" xfId="0" applyNumberFormat="1" applyFont="1" applyFill="1" applyBorder="1" applyAlignment="1">
      <alignment horizontal="center" vertical="top"/>
    </xf>
    <xf numFmtId="3" fontId="4" fillId="8" borderId="15" xfId="0" applyNumberFormat="1" applyFont="1" applyFill="1" applyBorder="1" applyAlignment="1">
      <alignment vertical="top"/>
    </xf>
    <xf numFmtId="3" fontId="4" fillId="8" borderId="3" xfId="0" applyNumberFormat="1" applyFont="1" applyFill="1" applyBorder="1" applyAlignment="1">
      <alignment vertical="top"/>
    </xf>
    <xf numFmtId="3" fontId="4" fillId="8" borderId="73" xfId="0" applyNumberFormat="1" applyFont="1" applyFill="1" applyBorder="1" applyAlignment="1">
      <alignment vertical="top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55" xfId="2" applyNumberFormat="1" applyFont="1" applyFill="1" applyBorder="1" applyAlignment="1">
      <alignment horizontal="center" vertical="top"/>
    </xf>
    <xf numFmtId="3" fontId="2" fillId="8" borderId="23" xfId="0" applyNumberFormat="1" applyFont="1" applyFill="1" applyBorder="1" applyAlignment="1">
      <alignment horizontal="center" vertical="top"/>
    </xf>
    <xf numFmtId="3" fontId="1" fillId="3" borderId="15" xfId="0" applyNumberFormat="1" applyFont="1" applyFill="1" applyBorder="1" applyAlignment="1">
      <alignment horizontal="center" vertical="top"/>
    </xf>
    <xf numFmtId="3" fontId="5" fillId="4" borderId="29" xfId="0" applyNumberFormat="1" applyFont="1" applyFill="1" applyBorder="1" applyAlignment="1">
      <alignment horizontal="center" vertical="top" wrapText="1"/>
    </xf>
    <xf numFmtId="3" fontId="5" fillId="4" borderId="29" xfId="0" applyNumberFormat="1" applyFont="1" applyFill="1" applyBorder="1" applyAlignment="1">
      <alignment horizontal="center" vertical="top"/>
    </xf>
    <xf numFmtId="3" fontId="4" fillId="8" borderId="33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8" borderId="59" xfId="0" applyNumberFormat="1" applyFont="1" applyFill="1" applyBorder="1" applyAlignment="1">
      <alignment horizontal="center" vertical="top" wrapText="1"/>
    </xf>
    <xf numFmtId="3" fontId="4" fillId="8" borderId="57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left" vertical="top" wrapText="1"/>
    </xf>
    <xf numFmtId="3" fontId="4" fillId="8" borderId="58" xfId="0" applyNumberFormat="1" applyFont="1" applyFill="1" applyBorder="1" applyAlignment="1">
      <alignment vertical="top"/>
    </xf>
    <xf numFmtId="3" fontId="4" fillId="8" borderId="63" xfId="0" applyNumberFormat="1" applyFont="1" applyFill="1" applyBorder="1" applyAlignment="1">
      <alignment vertical="top"/>
    </xf>
    <xf numFmtId="3" fontId="2" fillId="8" borderId="58" xfId="0" applyNumberFormat="1" applyFont="1" applyFill="1" applyBorder="1" applyAlignment="1">
      <alignment horizontal="center" vertical="top" wrapText="1"/>
    </xf>
    <xf numFmtId="3" fontId="5" fillId="9" borderId="25" xfId="0" applyNumberFormat="1" applyFont="1" applyFill="1" applyBorder="1" applyAlignment="1">
      <alignment horizontal="center" vertical="top"/>
    </xf>
    <xf numFmtId="3" fontId="5" fillId="2" borderId="80" xfId="0" applyNumberFormat="1" applyFont="1" applyFill="1" applyBorder="1" applyAlignment="1">
      <alignment horizontal="center" vertical="top"/>
    </xf>
    <xf numFmtId="3" fontId="5" fillId="4" borderId="80" xfId="0" applyNumberFormat="1" applyFont="1" applyFill="1" applyBorder="1" applyAlignment="1">
      <alignment horizontal="center" vertical="top"/>
    </xf>
    <xf numFmtId="3" fontId="1" fillId="3" borderId="80" xfId="0" applyNumberFormat="1" applyFont="1" applyFill="1" applyBorder="1" applyAlignment="1">
      <alignment horizontal="center" vertical="top"/>
    </xf>
    <xf numFmtId="3" fontId="4" fillId="0" borderId="47" xfId="0" applyNumberFormat="1" applyFont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top" wrapText="1"/>
    </xf>
    <xf numFmtId="3" fontId="5" fillId="9" borderId="52" xfId="0" applyNumberFormat="1" applyFont="1" applyFill="1" applyBorder="1" applyAlignment="1">
      <alignment vertical="top"/>
    </xf>
    <xf numFmtId="3" fontId="4" fillId="8" borderId="61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vertical="top"/>
    </xf>
    <xf numFmtId="3" fontId="4" fillId="0" borderId="18" xfId="0" applyNumberFormat="1" applyFont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 wrapText="1"/>
    </xf>
    <xf numFmtId="3" fontId="4" fillId="0" borderId="63" xfId="0" applyNumberFormat="1" applyFont="1" applyFill="1" applyBorder="1" applyAlignment="1">
      <alignment vertical="top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76" xfId="0" applyNumberFormat="1" applyFont="1" applyFill="1" applyBorder="1" applyAlignment="1">
      <alignment horizontal="center" vertical="top" wrapText="1"/>
    </xf>
    <xf numFmtId="0" fontId="2" fillId="5" borderId="76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76" xfId="0" applyFont="1" applyFill="1" applyBorder="1" applyAlignment="1">
      <alignment horizontal="center" vertical="top"/>
    </xf>
    <xf numFmtId="0" fontId="2" fillId="0" borderId="76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left"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8" borderId="26" xfId="0" applyNumberFormat="1" applyFont="1" applyFill="1" applyBorder="1" applyAlignment="1">
      <alignment horizontal="center" vertical="top" wrapText="1"/>
    </xf>
    <xf numFmtId="3" fontId="4" fillId="8" borderId="31" xfId="0" applyNumberFormat="1" applyFont="1" applyFill="1" applyBorder="1" applyAlignment="1">
      <alignment vertical="top" wrapText="1"/>
    </xf>
    <xf numFmtId="3" fontId="4" fillId="0" borderId="49" xfId="0" applyNumberFormat="1" applyFont="1" applyFill="1" applyBorder="1" applyAlignment="1">
      <alignment vertical="top" textRotation="90" wrapText="1"/>
    </xf>
    <xf numFmtId="3" fontId="4" fillId="0" borderId="54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center" vertical="top"/>
    </xf>
    <xf numFmtId="0" fontId="4" fillId="8" borderId="61" xfId="0" applyNumberFormat="1" applyFont="1" applyFill="1" applyBorder="1" applyAlignment="1">
      <alignment horizontal="center" vertical="top"/>
    </xf>
    <xf numFmtId="0" fontId="4" fillId="8" borderId="27" xfId="0" applyNumberFormat="1" applyFont="1" applyFill="1" applyBorder="1" applyAlignment="1">
      <alignment horizontal="center" vertical="top"/>
    </xf>
    <xf numFmtId="0" fontId="4" fillId="8" borderId="25" xfId="0" applyNumberFormat="1" applyFont="1" applyFill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left" vertical="top" wrapText="1"/>
    </xf>
    <xf numFmtId="3" fontId="4" fillId="8" borderId="31" xfId="0" applyNumberFormat="1" applyFont="1" applyFill="1" applyBorder="1" applyAlignment="1">
      <alignment horizontal="left" vertical="top" wrapText="1"/>
    </xf>
    <xf numFmtId="3" fontId="4" fillId="0" borderId="37" xfId="0" applyNumberFormat="1" applyFont="1" applyFill="1" applyBorder="1" applyAlignment="1">
      <alignment horizontal="left" vertical="top" wrapText="1"/>
    </xf>
    <xf numFmtId="3" fontId="1" fillId="3" borderId="74" xfId="0" applyNumberFormat="1" applyFont="1" applyFill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/>
    </xf>
    <xf numFmtId="49" fontId="4" fillId="5" borderId="48" xfId="0" applyNumberFormat="1" applyFont="1" applyFill="1" applyBorder="1" applyAlignment="1">
      <alignment vertical="top"/>
    </xf>
    <xf numFmtId="3" fontId="5" fillId="0" borderId="48" xfId="0" applyNumberFormat="1" applyFont="1" applyFill="1" applyBorder="1" applyAlignment="1">
      <alignment vertical="top" wrapText="1"/>
    </xf>
    <xf numFmtId="3" fontId="4" fillId="0" borderId="39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vertical="top" wrapText="1"/>
    </xf>
    <xf numFmtId="3" fontId="4" fillId="0" borderId="47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5" fillId="0" borderId="30" xfId="0" applyNumberFormat="1" applyFont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left" vertical="top" wrapText="1"/>
    </xf>
    <xf numFmtId="3" fontId="4" fillId="0" borderId="9" xfId="0" applyNumberFormat="1" applyFont="1" applyFill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8" borderId="62" xfId="0" applyNumberFormat="1" applyFont="1" applyFill="1" applyBorder="1" applyAlignment="1">
      <alignment horizontal="center" vertical="top"/>
    </xf>
    <xf numFmtId="3" fontId="4" fillId="8" borderId="3" xfId="0" applyNumberFormat="1" applyFont="1" applyFill="1" applyBorder="1" applyAlignment="1">
      <alignment horizontal="left" vertical="top" wrapText="1"/>
    </xf>
    <xf numFmtId="3" fontId="5" fillId="0" borderId="38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40" xfId="0" applyNumberFormat="1" applyFont="1" applyBorder="1" applyAlignment="1">
      <alignment horizontal="left" vertical="top" wrapText="1"/>
    </xf>
    <xf numFmtId="3" fontId="4" fillId="5" borderId="40" xfId="0" applyNumberFormat="1" applyFont="1" applyFill="1" applyBorder="1" applyAlignment="1">
      <alignment horizontal="left" vertical="top" wrapText="1"/>
    </xf>
    <xf numFmtId="3" fontId="4" fillId="8" borderId="58" xfId="0" applyNumberFormat="1" applyFont="1" applyFill="1" applyBorder="1" applyAlignment="1">
      <alignment horizontal="center" vertical="top"/>
    </xf>
    <xf numFmtId="3" fontId="2" fillId="8" borderId="58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 textRotation="90" wrapText="1"/>
    </xf>
    <xf numFmtId="3" fontId="5" fillId="0" borderId="74" xfId="0" applyNumberFormat="1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vertical="top" textRotation="90" wrapText="1"/>
    </xf>
    <xf numFmtId="3" fontId="2" fillId="8" borderId="58" xfId="0" applyNumberFormat="1" applyFont="1" applyFill="1" applyBorder="1" applyAlignment="1">
      <alignment vertical="top"/>
    </xf>
    <xf numFmtId="3" fontId="2" fillId="8" borderId="63" xfId="0" applyNumberFormat="1" applyFont="1" applyFill="1" applyBorder="1" applyAlignment="1">
      <alignment vertical="top"/>
    </xf>
    <xf numFmtId="3" fontId="2" fillId="8" borderId="76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8" borderId="9" xfId="0" applyNumberFormat="1" applyFont="1" applyFill="1" applyBorder="1" applyAlignment="1">
      <alignment vertical="top" wrapText="1"/>
    </xf>
    <xf numFmtId="3" fontId="2" fillId="0" borderId="3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3" fontId="2" fillId="5" borderId="43" xfId="0" applyNumberFormat="1" applyFont="1" applyFill="1" applyBorder="1" applyAlignment="1">
      <alignment horizontal="center" vertical="top" wrapText="1"/>
    </xf>
    <xf numFmtId="3" fontId="2" fillId="8" borderId="12" xfId="0" applyNumberFormat="1" applyFont="1" applyFill="1" applyBorder="1" applyAlignment="1">
      <alignment horizontal="center" vertical="top" wrapText="1"/>
    </xf>
    <xf numFmtId="3" fontId="2" fillId="5" borderId="62" xfId="0" applyNumberFormat="1" applyFont="1" applyFill="1" applyBorder="1" applyAlignment="1">
      <alignment horizontal="center" vertical="top" wrapText="1"/>
    </xf>
    <xf numFmtId="3" fontId="2" fillId="5" borderId="18" xfId="0" applyNumberFormat="1" applyFont="1" applyFill="1" applyBorder="1" applyAlignment="1">
      <alignment horizontal="center" vertical="top" wrapText="1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 vertical="top" wrapText="1"/>
    </xf>
    <xf numFmtId="3" fontId="5" fillId="0" borderId="40" xfId="0" applyNumberFormat="1" applyFont="1" applyBorder="1" applyAlignment="1">
      <alignment horizontal="center" vertical="top"/>
    </xf>
    <xf numFmtId="3" fontId="5" fillId="0" borderId="30" xfId="0" applyNumberFormat="1" applyFont="1" applyBorder="1" applyAlignment="1">
      <alignment horizontal="center" vertical="top"/>
    </xf>
    <xf numFmtId="3" fontId="5" fillId="0" borderId="53" xfId="0" applyNumberFormat="1" applyFont="1" applyBorder="1" applyAlignment="1">
      <alignment horizontal="center" vertical="top"/>
    </xf>
    <xf numFmtId="3" fontId="2" fillId="0" borderId="30" xfId="0" applyNumberFormat="1" applyFont="1" applyBorder="1" applyAlignment="1">
      <alignment horizontal="center" vertical="top" wrapText="1"/>
    </xf>
    <xf numFmtId="3" fontId="2" fillId="8" borderId="9" xfId="0" applyNumberFormat="1" applyFont="1" applyFill="1" applyBorder="1" applyAlignment="1">
      <alignment horizontal="left" vertical="top" wrapText="1"/>
    </xf>
    <xf numFmtId="3" fontId="4" fillId="8" borderId="49" xfId="0" applyNumberFormat="1" applyFont="1" applyFill="1" applyBorder="1" applyAlignment="1">
      <alignment horizontal="center" vertical="top"/>
    </xf>
    <xf numFmtId="3" fontId="4" fillId="0" borderId="53" xfId="0" applyNumberFormat="1" applyFont="1" applyBorder="1" applyAlignment="1">
      <alignment horizontal="center" vertical="top" wrapText="1"/>
    </xf>
    <xf numFmtId="3" fontId="4" fillId="0" borderId="53" xfId="0" applyNumberFormat="1" applyFont="1" applyBorder="1" applyAlignment="1">
      <alignment vertical="top" wrapText="1"/>
    </xf>
    <xf numFmtId="3" fontId="5" fillId="2" borderId="54" xfId="0" applyNumberFormat="1" applyFont="1" applyFill="1" applyBorder="1" applyAlignment="1">
      <alignment horizontal="center" vertical="top"/>
    </xf>
    <xf numFmtId="3" fontId="5" fillId="3" borderId="49" xfId="0" applyNumberFormat="1" applyFont="1" applyFill="1" applyBorder="1" applyAlignment="1">
      <alignment horizontal="center" vertical="top"/>
    </xf>
    <xf numFmtId="3" fontId="6" fillId="0" borderId="49" xfId="0" applyNumberFormat="1" applyFont="1" applyBorder="1" applyAlignment="1">
      <alignment vertical="top"/>
    </xf>
    <xf numFmtId="3" fontId="4" fillId="0" borderId="49" xfId="0" applyNumberFormat="1" applyFont="1" applyFill="1" applyBorder="1" applyAlignment="1">
      <alignment vertical="top" wrapText="1"/>
    </xf>
    <xf numFmtId="3" fontId="4" fillId="0" borderId="71" xfId="0" applyNumberFormat="1" applyFont="1" applyBorder="1" applyAlignment="1">
      <alignment vertical="top"/>
    </xf>
    <xf numFmtId="3" fontId="2" fillId="9" borderId="16" xfId="0" applyNumberFormat="1" applyFont="1" applyFill="1" applyBorder="1" applyAlignment="1">
      <alignment horizontal="center" vertical="top"/>
    </xf>
    <xf numFmtId="3" fontId="2" fillId="9" borderId="36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left" vertical="top" wrapText="1"/>
    </xf>
    <xf numFmtId="3" fontId="4" fillId="5" borderId="75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3" fontId="5" fillId="0" borderId="49" xfId="0" applyNumberFormat="1" applyFont="1" applyBorder="1" applyAlignment="1">
      <alignment vertical="top"/>
    </xf>
    <xf numFmtId="49" fontId="4" fillId="0" borderId="71" xfId="0" applyNumberFormat="1" applyFont="1" applyBorder="1" applyAlignment="1">
      <alignment vertical="top"/>
    </xf>
    <xf numFmtId="3" fontId="2" fillId="0" borderId="49" xfId="0" applyNumberFormat="1" applyFont="1" applyFill="1" applyBorder="1" applyAlignment="1">
      <alignment vertical="top" textRotation="90" wrapText="1"/>
    </xf>
    <xf numFmtId="3" fontId="1" fillId="0" borderId="53" xfId="0" applyNumberFormat="1" applyFont="1" applyBorder="1" applyAlignment="1">
      <alignment horizontal="center" vertical="top"/>
    </xf>
    <xf numFmtId="3" fontId="2" fillId="0" borderId="53" xfId="0" applyNumberFormat="1" applyFont="1" applyBorder="1" applyAlignment="1">
      <alignment horizontal="center" vertical="top" wrapText="1"/>
    </xf>
    <xf numFmtId="3" fontId="2" fillId="0" borderId="71" xfId="0" applyNumberFormat="1" applyFont="1" applyBorder="1" applyAlignment="1">
      <alignment vertical="top"/>
    </xf>
    <xf numFmtId="3" fontId="2" fillId="0" borderId="54" xfId="0" applyNumberFormat="1" applyFont="1" applyBorder="1" applyAlignment="1">
      <alignment vertical="top"/>
    </xf>
    <xf numFmtId="3" fontId="2" fillId="0" borderId="55" xfId="0" applyNumberFormat="1" applyFont="1" applyBorder="1" applyAlignment="1">
      <alignment vertical="top"/>
    </xf>
    <xf numFmtId="3" fontId="2" fillId="9" borderId="54" xfId="0" applyNumberFormat="1" applyFont="1" applyFill="1" applyBorder="1" applyAlignment="1">
      <alignment vertical="top"/>
    </xf>
    <xf numFmtId="3" fontId="2" fillId="9" borderId="71" xfId="0" applyNumberFormat="1" applyFont="1" applyFill="1" applyBorder="1" applyAlignment="1">
      <alignment vertical="top"/>
    </xf>
    <xf numFmtId="3" fontId="2" fillId="8" borderId="53" xfId="0" applyNumberFormat="1" applyFont="1" applyFill="1" applyBorder="1" applyAlignment="1">
      <alignment vertical="top"/>
    </xf>
    <xf numFmtId="3" fontId="4" fillId="0" borderId="29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/>
    </xf>
    <xf numFmtId="3" fontId="5" fillId="4" borderId="61" xfId="0" applyNumberFormat="1" applyFont="1" applyFill="1" applyBorder="1" applyAlignment="1">
      <alignment horizontal="center" vertical="top" wrapText="1"/>
    </xf>
    <xf numFmtId="3" fontId="5" fillId="4" borderId="25" xfId="0" applyNumberFormat="1" applyFont="1" applyFill="1" applyBorder="1" applyAlignment="1">
      <alignment horizontal="center" vertical="top" wrapText="1"/>
    </xf>
    <xf numFmtId="3" fontId="4" fillId="8" borderId="13" xfId="0" applyNumberFormat="1" applyFont="1" applyFill="1" applyBorder="1" applyAlignment="1">
      <alignment horizontal="center" vertical="top"/>
    </xf>
    <xf numFmtId="3" fontId="5" fillId="4" borderId="61" xfId="0" applyNumberFormat="1" applyFont="1" applyFill="1" applyBorder="1" applyAlignment="1">
      <alignment horizontal="center" vertical="top"/>
    </xf>
    <xf numFmtId="3" fontId="5" fillId="4" borderId="25" xfId="0" applyNumberFormat="1" applyFont="1" applyFill="1" applyBorder="1" applyAlignment="1">
      <alignment horizontal="center" vertical="top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5" fillId="9" borderId="67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5" fillId="9" borderId="34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2" fillId="0" borderId="24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center" textRotation="90" wrapText="1"/>
    </xf>
    <xf numFmtId="3" fontId="4" fillId="5" borderId="45" xfId="0" applyNumberFormat="1" applyFont="1" applyFill="1" applyBorder="1" applyAlignment="1">
      <alignment horizontal="center" vertical="top" wrapText="1"/>
    </xf>
    <xf numFmtId="3" fontId="4" fillId="5" borderId="58" xfId="0" applyNumberFormat="1" applyFont="1" applyFill="1" applyBorder="1" applyAlignment="1">
      <alignment horizontal="center" vertical="top" wrapText="1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vertical="top"/>
    </xf>
    <xf numFmtId="165" fontId="4" fillId="5" borderId="38" xfId="0" applyNumberFormat="1" applyFont="1" applyFill="1" applyBorder="1" applyAlignment="1">
      <alignment horizontal="center" vertical="top"/>
    </xf>
    <xf numFmtId="165" fontId="4" fillId="5" borderId="23" xfId="0" applyNumberFormat="1" applyFont="1" applyFill="1" applyBorder="1" applyAlignment="1">
      <alignment horizontal="center" vertical="top"/>
    </xf>
    <xf numFmtId="165" fontId="4" fillId="0" borderId="31" xfId="0" applyNumberFormat="1" applyFont="1" applyBorder="1" applyAlignment="1">
      <alignment horizontal="center" vertical="top"/>
    </xf>
    <xf numFmtId="165" fontId="4" fillId="0" borderId="26" xfId="0" applyNumberFormat="1" applyFont="1" applyBorder="1" applyAlignment="1">
      <alignment horizontal="center" vertical="top"/>
    </xf>
    <xf numFmtId="165" fontId="4" fillId="5" borderId="40" xfId="0" applyNumberFormat="1" applyFont="1" applyFill="1" applyBorder="1" applyAlignment="1">
      <alignment horizontal="center" vertical="top"/>
    </xf>
    <xf numFmtId="165" fontId="4" fillId="8" borderId="68" xfId="0" applyNumberFormat="1" applyFont="1" applyFill="1" applyBorder="1" applyAlignment="1">
      <alignment horizontal="center" vertical="top"/>
    </xf>
    <xf numFmtId="165" fontId="5" fillId="9" borderId="4" xfId="0" applyNumberFormat="1" applyFont="1" applyFill="1" applyBorder="1" applyAlignment="1">
      <alignment horizontal="center" vertical="top"/>
    </xf>
    <xf numFmtId="165" fontId="5" fillId="9" borderId="41" xfId="0" applyNumberFormat="1" applyFont="1" applyFill="1" applyBorder="1" applyAlignment="1">
      <alignment horizontal="center" vertical="top"/>
    </xf>
    <xf numFmtId="165" fontId="4" fillId="8" borderId="11" xfId="0" applyNumberFormat="1" applyFont="1" applyFill="1" applyBorder="1" applyAlignment="1">
      <alignment horizontal="center" vertical="top"/>
    </xf>
    <xf numFmtId="165" fontId="4" fillId="5" borderId="11" xfId="0" applyNumberFormat="1" applyFont="1" applyFill="1" applyBorder="1" applyAlignment="1">
      <alignment horizontal="center" vertical="top"/>
    </xf>
    <xf numFmtId="165" fontId="4" fillId="5" borderId="38" xfId="0" applyNumberFormat="1" applyFont="1" applyFill="1" applyBorder="1" applyAlignment="1">
      <alignment horizontal="center" vertical="top" wrapText="1"/>
    </xf>
    <xf numFmtId="165" fontId="4" fillId="5" borderId="47" xfId="0" applyNumberFormat="1" applyFont="1" applyFill="1" applyBorder="1" applyAlignment="1">
      <alignment horizontal="center" vertical="top" wrapText="1"/>
    </xf>
    <xf numFmtId="165" fontId="4" fillId="5" borderId="12" xfId="0" applyNumberFormat="1" applyFont="1" applyFill="1" applyBorder="1" applyAlignment="1">
      <alignment horizontal="center" vertical="top" wrapText="1"/>
    </xf>
    <xf numFmtId="165" fontId="4" fillId="5" borderId="30" xfId="0" applyNumberFormat="1" applyFont="1" applyFill="1" applyBorder="1" applyAlignment="1">
      <alignment horizontal="center" vertical="top" wrapText="1"/>
    </xf>
    <xf numFmtId="165" fontId="4" fillId="5" borderId="0" xfId="0" applyNumberFormat="1" applyFont="1" applyFill="1" applyBorder="1" applyAlignment="1">
      <alignment horizontal="center" vertical="top" wrapText="1"/>
    </xf>
    <xf numFmtId="165" fontId="4" fillId="5" borderId="36" xfId="0" applyNumberFormat="1" applyFont="1" applyFill="1" applyBorder="1" applyAlignment="1">
      <alignment horizontal="center" vertical="top" wrapText="1"/>
    </xf>
    <xf numFmtId="165" fontId="4" fillId="0" borderId="40" xfId="0" applyNumberFormat="1" applyFont="1" applyBorder="1" applyAlignment="1">
      <alignment horizontal="center" vertical="top"/>
    </xf>
    <xf numFmtId="165" fontId="4" fillId="0" borderId="35" xfId="0" applyNumberFormat="1" applyFont="1" applyBorder="1" applyAlignment="1">
      <alignment horizontal="center" vertical="top"/>
    </xf>
    <xf numFmtId="165" fontId="5" fillId="9" borderId="52" xfId="0" applyNumberFormat="1" applyFont="1" applyFill="1" applyBorder="1" applyAlignment="1">
      <alignment horizontal="center" vertical="top"/>
    </xf>
    <xf numFmtId="165" fontId="5" fillId="3" borderId="2" xfId="0" applyNumberFormat="1" applyFont="1" applyFill="1" applyBorder="1" applyAlignment="1">
      <alignment horizontal="center" vertical="top"/>
    </xf>
    <xf numFmtId="165" fontId="5" fillId="3" borderId="7" xfId="0" applyNumberFormat="1" applyFont="1" applyFill="1" applyBorder="1" applyAlignment="1">
      <alignment horizontal="center" vertical="top"/>
    </xf>
    <xf numFmtId="165" fontId="5" fillId="3" borderId="6" xfId="0" applyNumberFormat="1" applyFont="1" applyFill="1" applyBorder="1" applyAlignment="1">
      <alignment horizontal="center" vertical="top"/>
    </xf>
    <xf numFmtId="165" fontId="4" fillId="0" borderId="16" xfId="0" applyNumberFormat="1" applyFont="1" applyBorder="1" applyAlignment="1">
      <alignment horizontal="center" vertical="top"/>
    </xf>
    <xf numFmtId="165" fontId="4" fillId="0" borderId="3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5" fontId="4" fillId="0" borderId="62" xfId="0" applyNumberFormat="1" applyFont="1" applyBorder="1" applyAlignment="1">
      <alignment horizontal="center" vertical="top"/>
    </xf>
    <xf numFmtId="165" fontId="4" fillId="5" borderId="53" xfId="0" applyNumberFormat="1" applyFont="1" applyFill="1" applyBorder="1" applyAlignment="1">
      <alignment horizontal="center" vertical="top" wrapText="1"/>
    </xf>
    <xf numFmtId="165" fontId="4" fillId="5" borderId="71" xfId="0" applyNumberFormat="1" applyFont="1" applyFill="1" applyBorder="1" applyAlignment="1">
      <alignment horizontal="center" vertical="top" wrapText="1"/>
    </xf>
    <xf numFmtId="165" fontId="4" fillId="5" borderId="55" xfId="0" applyNumberFormat="1" applyFont="1" applyFill="1" applyBorder="1" applyAlignment="1">
      <alignment horizontal="center" vertical="top" wrapText="1"/>
    </xf>
    <xf numFmtId="165" fontId="4" fillId="5" borderId="12" xfId="0" applyNumberFormat="1" applyFont="1" applyFill="1" applyBorder="1" applyAlignment="1">
      <alignment horizontal="center" vertical="top"/>
    </xf>
    <xf numFmtId="165" fontId="4" fillId="5" borderId="30" xfId="0" applyNumberFormat="1" applyFont="1" applyFill="1" applyBorder="1" applyAlignment="1">
      <alignment horizontal="center" vertical="top"/>
    </xf>
    <xf numFmtId="165" fontId="4" fillId="5" borderId="0" xfId="0" applyNumberFormat="1" applyFont="1" applyFill="1" applyBorder="1" applyAlignment="1">
      <alignment horizontal="center" vertical="top"/>
    </xf>
    <xf numFmtId="165" fontId="4" fillId="5" borderId="35" xfId="0" applyNumberFormat="1" applyFont="1" applyFill="1" applyBorder="1" applyAlignment="1">
      <alignment horizontal="center" vertical="top"/>
    </xf>
    <xf numFmtId="165" fontId="4" fillId="5" borderId="54" xfId="0" applyNumberFormat="1" applyFont="1" applyFill="1" applyBorder="1" applyAlignment="1">
      <alignment horizontal="center" vertical="top"/>
    </xf>
    <xf numFmtId="165" fontId="4" fillId="5" borderId="53" xfId="0" applyNumberFormat="1" applyFont="1" applyFill="1" applyBorder="1" applyAlignment="1">
      <alignment horizontal="center" vertical="top"/>
    </xf>
    <xf numFmtId="165" fontId="4" fillId="5" borderId="71" xfId="0" applyNumberFormat="1" applyFont="1" applyFill="1" applyBorder="1" applyAlignment="1">
      <alignment horizontal="center" vertical="top"/>
    </xf>
    <xf numFmtId="165" fontId="5" fillId="9" borderId="68" xfId="0" applyNumberFormat="1" applyFont="1" applyFill="1" applyBorder="1" applyAlignment="1">
      <alignment horizontal="center" vertical="top"/>
    </xf>
    <xf numFmtId="165" fontId="5" fillId="9" borderId="64" xfId="0" applyNumberFormat="1" applyFont="1" applyFill="1" applyBorder="1" applyAlignment="1">
      <alignment horizontal="center" vertical="top"/>
    </xf>
    <xf numFmtId="165" fontId="5" fillId="9" borderId="40" xfId="0" applyNumberFormat="1" applyFont="1" applyFill="1" applyBorder="1" applyAlignment="1">
      <alignment horizontal="center" vertical="top"/>
    </xf>
    <xf numFmtId="165" fontId="2" fillId="5" borderId="40" xfId="0" applyNumberFormat="1" applyFont="1" applyFill="1" applyBorder="1" applyAlignment="1">
      <alignment horizontal="center" vertical="top" wrapText="1"/>
    </xf>
    <xf numFmtId="165" fontId="2" fillId="5" borderId="68" xfId="0" applyNumberFormat="1" applyFont="1" applyFill="1" applyBorder="1" applyAlignment="1">
      <alignment horizontal="center" vertical="top" wrapText="1"/>
    </xf>
    <xf numFmtId="165" fontId="2" fillId="8" borderId="68" xfId="0" applyNumberFormat="1" applyFont="1" applyFill="1" applyBorder="1" applyAlignment="1">
      <alignment horizontal="center" vertical="top"/>
    </xf>
    <xf numFmtId="165" fontId="2" fillId="0" borderId="40" xfId="0" applyNumberFormat="1" applyFont="1" applyFill="1" applyBorder="1" applyAlignment="1">
      <alignment horizontal="center" vertical="top"/>
    </xf>
    <xf numFmtId="165" fontId="2" fillId="0" borderId="68" xfId="0" applyNumberFormat="1" applyFont="1" applyFill="1" applyBorder="1" applyAlignment="1">
      <alignment horizontal="center" vertical="top"/>
    </xf>
    <xf numFmtId="165" fontId="1" fillId="9" borderId="29" xfId="0" applyNumberFormat="1" applyFont="1" applyFill="1" applyBorder="1" applyAlignment="1">
      <alignment horizontal="center" vertical="top"/>
    </xf>
    <xf numFmtId="165" fontId="1" fillId="9" borderId="26" xfId="0" applyNumberFormat="1" applyFont="1" applyFill="1" applyBorder="1" applyAlignment="1">
      <alignment horizontal="center" vertical="top"/>
    </xf>
    <xf numFmtId="165" fontId="1" fillId="9" borderId="31" xfId="0" applyNumberFormat="1" applyFont="1" applyFill="1" applyBorder="1" applyAlignment="1">
      <alignment horizontal="center" vertical="top"/>
    </xf>
    <xf numFmtId="165" fontId="2" fillId="5" borderId="30" xfId="0" applyNumberFormat="1" applyFont="1" applyFill="1" applyBorder="1" applyAlignment="1">
      <alignment horizontal="center" vertical="top" wrapText="1"/>
    </xf>
    <xf numFmtId="165" fontId="2" fillId="5" borderId="12" xfId="0" applyNumberFormat="1" applyFont="1" applyFill="1" applyBorder="1" applyAlignment="1">
      <alignment horizontal="center" vertical="top" wrapText="1"/>
    </xf>
    <xf numFmtId="165" fontId="2" fillId="0" borderId="3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43" xfId="0" applyNumberFormat="1" applyFont="1" applyBorder="1" applyAlignment="1">
      <alignment horizontal="center" vertical="top"/>
    </xf>
    <xf numFmtId="165" fontId="2" fillId="5" borderId="43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/>
    </xf>
    <xf numFmtId="165" fontId="2" fillId="5" borderId="62" xfId="0" applyNumberFormat="1" applyFont="1" applyFill="1" applyBorder="1" applyAlignment="1">
      <alignment horizontal="center" vertical="top" wrapText="1"/>
    </xf>
    <xf numFmtId="165" fontId="2" fillId="8" borderId="61" xfId="0" applyNumberFormat="1" applyFont="1" applyFill="1" applyBorder="1" applyAlignment="1">
      <alignment horizontal="center" vertical="top"/>
    </xf>
    <xf numFmtId="165" fontId="2" fillId="8" borderId="31" xfId="0" applyNumberFormat="1" applyFont="1" applyFill="1" applyBorder="1" applyAlignment="1">
      <alignment horizontal="center" vertical="top" wrapText="1"/>
    </xf>
    <xf numFmtId="165" fontId="2" fillId="5" borderId="32" xfId="0" applyNumberFormat="1" applyFont="1" applyFill="1" applyBorder="1" applyAlignment="1">
      <alignment horizontal="center" vertical="top"/>
    </xf>
    <xf numFmtId="165" fontId="5" fillId="9" borderId="29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165" fontId="5" fillId="6" borderId="67" xfId="0" applyNumberFormat="1" applyFont="1" applyFill="1" applyBorder="1" applyAlignment="1">
      <alignment horizontal="center" vertical="top"/>
    </xf>
    <xf numFmtId="165" fontId="4" fillId="5" borderId="36" xfId="0" applyNumberFormat="1" applyFont="1" applyFill="1" applyBorder="1" applyAlignment="1">
      <alignment horizontal="center" vertical="top"/>
    </xf>
    <xf numFmtId="165" fontId="5" fillId="3" borderId="8" xfId="0" applyNumberFormat="1" applyFont="1" applyFill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vertical="top"/>
    </xf>
    <xf numFmtId="165" fontId="2" fillId="8" borderId="30" xfId="0" applyNumberFormat="1" applyFont="1" applyFill="1" applyBorder="1" applyAlignment="1">
      <alignment vertical="top"/>
    </xf>
    <xf numFmtId="165" fontId="2" fillId="0" borderId="62" xfId="0" applyNumberFormat="1" applyFont="1" applyBorder="1" applyAlignment="1">
      <alignment vertical="top"/>
    </xf>
    <xf numFmtId="165" fontId="2" fillId="8" borderId="53" xfId="0" applyNumberFormat="1" applyFont="1" applyFill="1" applyBorder="1" applyAlignment="1">
      <alignment vertical="top"/>
    </xf>
    <xf numFmtId="165" fontId="2" fillId="5" borderId="53" xfId="0" applyNumberFormat="1" applyFont="1" applyFill="1" applyBorder="1" applyAlignment="1">
      <alignment horizontal="center" vertical="top" wrapText="1"/>
    </xf>
    <xf numFmtId="165" fontId="1" fillId="9" borderId="67" xfId="0" applyNumberFormat="1" applyFont="1" applyFill="1" applyBorder="1" applyAlignment="1">
      <alignment horizontal="center" vertical="top"/>
    </xf>
    <xf numFmtId="165" fontId="1" fillId="9" borderId="52" xfId="0" applyNumberFormat="1" applyFont="1" applyFill="1" applyBorder="1" applyAlignment="1">
      <alignment horizontal="center" vertical="top"/>
    </xf>
    <xf numFmtId="165" fontId="2" fillId="5" borderId="38" xfId="0" applyNumberFormat="1" applyFont="1" applyFill="1" applyBorder="1" applyAlignment="1">
      <alignment horizontal="center" vertical="top"/>
    </xf>
    <xf numFmtId="165" fontId="2" fillId="0" borderId="62" xfId="0" applyNumberFormat="1" applyFont="1" applyFill="1" applyBorder="1" applyAlignment="1">
      <alignment horizontal="center" vertical="top"/>
    </xf>
    <xf numFmtId="165" fontId="2" fillId="0" borderId="30" xfId="0" applyNumberFormat="1" applyFont="1" applyBorder="1" applyAlignment="1">
      <alignment horizontal="center" vertical="top"/>
    </xf>
    <xf numFmtId="165" fontId="5" fillId="9" borderId="17" xfId="0" applyNumberFormat="1" applyFont="1" applyFill="1" applyBorder="1" applyAlignment="1">
      <alignment horizontal="center" vertical="top"/>
    </xf>
    <xf numFmtId="165" fontId="1" fillId="3" borderId="15" xfId="0" applyNumberFormat="1" applyFont="1" applyFill="1" applyBorder="1" applyAlignment="1">
      <alignment horizontal="center" vertical="top"/>
    </xf>
    <xf numFmtId="165" fontId="5" fillId="2" borderId="8" xfId="0" applyNumberFormat="1" applyFont="1" applyFill="1" applyBorder="1" applyAlignment="1">
      <alignment horizontal="center" vertical="top"/>
    </xf>
    <xf numFmtId="165" fontId="5" fillId="4" borderId="8" xfId="0" applyNumberFormat="1" applyFont="1" applyFill="1" applyBorder="1" applyAlignment="1">
      <alignment horizontal="center" vertical="top"/>
    </xf>
    <xf numFmtId="165" fontId="5" fillId="4" borderId="6" xfId="0" applyNumberFormat="1" applyFont="1" applyFill="1" applyBorder="1" applyAlignment="1">
      <alignment horizontal="center" vertical="top"/>
    </xf>
    <xf numFmtId="165" fontId="5" fillId="4" borderId="14" xfId="0" applyNumberFormat="1" applyFont="1" applyFill="1" applyBorder="1" applyAlignment="1">
      <alignment horizontal="center" vertical="top"/>
    </xf>
    <xf numFmtId="165" fontId="4" fillId="0" borderId="56" xfId="0" applyNumberFormat="1" applyFont="1" applyBorder="1" applyAlignment="1">
      <alignment horizontal="center" vertical="top" wrapText="1"/>
    </xf>
    <xf numFmtId="165" fontId="4" fillId="0" borderId="37" xfId="0" applyNumberFormat="1" applyFont="1" applyBorder="1" applyAlignment="1">
      <alignment horizontal="center" vertical="top" wrapText="1"/>
    </xf>
    <xf numFmtId="165" fontId="5" fillId="4" borderId="32" xfId="0" applyNumberFormat="1" applyFont="1" applyFill="1" applyBorder="1" applyAlignment="1">
      <alignment horizontal="center" vertical="top" wrapText="1"/>
    </xf>
    <xf numFmtId="165" fontId="5" fillId="4" borderId="31" xfId="0" applyNumberFormat="1" applyFont="1" applyFill="1" applyBorder="1" applyAlignment="1">
      <alignment horizontal="center" vertical="top" wrapText="1"/>
    </xf>
    <xf numFmtId="165" fontId="4" fillId="8" borderId="61" xfId="0" applyNumberFormat="1" applyFont="1" applyFill="1" applyBorder="1" applyAlignment="1">
      <alignment horizontal="center" vertical="top" wrapText="1"/>
    </xf>
    <xf numFmtId="165" fontId="4" fillId="0" borderId="32" xfId="0" applyNumberFormat="1" applyFont="1" applyBorder="1" applyAlignment="1">
      <alignment horizontal="center" vertical="top" wrapText="1"/>
    </xf>
    <xf numFmtId="165" fontId="4" fillId="0" borderId="31" xfId="0" applyNumberFormat="1" applyFont="1" applyBorder="1" applyAlignment="1">
      <alignment horizontal="center" vertical="top" wrapText="1"/>
    </xf>
    <xf numFmtId="165" fontId="5" fillId="4" borderId="61" xfId="0" applyNumberFormat="1" applyFont="1" applyFill="1" applyBorder="1" applyAlignment="1">
      <alignment horizontal="center" vertical="top"/>
    </xf>
    <xf numFmtId="165" fontId="5" fillId="4" borderId="32" xfId="0" applyNumberFormat="1" applyFont="1" applyFill="1" applyBorder="1" applyAlignment="1">
      <alignment horizontal="center" vertical="top"/>
    </xf>
    <xf numFmtId="165" fontId="5" fillId="4" borderId="31" xfId="0" applyNumberFormat="1" applyFont="1" applyFill="1" applyBorder="1" applyAlignment="1">
      <alignment horizontal="center" vertical="top"/>
    </xf>
    <xf numFmtId="165" fontId="4" fillId="0" borderId="0" xfId="0" applyNumberFormat="1" applyFont="1" applyAlignment="1">
      <alignment vertical="top"/>
    </xf>
    <xf numFmtId="3" fontId="4" fillId="0" borderId="53" xfId="0" applyNumberFormat="1" applyFont="1" applyFill="1" applyBorder="1" applyAlignment="1">
      <alignment horizontal="center" vertical="top"/>
    </xf>
    <xf numFmtId="165" fontId="4" fillId="0" borderId="30" xfId="0" applyNumberFormat="1" applyFont="1" applyBorder="1" applyAlignment="1">
      <alignment horizontal="center" vertical="top"/>
    </xf>
    <xf numFmtId="165" fontId="4" fillId="0" borderId="36" xfId="0" applyNumberFormat="1" applyFont="1" applyBorder="1" applyAlignment="1">
      <alignment horizontal="center" vertical="top"/>
    </xf>
    <xf numFmtId="165" fontId="4" fillId="8" borderId="16" xfId="0" applyNumberFormat="1" applyFont="1" applyFill="1" applyBorder="1" applyAlignment="1">
      <alignment horizontal="center" vertical="top"/>
    </xf>
    <xf numFmtId="165" fontId="4" fillId="8" borderId="12" xfId="0" applyNumberFormat="1" applyFont="1" applyFill="1" applyBorder="1" applyAlignment="1">
      <alignment horizontal="center" vertical="top"/>
    </xf>
    <xf numFmtId="165" fontId="4" fillId="5" borderId="37" xfId="0" applyNumberFormat="1" applyFont="1" applyFill="1" applyBorder="1" applyAlignment="1">
      <alignment horizontal="center" vertical="top" wrapText="1"/>
    </xf>
    <xf numFmtId="165" fontId="4" fillId="0" borderId="61" xfId="0" applyNumberFormat="1" applyFont="1" applyBorder="1" applyAlignment="1">
      <alignment horizontal="center" vertical="top"/>
    </xf>
    <xf numFmtId="165" fontId="5" fillId="9" borderId="67" xfId="0" applyNumberFormat="1" applyFont="1" applyFill="1" applyBorder="1" applyAlignment="1">
      <alignment horizontal="center" vertical="top"/>
    </xf>
    <xf numFmtId="165" fontId="5" fillId="9" borderId="34" xfId="0" applyNumberFormat="1" applyFont="1" applyFill="1" applyBorder="1" applyAlignment="1">
      <alignment horizontal="center" vertical="top"/>
    </xf>
    <xf numFmtId="165" fontId="4" fillId="0" borderId="32" xfId="0" applyNumberFormat="1" applyFont="1" applyBorder="1" applyAlignment="1">
      <alignment horizontal="center" vertical="top"/>
    </xf>
    <xf numFmtId="165" fontId="5" fillId="4" borderId="61" xfId="0" applyNumberFormat="1" applyFont="1" applyFill="1" applyBorder="1" applyAlignment="1">
      <alignment horizontal="center" vertical="top" wrapText="1"/>
    </xf>
    <xf numFmtId="3" fontId="5" fillId="2" borderId="21" xfId="0" applyNumberFormat="1" applyFont="1" applyFill="1" applyBorder="1" applyAlignment="1">
      <alignment vertical="top"/>
    </xf>
    <xf numFmtId="3" fontId="5" fillId="0" borderId="38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165" fontId="4" fillId="5" borderId="11" xfId="0" applyNumberFormat="1" applyFont="1" applyFill="1" applyBorder="1" applyAlignment="1">
      <alignment horizontal="center" vertical="top" wrapText="1"/>
    </xf>
    <xf numFmtId="165" fontId="4" fillId="5" borderId="23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/>
    </xf>
    <xf numFmtId="165" fontId="6" fillId="0" borderId="16" xfId="0" applyNumberFormat="1" applyFont="1" applyBorder="1" applyAlignment="1">
      <alignment horizontal="center" vertical="top"/>
    </xf>
    <xf numFmtId="165" fontId="6" fillId="0" borderId="30" xfId="0" applyNumberFormat="1" applyFont="1" applyBorder="1" applyAlignment="1">
      <alignment vertical="top" wrapText="1"/>
    </xf>
    <xf numFmtId="165" fontId="4" fillId="0" borderId="36" xfId="0" applyNumberFormat="1" applyFont="1" applyFill="1" applyBorder="1" applyAlignment="1">
      <alignment horizontal="center" vertical="top"/>
    </xf>
    <xf numFmtId="3" fontId="4" fillId="8" borderId="36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left" vertical="top" wrapText="1"/>
    </xf>
    <xf numFmtId="3" fontId="4" fillId="0" borderId="58" xfId="2" applyNumberFormat="1" applyFont="1" applyFill="1" applyBorder="1" applyAlignment="1">
      <alignment horizontal="center" vertical="top"/>
    </xf>
    <xf numFmtId="3" fontId="4" fillId="8" borderId="16" xfId="0" applyNumberFormat="1" applyFont="1" applyFill="1" applyBorder="1" applyAlignment="1">
      <alignment horizontal="center" vertical="top"/>
    </xf>
    <xf numFmtId="3" fontId="4" fillId="0" borderId="36" xfId="2" applyNumberFormat="1" applyFont="1" applyFill="1" applyBorder="1" applyAlignment="1">
      <alignment horizontal="center" vertical="top"/>
    </xf>
    <xf numFmtId="3" fontId="4" fillId="0" borderId="29" xfId="0" applyNumberFormat="1" applyFont="1" applyBorder="1" applyAlignment="1">
      <alignment vertical="top"/>
    </xf>
    <xf numFmtId="3" fontId="4" fillId="8" borderId="15" xfId="0" applyNumberFormat="1" applyFont="1" applyFill="1" applyBorder="1" applyAlignment="1">
      <alignment horizontal="left" vertical="top" wrapText="1"/>
    </xf>
    <xf numFmtId="3" fontId="4" fillId="0" borderId="36" xfId="0" applyNumberFormat="1" applyFont="1" applyBorder="1" applyAlignment="1">
      <alignment vertical="top"/>
    </xf>
    <xf numFmtId="3" fontId="5" fillId="0" borderId="28" xfId="0" applyNumberFormat="1" applyFont="1" applyBorder="1" applyAlignment="1">
      <alignment vertical="top"/>
    </xf>
    <xf numFmtId="3" fontId="6" fillId="0" borderId="22" xfId="0" applyNumberFormat="1" applyFont="1" applyBorder="1" applyAlignment="1">
      <alignment vertical="top"/>
    </xf>
    <xf numFmtId="165" fontId="2" fillId="0" borderId="62" xfId="0" applyNumberFormat="1" applyFont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wrapText="1"/>
    </xf>
    <xf numFmtId="3" fontId="2" fillId="0" borderId="58" xfId="0" applyNumberFormat="1" applyFont="1" applyFill="1" applyBorder="1" applyAlignment="1">
      <alignment horizontal="center" vertical="top" wrapText="1"/>
    </xf>
    <xf numFmtId="3" fontId="4" fillId="0" borderId="74" xfId="0" applyNumberFormat="1" applyFont="1" applyBorder="1" applyAlignment="1">
      <alignment vertical="top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165" fontId="2" fillId="8" borderId="12" xfId="0" applyNumberFormat="1" applyFont="1" applyFill="1" applyBorder="1" applyAlignment="1">
      <alignment horizontal="center" vertical="top"/>
    </xf>
    <xf numFmtId="165" fontId="2" fillId="8" borderId="53" xfId="0" applyNumberFormat="1" applyFont="1" applyFill="1" applyBorder="1" applyAlignment="1">
      <alignment horizontal="center" vertical="top"/>
    </xf>
    <xf numFmtId="165" fontId="2" fillId="8" borderId="71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2" fillId="8" borderId="12" xfId="0" applyNumberFormat="1" applyFont="1" applyFill="1" applyBorder="1" applyAlignment="1">
      <alignment vertical="top"/>
    </xf>
    <xf numFmtId="165" fontId="2" fillId="8" borderId="54" xfId="0" applyNumberFormat="1" applyFont="1" applyFill="1" applyBorder="1" applyAlignment="1">
      <alignment vertical="top"/>
    </xf>
    <xf numFmtId="3" fontId="4" fillId="0" borderId="72" xfId="0" applyNumberFormat="1" applyFont="1" applyBorder="1" applyAlignment="1">
      <alignment vertical="top"/>
    </xf>
    <xf numFmtId="3" fontId="2" fillId="5" borderId="42" xfId="0" applyNumberFormat="1" applyFont="1" applyFill="1" applyBorder="1" applyAlignment="1">
      <alignment horizontal="center" vertical="top"/>
    </xf>
    <xf numFmtId="3" fontId="2" fillId="5" borderId="25" xfId="0" applyNumberFormat="1" applyFont="1" applyFill="1" applyBorder="1" applyAlignment="1">
      <alignment horizontal="center" vertical="top"/>
    </xf>
    <xf numFmtId="3" fontId="2" fillId="8" borderId="24" xfId="0" applyNumberFormat="1" applyFont="1" applyFill="1" applyBorder="1" applyAlignment="1">
      <alignment horizontal="left" vertical="top" wrapText="1"/>
    </xf>
    <xf numFmtId="165" fontId="2" fillId="0" borderId="38" xfId="0" applyNumberFormat="1" applyFont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left" vertical="top" wrapText="1"/>
    </xf>
    <xf numFmtId="3" fontId="4" fillId="0" borderId="26" xfId="0" applyNumberFormat="1" applyFont="1" applyFill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12" xfId="0" applyNumberFormat="1" applyFont="1" applyFill="1" applyBorder="1" applyAlignment="1">
      <alignment horizontal="center" vertical="top"/>
    </xf>
    <xf numFmtId="165" fontId="2" fillId="8" borderId="30" xfId="0" applyNumberFormat="1" applyFont="1" applyFill="1" applyBorder="1" applyAlignment="1">
      <alignment horizontal="center" vertical="top" wrapText="1"/>
    </xf>
    <xf numFmtId="165" fontId="2" fillId="0" borderId="21" xfId="0" applyNumberFormat="1" applyFont="1" applyBorder="1" applyAlignment="1">
      <alignment horizontal="center" vertical="top"/>
    </xf>
    <xf numFmtId="165" fontId="4" fillId="5" borderId="54" xfId="0" applyNumberFormat="1" applyFont="1" applyFill="1" applyBorder="1" applyAlignment="1">
      <alignment horizontal="center" vertical="top" wrapText="1"/>
    </xf>
    <xf numFmtId="165" fontId="4" fillId="0" borderId="53" xfId="0" applyNumberFormat="1" applyFont="1" applyBorder="1" applyAlignment="1">
      <alignment horizontal="center" vertical="top"/>
    </xf>
    <xf numFmtId="165" fontId="2" fillId="8" borderId="54" xfId="0" applyNumberFormat="1" applyFont="1" applyFill="1" applyBorder="1" applyAlignment="1">
      <alignment horizontal="center" vertical="top"/>
    </xf>
    <xf numFmtId="165" fontId="2" fillId="0" borderId="53" xfId="0" applyNumberFormat="1" applyFont="1" applyFill="1" applyBorder="1" applyAlignment="1">
      <alignment horizontal="center" vertical="top" wrapText="1"/>
    </xf>
    <xf numFmtId="165" fontId="2" fillId="5" borderId="55" xfId="0" applyNumberFormat="1" applyFont="1" applyFill="1" applyBorder="1" applyAlignment="1">
      <alignment horizontal="center" vertical="top"/>
    </xf>
    <xf numFmtId="165" fontId="2" fillId="0" borderId="40" xfId="0" applyNumberFormat="1" applyFont="1" applyFill="1" applyBorder="1" applyAlignment="1">
      <alignment horizontal="center" vertical="top" wrapText="1"/>
    </xf>
    <xf numFmtId="165" fontId="2" fillId="5" borderId="35" xfId="0" applyNumberFormat="1" applyFont="1" applyFill="1" applyBorder="1" applyAlignment="1">
      <alignment horizontal="center" vertical="top"/>
    </xf>
    <xf numFmtId="165" fontId="2" fillId="8" borderId="12" xfId="0" applyNumberFormat="1" applyFont="1" applyFill="1" applyBorder="1" applyAlignment="1">
      <alignment horizontal="center" vertical="top" wrapText="1"/>
    </xf>
    <xf numFmtId="3" fontId="2" fillId="0" borderId="53" xfId="0" applyNumberFormat="1" applyFont="1" applyFill="1" applyBorder="1" applyAlignment="1">
      <alignment horizontal="left" vertical="top" wrapText="1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49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/>
    </xf>
    <xf numFmtId="3" fontId="4" fillId="8" borderId="40" xfId="0" applyNumberFormat="1" applyFont="1" applyFill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/>
    </xf>
    <xf numFmtId="3" fontId="6" fillId="8" borderId="44" xfId="0" applyNumberFormat="1" applyFont="1" applyFill="1" applyBorder="1" applyAlignment="1">
      <alignment horizontal="center" vertical="top"/>
    </xf>
    <xf numFmtId="3" fontId="6" fillId="8" borderId="60" xfId="0" applyNumberFormat="1" applyFont="1" applyFill="1" applyBorder="1" applyAlignment="1">
      <alignment horizontal="center" vertical="top"/>
    </xf>
    <xf numFmtId="3" fontId="5" fillId="8" borderId="43" xfId="0" applyNumberFormat="1" applyFont="1" applyFill="1" applyBorder="1" applyAlignment="1">
      <alignment horizontal="center" vertical="top"/>
    </xf>
    <xf numFmtId="3" fontId="5" fillId="8" borderId="44" xfId="0" applyNumberFormat="1" applyFont="1" applyFill="1" applyBorder="1" applyAlignment="1">
      <alignment horizontal="center" vertical="top"/>
    </xf>
    <xf numFmtId="3" fontId="5" fillId="8" borderId="45" xfId="0" applyNumberFormat="1" applyFont="1" applyFill="1" applyBorder="1" applyAlignment="1">
      <alignment horizontal="center" vertical="top"/>
    </xf>
    <xf numFmtId="3" fontId="6" fillId="8" borderId="40" xfId="0" applyNumberFormat="1" applyFont="1" applyFill="1" applyBorder="1" applyAlignment="1">
      <alignment vertical="top" wrapText="1"/>
    </xf>
    <xf numFmtId="3" fontId="6" fillId="8" borderId="52" xfId="0" applyNumberFormat="1" applyFont="1" applyFill="1" applyBorder="1" applyAlignment="1">
      <alignment horizontal="center" vertical="top"/>
    </xf>
    <xf numFmtId="3" fontId="6" fillId="8" borderId="1" xfId="0" applyNumberFormat="1" applyFont="1" applyFill="1" applyBorder="1" applyAlignment="1">
      <alignment horizontal="center" vertical="top"/>
    </xf>
    <xf numFmtId="3" fontId="6" fillId="8" borderId="66" xfId="0" applyNumberFormat="1" applyFont="1" applyFill="1" applyBorder="1" applyAlignment="1">
      <alignment horizontal="center" vertical="top"/>
    </xf>
    <xf numFmtId="3" fontId="5" fillId="8" borderId="65" xfId="0" applyNumberFormat="1" applyFont="1" applyFill="1" applyBorder="1" applyAlignment="1">
      <alignment horizontal="center" vertical="top"/>
    </xf>
    <xf numFmtId="3" fontId="5" fillId="8" borderId="1" xfId="0" applyNumberFormat="1" applyFont="1" applyFill="1" applyBorder="1" applyAlignment="1">
      <alignment horizontal="center" vertical="top"/>
    </xf>
    <xf numFmtId="3" fontId="5" fillId="8" borderId="66" xfId="0" applyNumberFormat="1" applyFont="1" applyFill="1" applyBorder="1" applyAlignment="1">
      <alignment horizontal="center" vertical="top"/>
    </xf>
    <xf numFmtId="3" fontId="6" fillId="8" borderId="41" xfId="0" applyNumberFormat="1" applyFont="1" applyFill="1" applyBorder="1" applyAlignment="1">
      <alignment vertical="top" wrapText="1"/>
    </xf>
    <xf numFmtId="3" fontId="4" fillId="8" borderId="56" xfId="0" applyNumberFormat="1" applyFont="1" applyFill="1" applyBorder="1" applyAlignment="1">
      <alignment horizontal="center" vertical="top"/>
    </xf>
    <xf numFmtId="3" fontId="4" fillId="8" borderId="48" xfId="0" applyNumberFormat="1" applyFont="1" applyFill="1" applyBorder="1" applyAlignment="1">
      <alignment horizontal="center" vertical="top"/>
    </xf>
    <xf numFmtId="3" fontId="4" fillId="8" borderId="59" xfId="0" applyNumberFormat="1" applyFont="1" applyFill="1" applyBorder="1" applyAlignment="1">
      <alignment horizontal="center" vertical="top"/>
    </xf>
    <xf numFmtId="3" fontId="4" fillId="8" borderId="78" xfId="0" applyNumberFormat="1" applyFont="1" applyFill="1" applyBorder="1" applyAlignment="1">
      <alignment horizontal="center" vertical="top"/>
    </xf>
    <xf numFmtId="3" fontId="4" fillId="8" borderId="77" xfId="0" applyNumberFormat="1" applyFont="1" applyFill="1" applyBorder="1" applyAlignment="1">
      <alignment horizontal="center" vertical="top"/>
    </xf>
    <xf numFmtId="3" fontId="4" fillId="8" borderId="39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4" fillId="8" borderId="22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/>
    </xf>
    <xf numFmtId="3" fontId="4" fillId="8" borderId="28" xfId="0" applyNumberFormat="1" applyFont="1" applyFill="1" applyBorder="1" applyAlignment="1">
      <alignment horizontal="center" vertical="top"/>
    </xf>
    <xf numFmtId="3" fontId="4" fillId="8" borderId="38" xfId="0" applyNumberFormat="1" applyFont="1" applyFill="1" applyBorder="1" applyAlignment="1">
      <alignment horizontal="center" vertical="top"/>
    </xf>
    <xf numFmtId="3" fontId="4" fillId="8" borderId="37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vertical="top"/>
    </xf>
    <xf numFmtId="3" fontId="4" fillId="8" borderId="75" xfId="0" applyNumberFormat="1" applyFont="1" applyFill="1" applyBorder="1" applyAlignment="1">
      <alignment horizontal="center" vertical="top"/>
    </xf>
    <xf numFmtId="3" fontId="4" fillId="8" borderId="70" xfId="0" applyNumberFormat="1" applyFont="1" applyFill="1" applyBorder="1" applyAlignment="1">
      <alignment horizontal="center" vertical="top"/>
    </xf>
    <xf numFmtId="3" fontId="4" fillId="8" borderId="53" xfId="0" applyNumberFormat="1" applyFont="1" applyFill="1" applyBorder="1" applyAlignment="1">
      <alignment horizontal="center" vertical="top" wrapText="1"/>
    </xf>
    <xf numFmtId="3" fontId="4" fillId="8" borderId="71" xfId="0" applyNumberFormat="1" applyFont="1" applyFill="1" applyBorder="1" applyAlignment="1">
      <alignment horizontal="center" vertical="top" wrapText="1"/>
    </xf>
    <xf numFmtId="3" fontId="4" fillId="8" borderId="35" xfId="0" applyNumberFormat="1" applyFont="1" applyFill="1" applyBorder="1" applyAlignment="1">
      <alignment horizontal="center" vertical="top" wrapText="1"/>
    </xf>
    <xf numFmtId="3" fontId="4" fillId="8" borderId="55" xfId="0" applyNumberFormat="1" applyFont="1" applyFill="1" applyBorder="1" applyAlignment="1">
      <alignment horizontal="center" vertical="top" wrapText="1"/>
    </xf>
    <xf numFmtId="3" fontId="4" fillId="8" borderId="32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1" fillId="8" borderId="0" xfId="0" applyNumberFormat="1" applyFont="1" applyFill="1" applyBorder="1" applyAlignment="1">
      <alignment horizontal="center" vertical="top"/>
    </xf>
    <xf numFmtId="3" fontId="1" fillId="8" borderId="58" xfId="0" applyNumberFormat="1" applyFont="1" applyFill="1" applyBorder="1" applyAlignment="1">
      <alignment horizontal="center" vertical="top"/>
    </xf>
    <xf numFmtId="3" fontId="2" fillId="8" borderId="9" xfId="0" applyNumberFormat="1" applyFont="1" applyFill="1" applyBorder="1" applyAlignment="1">
      <alignment horizontal="center" vertical="top"/>
    </xf>
    <xf numFmtId="3" fontId="1" fillId="9" borderId="0" xfId="0" applyNumberFormat="1" applyFont="1" applyFill="1" applyBorder="1" applyAlignment="1">
      <alignment horizontal="center" vertical="top"/>
    </xf>
    <xf numFmtId="3" fontId="1" fillId="9" borderId="9" xfId="0" applyNumberFormat="1" applyFont="1" applyFill="1" applyBorder="1" applyAlignment="1">
      <alignment horizontal="center" vertical="top"/>
    </xf>
    <xf numFmtId="3" fontId="1" fillId="9" borderId="2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 wrapText="1"/>
    </xf>
    <xf numFmtId="3" fontId="6" fillId="8" borderId="68" xfId="0" applyNumberFormat="1" applyFont="1" applyFill="1" applyBorder="1" applyAlignment="1">
      <alignment vertical="top" wrapText="1"/>
    </xf>
    <xf numFmtId="3" fontId="6" fillId="8" borderId="67" xfId="0" applyNumberFormat="1" applyFont="1" applyFill="1" applyBorder="1" applyAlignment="1">
      <alignment vertical="top" wrapText="1"/>
    </xf>
    <xf numFmtId="3" fontId="16" fillId="0" borderId="0" xfId="0" applyNumberFormat="1" applyFont="1" applyAlignment="1">
      <alignment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5" borderId="49" xfId="0" applyNumberFormat="1" applyFont="1" applyFill="1" applyBorder="1" applyAlignment="1">
      <alignment horizontal="center" vertical="top" wrapText="1"/>
    </xf>
    <xf numFmtId="165" fontId="4" fillId="5" borderId="29" xfId="0" applyNumberFormat="1" applyFont="1" applyFill="1" applyBorder="1" applyAlignment="1">
      <alignment horizontal="center" vertical="top"/>
    </xf>
    <xf numFmtId="165" fontId="4" fillId="5" borderId="31" xfId="0" applyNumberFormat="1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horizontal="center" vertical="top"/>
    </xf>
    <xf numFmtId="0" fontId="2" fillId="5" borderId="30" xfId="0" applyFont="1" applyFill="1" applyBorder="1" applyAlignment="1">
      <alignment vertical="top" wrapText="1"/>
    </xf>
    <xf numFmtId="3" fontId="2" fillId="8" borderId="9" xfId="0" applyNumberFormat="1" applyFont="1" applyFill="1" applyBorder="1" applyAlignment="1">
      <alignment horizontal="center" vertical="top" wrapText="1"/>
    </xf>
    <xf numFmtId="3" fontId="4" fillId="2" borderId="54" xfId="0" applyNumberFormat="1" applyFont="1" applyFill="1" applyBorder="1" applyAlignment="1">
      <alignment horizontal="center" vertical="top"/>
    </xf>
    <xf numFmtId="3" fontId="4" fillId="0" borderId="70" xfId="0" applyNumberFormat="1" applyFont="1" applyBorder="1" applyAlignment="1">
      <alignment vertical="top"/>
    </xf>
    <xf numFmtId="3" fontId="2" fillId="0" borderId="71" xfId="0" applyNumberFormat="1" applyFont="1" applyFill="1" applyBorder="1" applyAlignment="1">
      <alignment horizontal="center" vertical="top"/>
    </xf>
    <xf numFmtId="3" fontId="2" fillId="0" borderId="55" xfId="0" applyNumberFormat="1" applyFont="1" applyFill="1" applyBorder="1" applyAlignment="1">
      <alignment horizontal="center" vertical="top"/>
    </xf>
    <xf numFmtId="165" fontId="4" fillId="5" borderId="30" xfId="1" applyNumberFormat="1" applyFont="1" applyFill="1" applyBorder="1" applyAlignment="1">
      <alignment horizontal="left" vertical="top" wrapText="1"/>
    </xf>
    <xf numFmtId="0" fontId="4" fillId="8" borderId="9" xfId="0" applyNumberFormat="1" applyFont="1" applyFill="1" applyBorder="1" applyAlignment="1">
      <alignment horizontal="center" vertical="top"/>
    </xf>
    <xf numFmtId="3" fontId="1" fillId="0" borderId="53" xfId="0" applyNumberFormat="1" applyFont="1" applyBorder="1" applyAlignment="1">
      <alignment vertical="top"/>
    </xf>
    <xf numFmtId="165" fontId="2" fillId="5" borderId="54" xfId="0" applyNumberFormat="1" applyFont="1" applyFill="1" applyBorder="1" applyAlignment="1">
      <alignment horizontal="center" vertical="top" wrapText="1"/>
    </xf>
    <xf numFmtId="165" fontId="2" fillId="0" borderId="53" xfId="0" applyNumberFormat="1" applyFont="1" applyBorder="1" applyAlignment="1">
      <alignment horizontal="center" vertical="top"/>
    </xf>
    <xf numFmtId="3" fontId="16" fillId="0" borderId="0" xfId="0" applyNumberFormat="1" applyFont="1" applyAlignment="1">
      <alignment vertical="top"/>
    </xf>
    <xf numFmtId="3" fontId="4" fillId="8" borderId="21" xfId="0" applyNumberFormat="1" applyFont="1" applyFill="1" applyBorder="1" applyAlignment="1">
      <alignment horizontal="center" vertical="top"/>
    </xf>
    <xf numFmtId="3" fontId="4" fillId="8" borderId="62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49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4" fillId="0" borderId="9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left" vertical="top" wrapText="1"/>
    </xf>
    <xf numFmtId="3" fontId="4" fillId="8" borderId="44" xfId="0" applyNumberFormat="1" applyFont="1" applyFill="1" applyBorder="1" applyAlignment="1">
      <alignment horizontal="left" vertical="top" wrapText="1"/>
    </xf>
    <xf numFmtId="3" fontId="4" fillId="8" borderId="49" xfId="0" applyNumberFormat="1" applyFont="1" applyFill="1" applyBorder="1" applyAlignment="1">
      <alignment horizontal="left" vertical="top" wrapText="1"/>
    </xf>
    <xf numFmtId="3" fontId="4" fillId="0" borderId="40" xfId="0" applyNumberFormat="1" applyFont="1" applyFill="1" applyBorder="1" applyAlignment="1">
      <alignment horizontal="left" vertical="top" wrapText="1"/>
    </xf>
    <xf numFmtId="3" fontId="5" fillId="0" borderId="38" xfId="0" applyNumberFormat="1" applyFont="1" applyBorder="1" applyAlignment="1">
      <alignment horizontal="center" vertical="top"/>
    </xf>
    <xf numFmtId="3" fontId="5" fillId="0" borderId="30" xfId="0" applyNumberFormat="1" applyFont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left" vertical="top" wrapText="1"/>
    </xf>
    <xf numFmtId="3" fontId="4" fillId="8" borderId="40" xfId="0" applyNumberFormat="1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3" fontId="5" fillId="5" borderId="0" xfId="0" applyNumberFormat="1" applyFont="1" applyFill="1" applyBorder="1" applyAlignment="1">
      <alignment horizontal="center" vertical="top" wrapText="1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 textRotation="90" wrapText="1"/>
    </xf>
    <xf numFmtId="3" fontId="4" fillId="0" borderId="23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left" vertical="top" wrapText="1"/>
    </xf>
    <xf numFmtId="3" fontId="4" fillId="0" borderId="63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5" fillId="0" borderId="30" xfId="0" applyNumberFormat="1" applyFont="1" applyBorder="1" applyAlignment="1">
      <alignment horizontal="center" vertical="top"/>
    </xf>
    <xf numFmtId="3" fontId="2" fillId="0" borderId="53" xfId="0" applyNumberFormat="1" applyFont="1" applyFill="1" applyBorder="1" applyAlignment="1">
      <alignment horizontal="left" vertical="top" wrapText="1"/>
    </xf>
    <xf numFmtId="3" fontId="4" fillId="5" borderId="40" xfId="0" applyNumberFormat="1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4" fillId="0" borderId="38" xfId="0" applyNumberFormat="1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/>
    </xf>
    <xf numFmtId="3" fontId="4" fillId="8" borderId="49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2" fillId="0" borderId="44" xfId="0" applyNumberFormat="1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57" xfId="0" applyNumberFormat="1" applyFont="1" applyBorder="1" applyAlignment="1">
      <alignment vertical="top" wrapText="1"/>
    </xf>
    <xf numFmtId="3" fontId="4" fillId="8" borderId="9" xfId="0" applyNumberFormat="1" applyFont="1" applyFill="1" applyBorder="1" applyAlignment="1">
      <alignment vertical="top" textRotation="90" wrapText="1"/>
    </xf>
    <xf numFmtId="3" fontId="4" fillId="8" borderId="58" xfId="0" applyNumberFormat="1" applyFont="1" applyFill="1" applyBorder="1" applyAlignment="1">
      <alignment vertical="top" wrapText="1"/>
    </xf>
    <xf numFmtId="3" fontId="5" fillId="8" borderId="30" xfId="0" applyNumberFormat="1" applyFont="1" applyFill="1" applyBorder="1" applyAlignment="1">
      <alignment vertical="top" wrapText="1"/>
    </xf>
    <xf numFmtId="3" fontId="5" fillId="2" borderId="54" xfId="0" applyNumberFormat="1" applyFont="1" applyFill="1" applyBorder="1" applyAlignment="1">
      <alignment vertical="top"/>
    </xf>
    <xf numFmtId="3" fontId="5" fillId="3" borderId="49" xfId="0" applyNumberFormat="1" applyFont="1" applyFill="1" applyBorder="1" applyAlignment="1">
      <alignment vertical="top"/>
    </xf>
    <xf numFmtId="3" fontId="5" fillId="0" borderId="70" xfId="0" applyNumberFormat="1" applyFont="1" applyBorder="1" applyAlignment="1">
      <alignment vertical="top"/>
    </xf>
    <xf numFmtId="49" fontId="4" fillId="5" borderId="70" xfId="0" applyNumberFormat="1" applyFont="1" applyFill="1" applyBorder="1" applyAlignment="1">
      <alignment vertical="top"/>
    </xf>
    <xf numFmtId="3" fontId="4" fillId="5" borderId="49" xfId="0" applyNumberFormat="1" applyFont="1" applyFill="1" applyBorder="1" applyAlignment="1">
      <alignment horizontal="left" vertical="top" wrapText="1"/>
    </xf>
    <xf numFmtId="3" fontId="4" fillId="8" borderId="53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left" vertical="top" wrapText="1"/>
    </xf>
    <xf numFmtId="3" fontId="4" fillId="8" borderId="64" xfId="0" applyNumberFormat="1" applyFont="1" applyFill="1" applyBorder="1" applyAlignment="1">
      <alignment horizontal="center" vertical="top" wrapText="1"/>
    </xf>
    <xf numFmtId="3" fontId="5" fillId="2" borderId="62" xfId="0" applyNumberFormat="1" applyFont="1" applyFill="1" applyBorder="1" applyAlignment="1">
      <alignment vertical="top"/>
    </xf>
    <xf numFmtId="3" fontId="2" fillId="8" borderId="62" xfId="0" applyNumberFormat="1" applyFont="1" applyFill="1" applyBorder="1" applyAlignment="1">
      <alignment horizontal="center" vertical="top"/>
    </xf>
    <xf numFmtId="3" fontId="2" fillId="8" borderId="49" xfId="0" applyNumberFormat="1" applyFont="1" applyFill="1" applyBorder="1" applyAlignment="1">
      <alignment horizontal="center" vertical="top"/>
    </xf>
    <xf numFmtId="3" fontId="2" fillId="8" borderId="63" xfId="0" applyNumberFormat="1" applyFont="1" applyFill="1" applyBorder="1" applyAlignment="1">
      <alignment horizontal="center" vertical="top"/>
    </xf>
    <xf numFmtId="3" fontId="2" fillId="8" borderId="53" xfId="0" applyNumberFormat="1" applyFont="1" applyFill="1" applyBorder="1" applyAlignment="1">
      <alignment horizontal="center" vertical="top" wrapText="1"/>
    </xf>
    <xf numFmtId="3" fontId="2" fillId="5" borderId="55" xfId="0" applyNumberFormat="1" applyFont="1" applyFill="1" applyBorder="1" applyAlignment="1">
      <alignment horizontal="center" vertical="top"/>
    </xf>
    <xf numFmtId="3" fontId="5" fillId="2" borderId="62" xfId="0" applyNumberFormat="1" applyFont="1" applyFill="1" applyBorder="1" applyAlignment="1">
      <alignment horizontal="center" vertical="top"/>
    </xf>
    <xf numFmtId="3" fontId="5" fillId="3" borderId="75" xfId="0" applyNumberFormat="1" applyFont="1" applyFill="1" applyBorder="1" applyAlignment="1">
      <alignment horizontal="center" vertical="top"/>
    </xf>
    <xf numFmtId="3" fontId="2" fillId="0" borderId="55" xfId="0" applyNumberFormat="1" applyFont="1" applyBorder="1" applyAlignment="1">
      <alignment horizontal="center" vertical="top"/>
    </xf>
    <xf numFmtId="3" fontId="4" fillId="8" borderId="55" xfId="0" applyNumberFormat="1" applyFont="1" applyFill="1" applyBorder="1" applyAlignment="1">
      <alignment horizontal="left" vertical="top" wrapText="1"/>
    </xf>
    <xf numFmtId="3" fontId="2" fillId="5" borderId="49" xfId="0" applyNumberFormat="1" applyFont="1" applyFill="1" applyBorder="1" applyAlignment="1">
      <alignment horizontal="left" vertical="top" wrapText="1"/>
    </xf>
    <xf numFmtId="3" fontId="17" fillId="0" borderId="0" xfId="0" applyNumberFormat="1" applyFont="1" applyBorder="1" applyAlignment="1">
      <alignment vertical="top"/>
    </xf>
    <xf numFmtId="165" fontId="4" fillId="5" borderId="54" xfId="1" applyNumberFormat="1" applyFont="1" applyFill="1" applyBorder="1" applyAlignment="1">
      <alignment horizontal="left" vertical="top" wrapText="1"/>
    </xf>
    <xf numFmtId="0" fontId="4" fillId="8" borderId="62" xfId="0" applyNumberFormat="1" applyFont="1" applyFill="1" applyBorder="1" applyAlignment="1">
      <alignment horizontal="center" vertical="top"/>
    </xf>
    <xf numFmtId="0" fontId="4" fillId="8" borderId="70" xfId="0" applyNumberFormat="1" applyFont="1" applyFill="1" applyBorder="1" applyAlignment="1">
      <alignment horizontal="center" vertical="top"/>
    </xf>
    <xf numFmtId="0" fontId="4" fillId="8" borderId="63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vertical="top" wrapText="1"/>
    </xf>
    <xf numFmtId="3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center" vertical="top" textRotation="90" wrapText="1"/>
    </xf>
    <xf numFmtId="0" fontId="14" fillId="0" borderId="3" xfId="0" applyFont="1" applyFill="1" applyBorder="1" applyAlignment="1">
      <alignment horizontal="center" vertical="top" textRotation="90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7" borderId="47" xfId="0" applyNumberFormat="1" applyFont="1" applyFill="1" applyBorder="1" applyAlignment="1">
      <alignment horizontal="left" vertical="top" wrapText="1"/>
    </xf>
    <xf numFmtId="49" fontId="5" fillId="7" borderId="33" xfId="0" applyNumberFormat="1" applyFont="1" applyFill="1" applyBorder="1" applyAlignment="1">
      <alignment horizontal="left" vertical="top" wrapText="1"/>
    </xf>
    <xf numFmtId="49" fontId="5" fillId="7" borderId="46" xfId="0" applyNumberFormat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0" fontId="5" fillId="9" borderId="52" xfId="0" applyFont="1" applyFill="1" applyBorder="1" applyAlignment="1">
      <alignment horizontal="right" vertical="top"/>
    </xf>
    <xf numFmtId="0" fontId="5" fillId="9" borderId="1" xfId="0" applyFont="1" applyFill="1" applyBorder="1" applyAlignment="1">
      <alignment horizontal="right" vertical="top"/>
    </xf>
    <xf numFmtId="0" fontId="5" fillId="9" borderId="51" xfId="0" applyFont="1" applyFill="1" applyBorder="1" applyAlignment="1">
      <alignment horizontal="right" vertical="top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4" fillId="8" borderId="9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Border="1" applyAlignment="1">
      <alignment horizontal="center" vertical="center" textRotation="90" wrapText="1"/>
    </xf>
    <xf numFmtId="3" fontId="4" fillId="0" borderId="72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/>
    </xf>
    <xf numFmtId="0" fontId="5" fillId="4" borderId="26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5" fillId="9" borderId="67" xfId="0" applyFont="1" applyFill="1" applyBorder="1" applyAlignment="1">
      <alignment horizontal="right" vertical="top"/>
    </xf>
    <xf numFmtId="0" fontId="5" fillId="9" borderId="4" xfId="0" applyFont="1" applyFill="1" applyBorder="1" applyAlignment="1">
      <alignment horizontal="right" vertical="top"/>
    </xf>
    <xf numFmtId="0" fontId="5" fillId="9" borderId="34" xfId="0" applyFont="1" applyFill="1" applyBorder="1" applyAlignment="1">
      <alignment horizontal="right" vertical="top"/>
    </xf>
    <xf numFmtId="49" fontId="5" fillId="3" borderId="10" xfId="0" applyNumberFormat="1" applyFont="1" applyFill="1" applyBorder="1" applyAlignment="1">
      <alignment horizontal="right" vertical="top"/>
    </xf>
    <xf numFmtId="0" fontId="2" fillId="8" borderId="9" xfId="0" applyFont="1" applyFill="1" applyBorder="1" applyAlignment="1">
      <alignment horizontal="left" vertical="top" wrapText="1"/>
    </xf>
    <xf numFmtId="0" fontId="2" fillId="8" borderId="49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center" vertical="top" textRotation="90" wrapText="1"/>
    </xf>
    <xf numFmtId="0" fontId="5" fillId="0" borderId="58" xfId="0" applyFont="1" applyFill="1" applyBorder="1" applyAlignment="1">
      <alignment horizontal="center" vertical="top" textRotation="90" wrapText="1"/>
    </xf>
    <xf numFmtId="0" fontId="5" fillId="0" borderId="63" xfId="0" applyFont="1" applyFill="1" applyBorder="1" applyAlignment="1">
      <alignment horizontal="center" vertical="top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4" fillId="9" borderId="66" xfId="0" applyFont="1" applyFill="1" applyBorder="1" applyAlignment="1">
      <alignment horizontal="right" vertical="top" wrapText="1"/>
    </xf>
    <xf numFmtId="0" fontId="14" fillId="9" borderId="4" xfId="0" applyFont="1" applyFill="1" applyBorder="1" applyAlignment="1">
      <alignment horizontal="right" vertical="top" wrapText="1"/>
    </xf>
    <xf numFmtId="0" fontId="14" fillId="9" borderId="34" xfId="0" applyFont="1" applyFill="1" applyBorder="1" applyAlignment="1">
      <alignment horizontal="right" vertical="top" wrapText="1"/>
    </xf>
    <xf numFmtId="0" fontId="4" fillId="8" borderId="60" xfId="0" applyFont="1" applyFill="1" applyBorder="1" applyAlignment="1">
      <alignment horizontal="left" vertical="top" wrapText="1"/>
    </xf>
    <xf numFmtId="0" fontId="4" fillId="8" borderId="22" xfId="0" applyFont="1" applyFill="1" applyBorder="1" applyAlignment="1">
      <alignment horizontal="left" vertical="top" wrapText="1"/>
    </xf>
    <xf numFmtId="0" fontId="4" fillId="8" borderId="20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/>
    </xf>
    <xf numFmtId="0" fontId="4" fillId="8" borderId="49" xfId="0" applyFont="1" applyFill="1" applyBorder="1" applyAlignment="1">
      <alignment horizontal="left" vertical="top" wrapText="1"/>
    </xf>
    <xf numFmtId="0" fontId="4" fillId="8" borderId="16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8" borderId="30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center" vertical="top" textRotation="90" wrapText="1"/>
    </xf>
    <xf numFmtId="0" fontId="5" fillId="5" borderId="58" xfId="0" applyFont="1" applyFill="1" applyBorder="1" applyAlignment="1">
      <alignment horizontal="center" vertical="top" textRotation="90" wrapText="1"/>
    </xf>
    <xf numFmtId="0" fontId="4" fillId="8" borderId="13" xfId="0" applyFont="1" applyFill="1" applyBorder="1" applyAlignment="1">
      <alignment horizontal="left" vertical="top" wrapText="1"/>
    </xf>
    <xf numFmtId="0" fontId="4" fillId="0" borderId="74" xfId="0" applyNumberFormat="1" applyFont="1" applyBorder="1" applyAlignment="1">
      <alignment horizontal="right" vertical="top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57" xfId="0" applyNumberFormat="1" applyFont="1" applyBorder="1" applyAlignment="1">
      <alignment horizontal="center" vertical="top" wrapText="1"/>
    </xf>
    <xf numFmtId="164" fontId="4" fillId="0" borderId="29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Alignment="1">
      <alignment horizontal="center" vertical="top"/>
    </xf>
    <xf numFmtId="3" fontId="18" fillId="0" borderId="0" xfId="0" applyNumberFormat="1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/>
    </xf>
    <xf numFmtId="3" fontId="4" fillId="0" borderId="74" xfId="0" applyNumberFormat="1" applyFont="1" applyBorder="1" applyAlignment="1">
      <alignment horizontal="center" vertical="top"/>
    </xf>
    <xf numFmtId="3" fontId="2" fillId="0" borderId="56" xfId="0" applyNumberFormat="1" applyFont="1" applyBorder="1" applyAlignment="1">
      <alignment horizontal="center" vertical="center" textRotation="90" wrapText="1"/>
    </xf>
    <xf numFmtId="3" fontId="2" fillId="0" borderId="61" xfId="0" applyNumberFormat="1" applyFont="1" applyBorder="1" applyAlignment="1">
      <alignment horizontal="center" vertical="center" textRotation="90" wrapText="1"/>
    </xf>
    <xf numFmtId="3" fontId="2" fillId="0" borderId="52" xfId="0" applyNumberFormat="1" applyFont="1" applyBorder="1" applyAlignment="1">
      <alignment horizontal="center" vertical="center" textRotation="90" wrapText="1"/>
    </xf>
    <xf numFmtId="3" fontId="2" fillId="0" borderId="48" xfId="0" applyNumberFormat="1" applyFont="1" applyBorder="1" applyAlignment="1">
      <alignment horizontal="center" vertical="center" textRotation="90" wrapText="1"/>
    </xf>
    <xf numFmtId="3" fontId="2" fillId="0" borderId="24" xfId="0" applyNumberFormat="1" applyFont="1" applyBorder="1" applyAlignment="1">
      <alignment horizontal="center" vertical="center" textRotation="90" wrapText="1"/>
    </xf>
    <xf numFmtId="3" fontId="2" fillId="0" borderId="1" xfId="0" applyNumberFormat="1" applyFont="1" applyBorder="1" applyAlignment="1">
      <alignment horizontal="center" vertical="center" textRotation="90" wrapText="1"/>
    </xf>
    <xf numFmtId="3" fontId="2" fillId="0" borderId="13" xfId="0" applyNumberFormat="1" applyFont="1" applyBorder="1" applyAlignment="1">
      <alignment horizontal="center" vertical="center" textRotation="90" wrapText="1"/>
    </xf>
    <xf numFmtId="3" fontId="2" fillId="0" borderId="9" xfId="0" applyNumberFormat="1" applyFont="1" applyBorder="1" applyAlignment="1">
      <alignment horizontal="center" vertical="center" textRotation="90" wrapText="1"/>
    </xf>
    <xf numFmtId="3" fontId="2" fillId="0" borderId="3" xfId="0" applyNumberFormat="1" applyFont="1" applyBorder="1" applyAlignment="1">
      <alignment horizontal="center" vertical="center" textRotation="90" wrapText="1"/>
    </xf>
    <xf numFmtId="3" fontId="2" fillId="0" borderId="28" xfId="0" applyNumberFormat="1" applyFont="1" applyBorder="1" applyAlignment="1">
      <alignment horizontal="center" vertical="center" textRotation="90" wrapText="1"/>
    </xf>
    <xf numFmtId="3" fontId="2" fillId="0" borderId="22" xfId="0" applyNumberFormat="1" applyFont="1" applyBorder="1" applyAlignment="1">
      <alignment horizontal="center" vertical="center" textRotation="90" wrapText="1"/>
    </xf>
    <xf numFmtId="3" fontId="2" fillId="0" borderId="20" xfId="0" applyNumberFormat="1" applyFont="1" applyBorder="1" applyAlignment="1">
      <alignment horizontal="center" vertical="center" textRotation="90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7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5" fillId="7" borderId="47" xfId="0" applyNumberFormat="1" applyFont="1" applyFill="1" applyBorder="1" applyAlignment="1">
      <alignment horizontal="left" vertical="top" wrapText="1"/>
    </xf>
    <xf numFmtId="3" fontId="5" fillId="7" borderId="33" xfId="0" applyNumberFormat="1" applyFont="1" applyFill="1" applyBorder="1" applyAlignment="1">
      <alignment horizontal="left" vertical="top" wrapText="1"/>
    </xf>
    <xf numFmtId="3" fontId="5" fillId="7" borderId="46" xfId="0" applyNumberFormat="1" applyFont="1" applyFill="1" applyBorder="1" applyAlignment="1">
      <alignment horizontal="left" vertical="top" wrapText="1"/>
    </xf>
    <xf numFmtId="3" fontId="5" fillId="4" borderId="68" xfId="0" applyNumberFormat="1" applyFont="1" applyFill="1" applyBorder="1" applyAlignment="1">
      <alignment horizontal="left" vertical="top" wrapText="1"/>
    </xf>
    <xf numFmtId="3" fontId="5" fillId="4" borderId="64" xfId="0" applyNumberFormat="1" applyFont="1" applyFill="1" applyBorder="1" applyAlignment="1">
      <alignment horizontal="left" vertical="top" wrapText="1"/>
    </xf>
    <xf numFmtId="3" fontId="5" fillId="4" borderId="35" xfId="0" applyNumberFormat="1" applyFont="1" applyFill="1" applyBorder="1" applyAlignment="1">
      <alignment horizontal="left" vertical="top" wrapText="1"/>
    </xf>
    <xf numFmtId="3" fontId="5" fillId="2" borderId="7" xfId="0" applyNumberFormat="1" applyFont="1" applyFill="1" applyBorder="1" applyAlignment="1">
      <alignment horizontal="left" vertical="top"/>
    </xf>
    <xf numFmtId="3" fontId="5" fillId="2" borderId="79" xfId="0" applyNumberFormat="1" applyFont="1" applyFill="1" applyBorder="1" applyAlignment="1">
      <alignment horizontal="left" vertical="top"/>
    </xf>
    <xf numFmtId="3" fontId="5" fillId="3" borderId="3" xfId="0" applyNumberFormat="1" applyFont="1" applyFill="1" applyBorder="1" applyAlignment="1">
      <alignment horizontal="left" vertical="top" wrapText="1"/>
    </xf>
    <xf numFmtId="3" fontId="5" fillId="3" borderId="20" xfId="0" applyNumberFormat="1" applyFont="1" applyFill="1" applyBorder="1" applyAlignment="1">
      <alignment horizontal="left" vertical="top" wrapText="1"/>
    </xf>
    <xf numFmtId="3" fontId="5" fillId="3" borderId="73" xfId="0" applyNumberFormat="1" applyFont="1" applyFill="1" applyBorder="1" applyAlignment="1">
      <alignment horizontal="left" vertical="top" wrapText="1"/>
    </xf>
    <xf numFmtId="165" fontId="4" fillId="0" borderId="38" xfId="0" applyNumberFormat="1" applyFont="1" applyBorder="1" applyAlignment="1">
      <alignment horizontal="center" vertical="center" textRotation="90" wrapText="1"/>
    </xf>
    <xf numFmtId="165" fontId="4" fillId="0" borderId="30" xfId="0" applyNumberFormat="1" applyFont="1" applyBorder="1" applyAlignment="1">
      <alignment horizontal="center" vertical="center" textRotation="90" wrapText="1"/>
    </xf>
    <xf numFmtId="165" fontId="4" fillId="0" borderId="72" xfId="0" applyNumberFormat="1" applyFont="1" applyBorder="1" applyAlignment="1">
      <alignment horizontal="center" vertical="center" textRotation="90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79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textRotation="90" wrapText="1"/>
    </xf>
    <xf numFmtId="3" fontId="2" fillId="0" borderId="30" xfId="0" applyNumberFormat="1" applyFont="1" applyBorder="1" applyAlignment="1">
      <alignment horizontal="center" vertical="center" textRotation="90" wrapText="1"/>
    </xf>
    <xf numFmtId="3" fontId="2" fillId="0" borderId="72" xfId="0" applyNumberFormat="1" applyFont="1" applyBorder="1" applyAlignment="1">
      <alignment horizontal="center" vertical="center" textRotation="90" wrapText="1"/>
    </xf>
    <xf numFmtId="3" fontId="4" fillId="0" borderId="9" xfId="0" applyNumberFormat="1" applyFont="1" applyFill="1" applyBorder="1" applyAlignment="1">
      <alignment horizontal="left" vertical="top" wrapText="1"/>
    </xf>
    <xf numFmtId="3" fontId="4" fillId="0" borderId="44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left" vertical="top" wrapText="1"/>
    </xf>
    <xf numFmtId="3" fontId="4" fillId="8" borderId="44" xfId="0" applyNumberFormat="1" applyFont="1" applyFill="1" applyBorder="1" applyAlignment="1">
      <alignment horizontal="left" vertical="top" wrapText="1"/>
    </xf>
    <xf numFmtId="3" fontId="4" fillId="8" borderId="49" xfId="0" applyNumberFormat="1" applyFont="1" applyFill="1" applyBorder="1" applyAlignment="1">
      <alignment horizontal="left" vertical="top" wrapText="1"/>
    </xf>
    <xf numFmtId="3" fontId="4" fillId="8" borderId="3" xfId="0" applyNumberFormat="1" applyFont="1" applyFill="1" applyBorder="1" applyAlignment="1">
      <alignment horizontal="left" vertical="top" wrapText="1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72" xfId="0" applyNumberFormat="1" applyFont="1" applyFill="1" applyBorder="1" applyAlignment="1">
      <alignment horizontal="left" vertical="top" wrapText="1"/>
    </xf>
    <xf numFmtId="3" fontId="4" fillId="8" borderId="13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top" textRotation="90" wrapText="1"/>
    </xf>
    <xf numFmtId="3" fontId="4" fillId="0" borderId="3" xfId="0" applyNumberFormat="1" applyFont="1" applyFill="1" applyBorder="1" applyAlignment="1">
      <alignment horizontal="center" vertical="top" textRotation="90" wrapText="1"/>
    </xf>
    <xf numFmtId="3" fontId="5" fillId="0" borderId="38" xfId="0" applyNumberFormat="1" applyFont="1" applyBorder="1" applyAlignment="1">
      <alignment horizontal="center" vertical="top"/>
    </xf>
    <xf numFmtId="3" fontId="5" fillId="0" borderId="72" xfId="0" applyNumberFormat="1" applyFont="1" applyBorder="1" applyAlignment="1">
      <alignment horizontal="center" vertical="top"/>
    </xf>
    <xf numFmtId="3" fontId="5" fillId="3" borderId="20" xfId="0" applyNumberFormat="1" applyFont="1" applyFill="1" applyBorder="1" applyAlignment="1">
      <alignment horizontal="right" vertical="top"/>
    </xf>
    <xf numFmtId="3" fontId="5" fillId="3" borderId="74" xfId="0" applyNumberFormat="1" applyFont="1" applyFill="1" applyBorder="1" applyAlignment="1">
      <alignment horizontal="right" vertical="top"/>
    </xf>
    <xf numFmtId="3" fontId="5" fillId="3" borderId="7" xfId="0" applyNumberFormat="1" applyFont="1" applyFill="1" applyBorder="1" applyAlignment="1">
      <alignment horizontal="right" vertical="top"/>
    </xf>
    <xf numFmtId="3" fontId="5" fillId="3" borderId="79" xfId="0" applyNumberFormat="1" applyFont="1" applyFill="1" applyBorder="1" applyAlignment="1">
      <alignment horizontal="right" vertical="top"/>
    </xf>
    <xf numFmtId="3" fontId="5" fillId="3" borderId="8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 wrapText="1"/>
    </xf>
    <xf numFmtId="3" fontId="5" fillId="3" borderId="79" xfId="0" applyNumberFormat="1" applyFont="1" applyFill="1" applyBorder="1" applyAlignment="1">
      <alignment horizontal="center" vertical="top" wrapText="1"/>
    </xf>
    <xf numFmtId="3" fontId="5" fillId="3" borderId="28" xfId="0" applyNumberFormat="1" applyFont="1" applyFill="1" applyBorder="1" applyAlignment="1">
      <alignment horizontal="left" vertical="top" wrapText="1"/>
    </xf>
    <xf numFmtId="3" fontId="5" fillId="3" borderId="23" xfId="0" applyNumberFormat="1" applyFont="1" applyFill="1" applyBorder="1" applyAlignment="1">
      <alignment horizontal="left" vertical="top" wrapText="1"/>
    </xf>
    <xf numFmtId="3" fontId="5" fillId="3" borderId="7" xfId="0" applyNumberFormat="1" applyFont="1" applyFill="1" applyBorder="1" applyAlignment="1">
      <alignment horizontal="left" vertical="top" wrapText="1"/>
    </xf>
    <xf numFmtId="3" fontId="5" fillId="3" borderId="79" xfId="0" applyNumberFormat="1" applyFont="1" applyFill="1" applyBorder="1" applyAlignment="1">
      <alignment horizontal="left" vertical="top" wrapText="1"/>
    </xf>
    <xf numFmtId="3" fontId="11" fillId="0" borderId="13" xfId="0" applyNumberFormat="1" applyFont="1" applyFill="1" applyBorder="1" applyAlignment="1">
      <alignment horizontal="left" vertical="top" wrapText="1"/>
    </xf>
    <xf numFmtId="3" fontId="11" fillId="0" borderId="49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left" vertical="top" wrapText="1"/>
    </xf>
    <xf numFmtId="3" fontId="4" fillId="0" borderId="9" xfId="0" applyNumberFormat="1" applyFont="1" applyFill="1" applyBorder="1" applyAlignment="1">
      <alignment horizontal="center" vertical="top" textRotation="90" wrapText="1"/>
    </xf>
    <xf numFmtId="3" fontId="5" fillId="0" borderId="30" xfId="0" applyNumberFormat="1" applyFont="1" applyBorder="1" applyAlignment="1">
      <alignment horizontal="center" vertical="top"/>
    </xf>
    <xf numFmtId="3" fontId="4" fillId="0" borderId="38" xfId="0" applyNumberFormat="1" applyFont="1" applyBorder="1" applyAlignment="1">
      <alignment horizontal="left" vertical="top" wrapText="1"/>
    </xf>
    <xf numFmtId="3" fontId="4" fillId="0" borderId="53" xfId="0" applyNumberFormat="1" applyFont="1" applyBorder="1" applyAlignment="1">
      <alignment horizontal="left" vertical="top" wrapText="1"/>
    </xf>
    <xf numFmtId="3" fontId="4" fillId="8" borderId="9" xfId="0" applyNumberFormat="1" applyFont="1" applyFill="1" applyBorder="1" applyAlignment="1">
      <alignment horizontal="left" vertical="top" wrapText="1"/>
    </xf>
    <xf numFmtId="3" fontId="2" fillId="0" borderId="30" xfId="0" applyNumberFormat="1" applyFont="1" applyFill="1" applyBorder="1" applyAlignment="1">
      <alignment horizontal="left" vertical="top" wrapText="1"/>
    </xf>
    <xf numFmtId="3" fontId="2" fillId="0" borderId="53" xfId="0" applyNumberFormat="1" applyFont="1" applyFill="1" applyBorder="1" applyAlignment="1">
      <alignment horizontal="left" vertical="top" wrapText="1"/>
    </xf>
    <xf numFmtId="3" fontId="4" fillId="5" borderId="44" xfId="0" applyNumberFormat="1" applyFont="1" applyFill="1" applyBorder="1" applyAlignment="1">
      <alignment horizontal="left" vertical="top" wrapText="1"/>
    </xf>
    <xf numFmtId="3" fontId="4" fillId="5" borderId="9" xfId="0" applyNumberFormat="1" applyFont="1" applyFill="1" applyBorder="1" applyAlignment="1">
      <alignment horizontal="left" vertical="top" wrapText="1"/>
    </xf>
    <xf numFmtId="3" fontId="4" fillId="8" borderId="12" xfId="0" applyNumberFormat="1" applyFont="1" applyFill="1" applyBorder="1" applyAlignment="1">
      <alignment horizontal="left" vertical="top" wrapText="1"/>
    </xf>
    <xf numFmtId="3" fontId="4" fillId="5" borderId="40" xfId="0" applyNumberFormat="1" applyFont="1" applyFill="1" applyBorder="1" applyAlignment="1">
      <alignment horizontal="left" vertical="top" wrapText="1"/>
    </xf>
    <xf numFmtId="3" fontId="4" fillId="5" borderId="30" xfId="0" applyNumberFormat="1" applyFont="1" applyFill="1" applyBorder="1" applyAlignment="1">
      <alignment horizontal="left" vertical="top" wrapText="1"/>
    </xf>
    <xf numFmtId="3" fontId="4" fillId="8" borderId="40" xfId="0" applyNumberFormat="1" applyFont="1" applyFill="1" applyBorder="1" applyAlignment="1">
      <alignment horizontal="left" vertical="top" wrapText="1"/>
    </xf>
    <xf numFmtId="3" fontId="4" fillId="8" borderId="30" xfId="0" applyNumberFormat="1" applyFont="1" applyFill="1" applyBorder="1" applyAlignment="1">
      <alignment horizontal="left" vertical="top" wrapText="1"/>
    </xf>
    <xf numFmtId="3" fontId="4" fillId="8" borderId="53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center" vertical="top" textRotation="90" wrapText="1"/>
    </xf>
    <xf numFmtId="3" fontId="4" fillId="6" borderId="67" xfId="0" applyNumberFormat="1" applyFont="1" applyFill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 wrapText="1"/>
    </xf>
    <xf numFmtId="3" fontId="4" fillId="6" borderId="34" xfId="0" applyNumberFormat="1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 vertical="top" wrapText="1"/>
    </xf>
    <xf numFmtId="3" fontId="5" fillId="6" borderId="4" xfId="0" applyNumberFormat="1" applyFont="1" applyFill="1" applyBorder="1" applyAlignment="1">
      <alignment horizontal="center" vertical="top" wrapText="1"/>
    </xf>
    <xf numFmtId="3" fontId="5" fillId="6" borderId="34" xfId="0" applyNumberFormat="1" applyFont="1" applyFill="1" applyBorder="1" applyAlignment="1">
      <alignment horizontal="center" vertical="top" wrapText="1"/>
    </xf>
    <xf numFmtId="3" fontId="2" fillId="0" borderId="44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3" fontId="2" fillId="8" borderId="9" xfId="0" applyNumberFormat="1" applyFont="1" applyFill="1" applyBorder="1" applyAlignment="1">
      <alignment horizontal="left" vertical="top" wrapText="1"/>
    </xf>
    <xf numFmtId="3" fontId="2" fillId="8" borderId="3" xfId="0" applyNumberFormat="1" applyFont="1" applyFill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3" fontId="1" fillId="0" borderId="72" xfId="0" applyNumberFormat="1" applyFont="1" applyBorder="1" applyAlignment="1">
      <alignment horizontal="center" vertical="top" wrapText="1"/>
    </xf>
    <xf numFmtId="3" fontId="2" fillId="0" borderId="44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3" fontId="2" fillId="0" borderId="44" xfId="0" applyNumberFormat="1" applyFont="1" applyFill="1" applyBorder="1" applyAlignment="1">
      <alignment horizontal="center" vertical="top" textRotation="90" wrapText="1"/>
    </xf>
    <xf numFmtId="3" fontId="2" fillId="0" borderId="3" xfId="0" applyNumberFormat="1" applyFont="1" applyFill="1" applyBorder="1" applyAlignment="1">
      <alignment horizontal="center" vertical="top" textRotation="90" wrapText="1"/>
    </xf>
    <xf numFmtId="3" fontId="5" fillId="3" borderId="10" xfId="0" applyNumberFormat="1" applyFont="1" applyFill="1" applyBorder="1" applyAlignment="1">
      <alignment horizontal="right" vertical="top"/>
    </xf>
    <xf numFmtId="3" fontId="5" fillId="3" borderId="10" xfId="0" applyNumberFormat="1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center" vertical="top" textRotation="90" wrapText="1"/>
    </xf>
    <xf numFmtId="3" fontId="2" fillId="0" borderId="49" xfId="0" applyNumberFormat="1" applyFont="1" applyFill="1" applyBorder="1" applyAlignment="1">
      <alignment horizontal="center" vertical="top" textRotation="90" wrapText="1"/>
    </xf>
    <xf numFmtId="3" fontId="2" fillId="8" borderId="44" xfId="0" applyNumberFormat="1" applyFont="1" applyFill="1" applyBorder="1" applyAlignment="1">
      <alignment horizontal="left" vertical="top" wrapText="1"/>
    </xf>
    <xf numFmtId="3" fontId="2" fillId="8" borderId="49" xfId="0" applyNumberFormat="1" applyFont="1" applyFill="1" applyBorder="1" applyAlignment="1">
      <alignment horizontal="left" vertical="top" wrapText="1"/>
    </xf>
    <xf numFmtId="3" fontId="5" fillId="4" borderId="10" xfId="0" applyNumberFormat="1" applyFont="1" applyFill="1" applyBorder="1" applyAlignment="1">
      <alignment horizontal="right" vertical="top"/>
    </xf>
    <xf numFmtId="3" fontId="5" fillId="4" borderId="7" xfId="0" applyNumberFormat="1" applyFont="1" applyFill="1" applyBorder="1" applyAlignment="1">
      <alignment horizontal="right" vertical="top"/>
    </xf>
    <xf numFmtId="3" fontId="5" fillId="4" borderId="79" xfId="0" applyNumberFormat="1" applyFont="1" applyFill="1" applyBorder="1" applyAlignment="1">
      <alignment horizontal="right" vertical="top"/>
    </xf>
    <xf numFmtId="3" fontId="5" fillId="4" borderId="8" xfId="0" applyNumberFormat="1" applyFont="1" applyFill="1" applyBorder="1" applyAlignment="1">
      <alignment horizontal="center" vertical="top" wrapText="1"/>
    </xf>
    <xf numFmtId="3" fontId="5" fillId="4" borderId="7" xfId="0" applyNumberFormat="1" applyFont="1" applyFill="1" applyBorder="1" applyAlignment="1">
      <alignment horizontal="center" vertical="top" wrapText="1"/>
    </xf>
    <xf numFmtId="3" fontId="5" fillId="4" borderId="79" xfId="0" applyNumberFormat="1" applyFont="1" applyFill="1" applyBorder="1" applyAlignment="1">
      <alignment horizontal="center" vertical="top" wrapText="1"/>
    </xf>
    <xf numFmtId="3" fontId="5" fillId="0" borderId="74" xfId="0" applyNumberFormat="1" applyFont="1" applyFill="1" applyBorder="1" applyAlignment="1">
      <alignment horizontal="center" wrapText="1"/>
    </xf>
    <xf numFmtId="3" fontId="4" fillId="5" borderId="30" xfId="1" applyNumberFormat="1" applyFont="1" applyFill="1" applyBorder="1" applyAlignment="1">
      <alignment horizontal="left" vertical="top" wrapText="1"/>
    </xf>
    <xf numFmtId="3" fontId="4" fillId="5" borderId="72" xfId="1" applyNumberFormat="1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left" vertical="top" wrapText="1"/>
    </xf>
    <xf numFmtId="3" fontId="2" fillId="0" borderId="49" xfId="0" applyNumberFormat="1" applyFont="1" applyFill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horizontal="right" vertical="top"/>
    </xf>
    <xf numFmtId="3" fontId="5" fillId="2" borderId="7" xfId="0" applyNumberFormat="1" applyFont="1" applyFill="1" applyBorder="1" applyAlignment="1">
      <alignment horizontal="right" vertical="top"/>
    </xf>
    <xf numFmtId="3" fontId="5" fillId="2" borderId="79" xfId="0" applyNumberFormat="1" applyFont="1" applyFill="1" applyBorder="1" applyAlignment="1">
      <alignment horizontal="right" vertical="top"/>
    </xf>
    <xf numFmtId="3" fontId="5" fillId="2" borderId="8" xfId="0" applyNumberFormat="1" applyFont="1" applyFill="1" applyBorder="1" applyAlignment="1">
      <alignment horizontal="center" vertical="top" wrapText="1"/>
    </xf>
    <xf numFmtId="3" fontId="5" fillId="2" borderId="7" xfId="0" applyNumberFormat="1" applyFont="1" applyFill="1" applyBorder="1" applyAlignment="1">
      <alignment horizontal="center" vertical="top" wrapText="1"/>
    </xf>
    <xf numFmtId="3" fontId="5" fillId="2" borderId="79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left" vertical="top"/>
    </xf>
    <xf numFmtId="3" fontId="4" fillId="0" borderId="26" xfId="0" applyNumberFormat="1" applyFont="1" applyBorder="1" applyAlignment="1">
      <alignment horizontal="left" vertical="top"/>
    </xf>
    <xf numFmtId="3" fontId="4" fillId="0" borderId="32" xfId="0" applyNumberFormat="1" applyFont="1" applyBorder="1" applyAlignment="1">
      <alignment horizontal="left" vertical="top"/>
    </xf>
    <xf numFmtId="3" fontId="5" fillId="9" borderId="67" xfId="0" applyNumberFormat="1" applyFont="1" applyFill="1" applyBorder="1" applyAlignment="1">
      <alignment horizontal="right" vertical="top"/>
    </xf>
    <xf numFmtId="3" fontId="5" fillId="9" borderId="4" xfId="0" applyNumberFormat="1" applyFont="1" applyFill="1" applyBorder="1" applyAlignment="1">
      <alignment horizontal="right" vertical="top"/>
    </xf>
    <xf numFmtId="3" fontId="5" fillId="9" borderId="34" xfId="0" applyNumberFormat="1" applyFont="1" applyFill="1" applyBorder="1" applyAlignment="1">
      <alignment horizontal="right" vertical="top"/>
    </xf>
    <xf numFmtId="3" fontId="5" fillId="5" borderId="0" xfId="0" applyNumberFormat="1" applyFont="1" applyFill="1" applyBorder="1" applyAlignment="1">
      <alignment horizontal="center" vertical="top" wrapText="1"/>
    </xf>
    <xf numFmtId="3" fontId="5" fillId="4" borderId="29" xfId="0" applyNumberFormat="1" applyFont="1" applyFill="1" applyBorder="1" applyAlignment="1">
      <alignment horizontal="left" vertical="top"/>
    </xf>
    <xf numFmtId="3" fontId="5" fillId="4" borderId="26" xfId="0" applyNumberFormat="1" applyFont="1" applyFill="1" applyBorder="1" applyAlignment="1">
      <alignment horizontal="left" vertical="top"/>
    </xf>
    <xf numFmtId="3" fontId="5" fillId="4" borderId="32" xfId="0" applyNumberFormat="1" applyFont="1" applyFill="1" applyBorder="1" applyAlignment="1">
      <alignment horizontal="left" vertical="top"/>
    </xf>
    <xf numFmtId="3" fontId="4" fillId="0" borderId="29" xfId="0" applyNumberFormat="1" applyFont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left" vertical="top" wrapText="1"/>
    </xf>
    <xf numFmtId="3" fontId="4" fillId="0" borderId="32" xfId="0" applyNumberFormat="1" applyFont="1" applyBorder="1" applyAlignment="1">
      <alignment horizontal="left" vertical="top" wrapText="1"/>
    </xf>
    <xf numFmtId="3" fontId="5" fillId="0" borderId="47" xfId="0" applyNumberFormat="1" applyFont="1" applyBorder="1" applyAlignment="1">
      <alignment horizontal="center" vertical="top"/>
    </xf>
    <xf numFmtId="3" fontId="5" fillId="0" borderId="33" xfId="0" applyNumberFormat="1" applyFont="1" applyBorder="1" applyAlignment="1">
      <alignment horizontal="center" vertical="top"/>
    </xf>
    <xf numFmtId="3" fontId="5" fillId="0" borderId="46" xfId="0" applyNumberFormat="1" applyFont="1" applyBorder="1" applyAlignment="1">
      <alignment horizontal="center" vertical="top"/>
    </xf>
    <xf numFmtId="3" fontId="4" fillId="5" borderId="72" xfId="0" applyNumberFormat="1" applyFont="1" applyFill="1" applyBorder="1" applyAlignment="1">
      <alignment horizontal="left" vertical="top" wrapText="1"/>
    </xf>
    <xf numFmtId="3" fontId="4" fillId="8" borderId="58" xfId="0" applyNumberFormat="1" applyFont="1" applyFill="1" applyBorder="1" applyAlignment="1">
      <alignment horizontal="center" vertical="top" wrapText="1"/>
    </xf>
    <xf numFmtId="3" fontId="4" fillId="8" borderId="63" xfId="0" applyNumberFormat="1" applyFont="1" applyFill="1" applyBorder="1" applyAlignment="1">
      <alignment horizontal="center" vertical="top" wrapText="1"/>
    </xf>
    <xf numFmtId="3" fontId="4" fillId="5" borderId="45" xfId="0" applyNumberFormat="1" applyFont="1" applyFill="1" applyBorder="1" applyAlignment="1">
      <alignment horizontal="center" vertical="top" wrapText="1"/>
    </xf>
    <xf numFmtId="3" fontId="4" fillId="5" borderId="58" xfId="0" applyNumberFormat="1" applyFont="1" applyFill="1" applyBorder="1" applyAlignment="1">
      <alignment horizontal="center" vertical="top" wrapText="1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left" vertical="top" wrapText="1"/>
    </xf>
    <xf numFmtId="3" fontId="11" fillId="0" borderId="9" xfId="0" applyNumberFormat="1" applyFont="1" applyFill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left" vertical="top" wrapText="1" shrinkToFit="1"/>
    </xf>
    <xf numFmtId="3" fontId="4" fillId="5" borderId="30" xfId="0" applyNumberFormat="1" applyFont="1" applyFill="1" applyBorder="1" applyAlignment="1">
      <alignment horizontal="left" vertical="top" wrapText="1" shrinkToFit="1"/>
    </xf>
    <xf numFmtId="0" fontId="2" fillId="5" borderId="53" xfId="0" applyFont="1" applyFill="1" applyBorder="1" applyAlignment="1">
      <alignment horizontal="left" vertical="top" wrapText="1"/>
    </xf>
    <xf numFmtId="3" fontId="4" fillId="0" borderId="44" xfId="0" applyNumberFormat="1" applyFont="1" applyFill="1" applyBorder="1" applyAlignment="1">
      <alignment horizontal="center" vertical="top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3" fontId="1" fillId="0" borderId="56" xfId="0" applyNumberFormat="1" applyFont="1" applyBorder="1" applyAlignment="1">
      <alignment horizontal="center" vertical="top" wrapText="1"/>
    </xf>
    <xf numFmtId="3" fontId="1" fillId="0" borderId="48" xfId="0" applyNumberFormat="1" applyFont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 wrapText="1"/>
    </xf>
    <xf numFmtId="3" fontId="2" fillId="0" borderId="43" xfId="0" applyNumberFormat="1" applyFont="1" applyBorder="1" applyAlignment="1">
      <alignment horizontal="center" vertical="center" textRotation="90" wrapText="1"/>
    </xf>
    <xf numFmtId="3" fontId="2" fillId="0" borderId="17" xfId="0" applyNumberFormat="1" applyFont="1" applyBorder="1" applyAlignment="1">
      <alignment horizontal="center" vertical="center" textRotation="90" wrapText="1"/>
    </xf>
    <xf numFmtId="3" fontId="2" fillId="0" borderId="24" xfId="0" applyNumberFormat="1" applyFont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 textRotation="90" wrapText="1"/>
    </xf>
    <xf numFmtId="3" fontId="2" fillId="0" borderId="73" xfId="0" applyNumberFormat="1" applyFont="1" applyFill="1" applyBorder="1" applyAlignment="1">
      <alignment horizontal="center" vertical="center" textRotation="90" wrapText="1"/>
    </xf>
    <xf numFmtId="3" fontId="2" fillId="0" borderId="40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72" xfId="0" applyNumberFormat="1" applyFont="1" applyBorder="1" applyAlignment="1">
      <alignment horizontal="center" vertical="top" wrapText="1"/>
    </xf>
    <xf numFmtId="3" fontId="2" fillId="0" borderId="43" xfId="0" applyNumberFormat="1" applyFont="1" applyBorder="1" applyAlignment="1">
      <alignment horizontal="center" vertical="top" textRotation="90" wrapText="1"/>
    </xf>
    <xf numFmtId="3" fontId="2" fillId="0" borderId="17" xfId="0" applyNumberFormat="1" applyFont="1" applyBorder="1" applyAlignment="1">
      <alignment horizontal="center" vertical="top" textRotation="90" wrapText="1"/>
    </xf>
    <xf numFmtId="3" fontId="2" fillId="0" borderId="24" xfId="0" applyNumberFormat="1" applyFont="1" applyBorder="1" applyAlignment="1">
      <alignment horizontal="center" vertical="top"/>
    </xf>
    <xf numFmtId="3" fontId="2" fillId="0" borderId="45" xfId="0" applyNumberFormat="1" applyFont="1" applyFill="1" applyBorder="1" applyAlignment="1">
      <alignment horizontal="center" vertical="top" textRotation="90" wrapText="1"/>
    </xf>
    <xf numFmtId="3" fontId="2" fillId="0" borderId="73" xfId="0" applyNumberFormat="1" applyFont="1" applyFill="1" applyBorder="1" applyAlignment="1">
      <alignment horizontal="center" vertical="top" textRotation="90" wrapText="1"/>
    </xf>
    <xf numFmtId="3" fontId="2" fillId="0" borderId="59" xfId="0" applyNumberFormat="1" applyFont="1" applyBorder="1" applyAlignment="1">
      <alignment horizontal="center" vertical="center" textRotation="90" wrapText="1"/>
    </xf>
    <xf numFmtId="3" fontId="2" fillId="0" borderId="25" xfId="0" applyNumberFormat="1" applyFont="1" applyBorder="1" applyAlignment="1">
      <alignment horizontal="center" vertical="center" textRotation="90" wrapText="1"/>
    </xf>
    <xf numFmtId="3" fontId="2" fillId="0" borderId="51" xfId="0" applyNumberFormat="1" applyFont="1" applyBorder="1" applyAlignment="1">
      <alignment horizontal="center" vertical="center" textRotation="90" wrapText="1"/>
    </xf>
    <xf numFmtId="3" fontId="5" fillId="9" borderId="67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5" fillId="9" borderId="34" xfId="0" applyNumberFormat="1" applyFont="1" applyFill="1" applyBorder="1" applyAlignment="1">
      <alignment horizontal="center" vertical="top"/>
    </xf>
    <xf numFmtId="3" fontId="4" fillId="0" borderId="61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/>
    </xf>
    <xf numFmtId="3" fontId="16" fillId="0" borderId="0" xfId="0" applyNumberFormat="1" applyFont="1" applyAlignment="1">
      <alignment horizontal="center" vertical="top"/>
    </xf>
    <xf numFmtId="3" fontId="5" fillId="4" borderId="61" xfId="0" applyNumberFormat="1" applyFont="1" applyFill="1" applyBorder="1" applyAlignment="1">
      <alignment horizontal="center" vertical="top"/>
    </xf>
    <xf numFmtId="3" fontId="5" fillId="4" borderId="24" xfId="0" applyNumberFormat="1" applyFont="1" applyFill="1" applyBorder="1" applyAlignment="1">
      <alignment horizontal="center" vertical="top"/>
    </xf>
    <xf numFmtId="3" fontId="5" fillId="4" borderId="25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54" xfId="0" applyNumberFormat="1" applyFont="1" applyFill="1" applyBorder="1" applyAlignment="1">
      <alignment horizontal="left" vertical="top" wrapText="1"/>
    </xf>
    <xf numFmtId="3" fontId="2" fillId="0" borderId="57" xfId="0" applyNumberFormat="1" applyFont="1" applyBorder="1" applyAlignment="1">
      <alignment horizontal="center" vertical="top" wrapText="1"/>
    </xf>
    <xf numFmtId="3" fontId="2" fillId="0" borderId="58" xfId="0" applyNumberFormat="1" applyFont="1" applyBorder="1" applyAlignment="1">
      <alignment horizontal="center" vertical="top" wrapText="1"/>
    </xf>
    <xf numFmtId="3" fontId="2" fillId="0" borderId="73" xfId="0" applyNumberFormat="1" applyFont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center" vertical="top" wrapText="1"/>
    </xf>
    <xf numFmtId="3" fontId="2" fillId="0" borderId="72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/>
    </xf>
    <xf numFmtId="3" fontId="4" fillId="0" borderId="68" xfId="0" applyNumberFormat="1" applyFont="1" applyFill="1" applyBorder="1" applyAlignment="1">
      <alignment horizontal="left" vertical="top" wrapText="1"/>
    </xf>
    <xf numFmtId="3" fontId="4" fillId="5" borderId="40" xfId="1" applyNumberFormat="1" applyFont="1" applyFill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5" fillId="0" borderId="74" xfId="0" applyNumberFormat="1" applyFont="1" applyFill="1" applyBorder="1" applyAlignment="1">
      <alignment horizontal="center" vertical="top" wrapText="1"/>
    </xf>
    <xf numFmtId="3" fontId="5" fillId="4" borderId="61" xfId="0" applyNumberFormat="1" applyFont="1" applyFill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5" fillId="4" borderId="25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57" xfId="0" applyNumberFormat="1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vertical="top" wrapText="1"/>
    </xf>
    <xf numFmtId="3" fontId="10" fillId="0" borderId="0" xfId="0" applyNumberFormat="1" applyFont="1" applyAlignment="1">
      <alignment horizontal="right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4" fillId="8" borderId="16" xfId="0" applyNumberFormat="1" applyFont="1" applyFill="1" applyBorder="1" applyAlignment="1">
      <alignment horizontal="center" vertical="top"/>
    </xf>
    <xf numFmtId="3" fontId="4" fillId="8" borderId="62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/>
    </xf>
    <xf numFmtId="3" fontId="4" fillId="8" borderId="49" xfId="0" applyNumberFormat="1" applyFont="1" applyFill="1" applyBorder="1" applyAlignment="1">
      <alignment horizontal="center" vertical="top"/>
    </xf>
    <xf numFmtId="3" fontId="4" fillId="0" borderId="58" xfId="0" applyNumberFormat="1" applyFont="1" applyFill="1" applyBorder="1" applyAlignment="1">
      <alignment horizontal="center" vertical="top"/>
    </xf>
    <xf numFmtId="3" fontId="4" fillId="8" borderId="72" xfId="0" applyNumberFormat="1" applyFont="1" applyFill="1" applyBorder="1" applyAlignment="1">
      <alignment horizontal="left" vertical="top" wrapText="1"/>
    </xf>
    <xf numFmtId="3" fontId="4" fillId="6" borderId="4" xfId="0" applyNumberFormat="1" applyFont="1" applyFill="1" applyBorder="1" applyAlignment="1">
      <alignment horizontal="center" vertical="top"/>
    </xf>
    <xf numFmtId="3" fontId="4" fillId="6" borderId="34" xfId="0" applyNumberFormat="1" applyFont="1" applyFill="1" applyBorder="1" applyAlignment="1">
      <alignment horizontal="center" vertical="top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4"/>
  <sheetViews>
    <sheetView zoomScaleNormal="100" zoomScaleSheetLayoutView="100" zoomScalePageLayoutView="51" workbookViewId="0">
      <selection sqref="A1:Z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2084" t="s">
        <v>164</v>
      </c>
      <c r="B1" s="2084"/>
      <c r="C1" s="2084"/>
      <c r="D1" s="2084"/>
      <c r="E1" s="2084"/>
      <c r="F1" s="2084"/>
      <c r="G1" s="2084"/>
      <c r="H1" s="2084"/>
      <c r="I1" s="2084"/>
      <c r="J1" s="2084"/>
      <c r="K1" s="2084"/>
      <c r="L1" s="2084"/>
      <c r="M1" s="2084"/>
      <c r="N1" s="2084"/>
      <c r="O1" s="2084"/>
      <c r="P1" s="2084"/>
      <c r="Q1" s="2084"/>
      <c r="R1" s="2084"/>
      <c r="S1" s="2084"/>
      <c r="T1" s="2084"/>
      <c r="U1" s="2084"/>
      <c r="V1" s="2084"/>
      <c r="W1" s="2084"/>
      <c r="X1" s="2084"/>
      <c r="Y1" s="2084"/>
      <c r="Z1" s="2084"/>
    </row>
    <row r="2" spans="1:30" s="11" customFormat="1" ht="21" customHeight="1" x14ac:dyDescent="0.2">
      <c r="A2" s="2096" t="s">
        <v>68</v>
      </c>
      <c r="B2" s="2097"/>
      <c r="C2" s="2097"/>
      <c r="D2" s="2097"/>
      <c r="E2" s="2097"/>
      <c r="F2" s="2097"/>
      <c r="G2" s="2097"/>
      <c r="H2" s="2097"/>
      <c r="I2" s="2097"/>
      <c r="J2" s="2097"/>
      <c r="K2" s="2097"/>
      <c r="L2" s="2097"/>
      <c r="M2" s="2097"/>
      <c r="N2" s="2097"/>
      <c r="O2" s="2097"/>
      <c r="P2" s="2097"/>
      <c r="Q2" s="2097"/>
      <c r="R2" s="2097"/>
      <c r="S2" s="2097"/>
      <c r="T2" s="2097"/>
      <c r="U2" s="2097"/>
      <c r="V2" s="2097"/>
      <c r="W2" s="2097"/>
      <c r="X2" s="2097"/>
      <c r="Y2" s="2097"/>
      <c r="Z2" s="2097"/>
    </row>
    <row r="3" spans="1:30" s="11" customFormat="1" ht="15" customHeight="1" x14ac:dyDescent="0.2">
      <c r="A3" s="2084" t="s">
        <v>166</v>
      </c>
      <c r="B3" s="2104"/>
      <c r="C3" s="2104"/>
      <c r="D3" s="2104"/>
      <c r="E3" s="2104"/>
      <c r="F3" s="2104"/>
      <c r="G3" s="2104"/>
      <c r="H3" s="2104"/>
      <c r="I3" s="2104"/>
      <c r="J3" s="2104"/>
      <c r="K3" s="2104"/>
      <c r="L3" s="2104"/>
      <c r="M3" s="2104"/>
      <c r="N3" s="2104"/>
      <c r="O3" s="2104"/>
      <c r="P3" s="2104"/>
      <c r="Q3" s="2104"/>
      <c r="R3" s="2104"/>
      <c r="S3" s="2104"/>
      <c r="T3" s="2104"/>
      <c r="U3" s="2104"/>
      <c r="V3" s="2104"/>
      <c r="W3" s="2104"/>
      <c r="X3" s="2104"/>
      <c r="Y3" s="2104"/>
      <c r="Z3" s="2104"/>
    </row>
    <row r="4" spans="1:30" s="11" customFormat="1" ht="14.25" customHeight="1" thickBot="1" x14ac:dyDescent="0.25">
      <c r="A4" s="8"/>
      <c r="B4" s="8"/>
      <c r="C4" s="8"/>
      <c r="D4" s="8"/>
      <c r="E4" s="371"/>
      <c r="F4" s="371"/>
      <c r="G4" s="42"/>
      <c r="H4" s="40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2088" t="s">
        <v>0</v>
      </c>
      <c r="Z4" s="2088"/>
    </row>
    <row r="5" spans="1:30" s="11" customFormat="1" ht="21.75" customHeight="1" thickBot="1" x14ac:dyDescent="0.25">
      <c r="A5" s="2098" t="s">
        <v>1</v>
      </c>
      <c r="B5" s="2101" t="s">
        <v>2</v>
      </c>
      <c r="C5" s="2101" t="s">
        <v>3</v>
      </c>
      <c r="D5" s="2218" t="s">
        <v>25</v>
      </c>
      <c r="E5" s="2105" t="s">
        <v>4</v>
      </c>
      <c r="F5" s="2221" t="s">
        <v>165</v>
      </c>
      <c r="G5" s="2108" t="s">
        <v>5</v>
      </c>
      <c r="H5" s="2261" t="s">
        <v>6</v>
      </c>
      <c r="I5" s="2215" t="s">
        <v>71</v>
      </c>
      <c r="J5" s="2216"/>
      <c r="K5" s="2216"/>
      <c r="L5" s="2217"/>
      <c r="M5" s="2215" t="s">
        <v>72</v>
      </c>
      <c r="N5" s="2216"/>
      <c r="O5" s="2216"/>
      <c r="P5" s="2217"/>
      <c r="Q5" s="2215" t="s">
        <v>73</v>
      </c>
      <c r="R5" s="2216"/>
      <c r="S5" s="2216"/>
      <c r="T5" s="2217"/>
      <c r="U5" s="2118" t="s">
        <v>50</v>
      </c>
      <c r="V5" s="2118" t="s">
        <v>74</v>
      </c>
      <c r="W5" s="2226" t="s">
        <v>167</v>
      </c>
      <c r="X5" s="2227"/>
      <c r="Y5" s="2227"/>
      <c r="Z5" s="2228"/>
    </row>
    <row r="6" spans="1:30" s="11" customFormat="1" ht="15" customHeight="1" x14ac:dyDescent="0.2">
      <c r="A6" s="2099"/>
      <c r="B6" s="2102"/>
      <c r="C6" s="2102"/>
      <c r="D6" s="2219"/>
      <c r="E6" s="2106"/>
      <c r="F6" s="2222"/>
      <c r="G6" s="2109"/>
      <c r="H6" s="2262"/>
      <c r="I6" s="2111" t="s">
        <v>7</v>
      </c>
      <c r="J6" s="2094" t="s">
        <v>8</v>
      </c>
      <c r="K6" s="2094"/>
      <c r="L6" s="2224" t="s">
        <v>26</v>
      </c>
      <c r="M6" s="2111" t="s">
        <v>7</v>
      </c>
      <c r="N6" s="2094" t="s">
        <v>8</v>
      </c>
      <c r="O6" s="2094"/>
      <c r="P6" s="2224" t="s">
        <v>26</v>
      </c>
      <c r="Q6" s="2111" t="s">
        <v>7</v>
      </c>
      <c r="R6" s="2094" t="s">
        <v>8</v>
      </c>
      <c r="S6" s="2094"/>
      <c r="T6" s="2224" t="s">
        <v>26</v>
      </c>
      <c r="U6" s="2119"/>
      <c r="V6" s="2119"/>
      <c r="W6" s="2121" t="s">
        <v>25</v>
      </c>
      <c r="X6" s="2234" t="s">
        <v>53</v>
      </c>
      <c r="Y6" s="2235"/>
      <c r="Z6" s="2236"/>
    </row>
    <row r="7" spans="1:30" s="11" customFormat="1" ht="117.75" customHeight="1" thickBot="1" x14ac:dyDescent="0.25">
      <c r="A7" s="2100"/>
      <c r="B7" s="2103"/>
      <c r="C7" s="2103"/>
      <c r="D7" s="2220"/>
      <c r="E7" s="2107"/>
      <c r="F7" s="2223"/>
      <c r="G7" s="2110"/>
      <c r="H7" s="2263"/>
      <c r="I7" s="2112"/>
      <c r="J7" s="374" t="s">
        <v>7</v>
      </c>
      <c r="K7" s="12" t="s">
        <v>27</v>
      </c>
      <c r="L7" s="2225"/>
      <c r="M7" s="2112"/>
      <c r="N7" s="374" t="s">
        <v>7</v>
      </c>
      <c r="O7" s="12" t="s">
        <v>27</v>
      </c>
      <c r="P7" s="2225"/>
      <c r="Q7" s="2112"/>
      <c r="R7" s="374" t="s">
        <v>7</v>
      </c>
      <c r="S7" s="12" t="s">
        <v>27</v>
      </c>
      <c r="T7" s="2225"/>
      <c r="U7" s="2120"/>
      <c r="V7" s="2120"/>
      <c r="W7" s="2122"/>
      <c r="X7" s="83" t="s">
        <v>51</v>
      </c>
      <c r="Y7" s="81" t="s">
        <v>52</v>
      </c>
      <c r="Z7" s="82" t="s">
        <v>75</v>
      </c>
    </row>
    <row r="8" spans="1:30" ht="14.25" customHeight="1" x14ac:dyDescent="0.2">
      <c r="A8" s="2115" t="s">
        <v>30</v>
      </c>
      <c r="B8" s="2116"/>
      <c r="C8" s="2116"/>
      <c r="D8" s="2116"/>
      <c r="E8" s="2116"/>
      <c r="F8" s="2116"/>
      <c r="G8" s="2116"/>
      <c r="H8" s="2116"/>
      <c r="I8" s="2116"/>
      <c r="J8" s="2116"/>
      <c r="K8" s="2116"/>
      <c r="L8" s="2116"/>
      <c r="M8" s="2116"/>
      <c r="N8" s="2116"/>
      <c r="O8" s="2116"/>
      <c r="P8" s="2116"/>
      <c r="Q8" s="2116"/>
      <c r="R8" s="2116"/>
      <c r="S8" s="2116"/>
      <c r="T8" s="2116"/>
      <c r="U8" s="2116"/>
      <c r="V8" s="2116"/>
      <c r="W8" s="2116"/>
      <c r="X8" s="2116"/>
      <c r="Y8" s="2116"/>
      <c r="Z8" s="2117"/>
    </row>
    <row r="9" spans="1:30" ht="14.25" customHeight="1" thickBot="1" x14ac:dyDescent="0.25">
      <c r="A9" s="2091" t="s">
        <v>34</v>
      </c>
      <c r="B9" s="2092"/>
      <c r="C9" s="2092"/>
      <c r="D9" s="2092"/>
      <c r="E9" s="2092"/>
      <c r="F9" s="2092"/>
      <c r="G9" s="2092"/>
      <c r="H9" s="2092"/>
      <c r="I9" s="2092"/>
      <c r="J9" s="2092"/>
      <c r="K9" s="2092"/>
      <c r="L9" s="2092"/>
      <c r="M9" s="2092"/>
      <c r="N9" s="2092"/>
      <c r="O9" s="2092"/>
      <c r="P9" s="2092"/>
      <c r="Q9" s="2092"/>
      <c r="R9" s="2092"/>
      <c r="S9" s="2092"/>
      <c r="T9" s="2092"/>
      <c r="U9" s="2092"/>
      <c r="V9" s="2092"/>
      <c r="W9" s="2092"/>
      <c r="X9" s="2092"/>
      <c r="Y9" s="2092"/>
      <c r="Z9" s="2093"/>
    </row>
    <row r="10" spans="1:30" ht="14.25" customHeight="1" thickBot="1" x14ac:dyDescent="0.25">
      <c r="A10" s="13" t="s">
        <v>9</v>
      </c>
      <c r="B10" s="2237" t="s">
        <v>120</v>
      </c>
      <c r="C10" s="2237"/>
      <c r="D10" s="2237"/>
      <c r="E10" s="2237"/>
      <c r="F10" s="2237"/>
      <c r="G10" s="2237"/>
      <c r="H10" s="2237"/>
      <c r="I10" s="2237"/>
      <c r="J10" s="2237"/>
      <c r="K10" s="2237"/>
      <c r="L10" s="2237"/>
      <c r="M10" s="2237"/>
      <c r="N10" s="2237"/>
      <c r="O10" s="2237"/>
      <c r="P10" s="2237"/>
      <c r="Q10" s="2237"/>
      <c r="R10" s="2237"/>
      <c r="S10" s="2237"/>
      <c r="T10" s="2237"/>
      <c r="U10" s="2237"/>
      <c r="V10" s="2237"/>
      <c r="W10" s="2237"/>
      <c r="X10" s="2237"/>
      <c r="Y10" s="2237"/>
      <c r="Z10" s="2238"/>
    </row>
    <row r="11" spans="1:30" ht="14.25" customHeight="1" thickBot="1" x14ac:dyDescent="0.25">
      <c r="A11" s="13" t="s">
        <v>9</v>
      </c>
      <c r="B11" s="14" t="s">
        <v>9</v>
      </c>
      <c r="C11" s="2231" t="s">
        <v>39</v>
      </c>
      <c r="D11" s="2231"/>
      <c r="E11" s="2231"/>
      <c r="F11" s="2231"/>
      <c r="G11" s="2231"/>
      <c r="H11" s="2231"/>
      <c r="I11" s="2231"/>
      <c r="J11" s="2231"/>
      <c r="K11" s="2231"/>
      <c r="L11" s="2231"/>
      <c r="M11" s="2231"/>
      <c r="N11" s="2231"/>
      <c r="O11" s="2231"/>
      <c r="P11" s="2231"/>
      <c r="Q11" s="2231"/>
      <c r="R11" s="2231"/>
      <c r="S11" s="2231"/>
      <c r="T11" s="2231"/>
      <c r="U11" s="2231"/>
      <c r="V11" s="2231"/>
      <c r="W11" s="2231"/>
      <c r="X11" s="2232"/>
      <c r="Y11" s="2232"/>
      <c r="Z11" s="2233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152" t="s">
        <v>145</v>
      </c>
      <c r="E12" s="155"/>
      <c r="F12" s="368" t="s">
        <v>14</v>
      </c>
      <c r="G12" s="369" t="s">
        <v>35</v>
      </c>
      <c r="H12" s="104" t="s">
        <v>12</v>
      </c>
      <c r="I12" s="47"/>
      <c r="J12" s="512"/>
      <c r="K12" s="132"/>
      <c r="L12" s="139"/>
      <c r="M12" s="89"/>
      <c r="N12" s="132"/>
      <c r="O12" s="132"/>
      <c r="P12" s="90"/>
      <c r="Q12" s="301">
        <f>R12+T12</f>
        <v>454</v>
      </c>
      <c r="R12" s="302">
        <f>199+10+245</f>
        <v>454</v>
      </c>
      <c r="S12" s="302"/>
      <c r="T12" s="303"/>
      <c r="U12" s="62">
        <f>200+20+70+250</f>
        <v>540</v>
      </c>
      <c r="V12" s="57">
        <f>200+20+90+260+50</f>
        <v>620</v>
      </c>
      <c r="W12" s="173" t="s">
        <v>149</v>
      </c>
      <c r="X12" s="402">
        <f>4+38</f>
        <v>42</v>
      </c>
      <c r="Y12" s="403">
        <f>4+15+38+5</f>
        <v>62</v>
      </c>
      <c r="Z12" s="405">
        <f>4+17+40+5</f>
        <v>66</v>
      </c>
    </row>
    <row r="13" spans="1:30" ht="27" customHeight="1" x14ac:dyDescent="0.2">
      <c r="A13" s="25"/>
      <c r="B13" s="28"/>
      <c r="C13" s="19"/>
      <c r="D13" s="384" t="s">
        <v>150</v>
      </c>
      <c r="E13" s="156"/>
      <c r="F13" s="124"/>
      <c r="G13" s="279"/>
      <c r="H13" s="171"/>
      <c r="I13" s="133"/>
      <c r="J13" s="134"/>
      <c r="K13" s="35"/>
      <c r="L13" s="492"/>
      <c r="M13" s="435"/>
      <c r="N13" s="186"/>
      <c r="O13" s="186"/>
      <c r="P13" s="437"/>
      <c r="Q13" s="324"/>
      <c r="R13" s="300"/>
      <c r="S13" s="300"/>
      <c r="T13" s="325"/>
      <c r="U13" s="493"/>
      <c r="V13" s="494"/>
      <c r="W13" s="84" t="s">
        <v>44</v>
      </c>
      <c r="X13" s="198">
        <v>2</v>
      </c>
      <c r="Y13" s="121">
        <v>2</v>
      </c>
      <c r="Z13" s="199">
        <v>2</v>
      </c>
    </row>
    <row r="14" spans="1:30" ht="15" customHeight="1" x14ac:dyDescent="0.2">
      <c r="A14" s="25"/>
      <c r="B14" s="28"/>
      <c r="C14" s="19"/>
      <c r="D14" s="122" t="s">
        <v>146</v>
      </c>
      <c r="E14" s="156"/>
      <c r="F14" s="124"/>
      <c r="G14" s="279"/>
      <c r="H14" s="171"/>
      <c r="I14" s="133"/>
      <c r="J14" s="134"/>
      <c r="K14" s="134"/>
      <c r="L14" s="147"/>
      <c r="M14" s="435"/>
      <c r="N14" s="134"/>
      <c r="O14" s="134"/>
      <c r="P14" s="192"/>
      <c r="Q14" s="324"/>
      <c r="R14" s="300"/>
      <c r="S14" s="300"/>
      <c r="T14" s="325"/>
      <c r="U14" s="151"/>
      <c r="V14" s="146"/>
      <c r="W14" s="84"/>
      <c r="X14" s="198"/>
      <c r="Y14" s="121"/>
      <c r="Z14" s="199"/>
      <c r="AB14" s="112"/>
      <c r="AD14" s="112"/>
    </row>
    <row r="15" spans="1:30" ht="39" customHeight="1" x14ac:dyDescent="0.2">
      <c r="A15" s="25"/>
      <c r="B15" s="28"/>
      <c r="C15" s="19"/>
      <c r="D15" s="404" t="s">
        <v>147</v>
      </c>
      <c r="E15" s="513" t="s">
        <v>85</v>
      </c>
      <c r="F15" s="124"/>
      <c r="G15" s="279"/>
      <c r="H15" s="171"/>
      <c r="I15" s="186"/>
      <c r="J15" s="186"/>
      <c r="K15" s="186"/>
      <c r="L15" s="218"/>
      <c r="M15" s="435"/>
      <c r="N15" s="186"/>
      <c r="O15" s="186"/>
      <c r="P15" s="437"/>
      <c r="Q15" s="324"/>
      <c r="R15" s="300"/>
      <c r="S15" s="300"/>
      <c r="T15" s="325"/>
      <c r="U15" s="65"/>
      <c r="V15" s="145"/>
      <c r="W15" s="84"/>
      <c r="X15" s="264"/>
      <c r="Y15" s="220"/>
      <c r="Z15" s="221"/>
      <c r="AB15" s="112"/>
    </row>
    <row r="16" spans="1:30" ht="24.75" customHeight="1" x14ac:dyDescent="0.2">
      <c r="A16" s="25"/>
      <c r="B16" s="28"/>
      <c r="C16" s="19"/>
      <c r="D16" s="562" t="s">
        <v>168</v>
      </c>
      <c r="E16" s="513"/>
      <c r="F16" s="124"/>
      <c r="G16" s="279"/>
      <c r="H16" s="171"/>
      <c r="I16" s="440"/>
      <c r="J16" s="186"/>
      <c r="K16" s="186"/>
      <c r="L16" s="218"/>
      <c r="M16" s="435"/>
      <c r="N16" s="186"/>
      <c r="O16" s="186"/>
      <c r="P16" s="437"/>
      <c r="Q16" s="324"/>
      <c r="R16" s="300"/>
      <c r="S16" s="300"/>
      <c r="T16" s="325"/>
      <c r="U16" s="65"/>
      <c r="V16" s="145"/>
      <c r="W16" s="84"/>
      <c r="X16" s="264"/>
      <c r="Y16" s="528"/>
      <c r="Z16" s="529"/>
      <c r="AB16" s="112"/>
    </row>
    <row r="17" spans="1:32" ht="27" customHeight="1" x14ac:dyDescent="0.2">
      <c r="A17" s="25"/>
      <c r="B17" s="28"/>
      <c r="C17" s="19"/>
      <c r="D17" s="385" t="s">
        <v>148</v>
      </c>
      <c r="E17" s="156"/>
      <c r="F17" s="124"/>
      <c r="G17" s="279"/>
      <c r="H17" s="171"/>
      <c r="I17" s="278"/>
      <c r="J17" s="134"/>
      <c r="K17" s="134"/>
      <c r="L17" s="147"/>
      <c r="M17" s="514"/>
      <c r="N17" s="515"/>
      <c r="O17" s="134"/>
      <c r="P17" s="192"/>
      <c r="Q17" s="324"/>
      <c r="R17" s="300"/>
      <c r="S17" s="300"/>
      <c r="T17" s="325"/>
      <c r="U17" s="151"/>
      <c r="V17" s="146"/>
      <c r="W17" s="84"/>
      <c r="X17" s="198"/>
      <c r="Y17" s="121"/>
      <c r="Z17" s="199"/>
      <c r="AB17" s="112"/>
    </row>
    <row r="18" spans="1:32" ht="29.25" customHeight="1" x14ac:dyDescent="0.2">
      <c r="A18" s="25"/>
      <c r="B18" s="28"/>
      <c r="C18" s="19"/>
      <c r="D18" s="2190" t="s">
        <v>160</v>
      </c>
      <c r="E18" s="2229" t="s">
        <v>85</v>
      </c>
      <c r="F18" s="124"/>
      <c r="G18" s="279"/>
      <c r="H18" s="431"/>
      <c r="I18" s="296"/>
      <c r="J18" s="296"/>
      <c r="K18" s="296"/>
      <c r="L18" s="425"/>
      <c r="M18" s="295"/>
      <c r="N18" s="296"/>
      <c r="O18" s="296"/>
      <c r="P18" s="297"/>
      <c r="Q18" s="334"/>
      <c r="R18" s="335"/>
      <c r="S18" s="335"/>
      <c r="T18" s="333"/>
      <c r="U18" s="424"/>
      <c r="V18" s="118"/>
      <c r="W18" s="2113"/>
      <c r="X18" s="219"/>
      <c r="Y18" s="220"/>
      <c r="Z18" s="221"/>
      <c r="AB18" s="112"/>
    </row>
    <row r="19" spans="1:32" ht="13.5" customHeight="1" thickBot="1" x14ac:dyDescent="0.25">
      <c r="A19" s="25"/>
      <c r="B19" s="28"/>
      <c r="C19" s="19"/>
      <c r="D19" s="2207"/>
      <c r="E19" s="2230"/>
      <c r="F19" s="125"/>
      <c r="G19" s="280"/>
      <c r="H19" s="317" t="s">
        <v>16</v>
      </c>
      <c r="I19" s="309">
        <f t="shared" ref="I19:T19" si="0">SUM(I13:I17)</f>
        <v>0</v>
      </c>
      <c r="J19" s="309">
        <f t="shared" si="0"/>
        <v>0</v>
      </c>
      <c r="K19" s="309">
        <f t="shared" si="0"/>
        <v>0</v>
      </c>
      <c r="L19" s="310">
        <f t="shared" si="0"/>
        <v>0</v>
      </c>
      <c r="M19" s="375">
        <f>SUM(M13:M17)</f>
        <v>0</v>
      </c>
      <c r="N19" s="309">
        <f>SUM(N13:N17)</f>
        <v>0</v>
      </c>
      <c r="O19" s="309">
        <f t="shared" si="0"/>
        <v>0</v>
      </c>
      <c r="P19" s="318">
        <f t="shared" si="0"/>
        <v>0</v>
      </c>
      <c r="Q19" s="309">
        <f t="shared" ref="Q19:Q25" si="1">R19+T19</f>
        <v>454</v>
      </c>
      <c r="R19" s="309">
        <f>SUM(R12:R17)</f>
        <v>454</v>
      </c>
      <c r="S19" s="309">
        <f t="shared" si="0"/>
        <v>0</v>
      </c>
      <c r="T19" s="310">
        <f t="shared" si="0"/>
        <v>0</v>
      </c>
      <c r="U19" s="319">
        <f>SUM(U12:U17)</f>
        <v>540</v>
      </c>
      <c r="V19" s="310">
        <f>SUM(V12:V18)</f>
        <v>620</v>
      </c>
      <c r="W19" s="2114"/>
      <c r="X19" s="200"/>
      <c r="Y19" s="287"/>
      <c r="Z19" s="201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2058" t="s">
        <v>77</v>
      </c>
      <c r="E20" s="2067"/>
      <c r="F20" s="2095" t="s">
        <v>14</v>
      </c>
      <c r="G20" s="2050" t="s">
        <v>35</v>
      </c>
      <c r="H20" s="88" t="s">
        <v>12</v>
      </c>
      <c r="I20" s="131">
        <f>J20+L20</f>
        <v>180</v>
      </c>
      <c r="J20" s="132">
        <v>180</v>
      </c>
      <c r="K20" s="132"/>
      <c r="L20" s="139"/>
      <c r="M20" s="89">
        <f>N20+P20</f>
        <v>180</v>
      </c>
      <c r="N20" s="132">
        <v>180</v>
      </c>
      <c r="O20" s="132"/>
      <c r="P20" s="90"/>
      <c r="Q20" s="301">
        <f t="shared" si="1"/>
        <v>180</v>
      </c>
      <c r="R20" s="302">
        <v>180</v>
      </c>
      <c r="S20" s="302"/>
      <c r="T20" s="303"/>
      <c r="U20" s="62">
        <v>180</v>
      </c>
      <c r="V20" s="57">
        <v>200</v>
      </c>
      <c r="W20" s="173" t="s">
        <v>69</v>
      </c>
      <c r="X20" s="372">
        <v>1</v>
      </c>
      <c r="Y20" s="373">
        <v>1</v>
      </c>
      <c r="Z20" s="367">
        <v>1</v>
      </c>
    </row>
    <row r="21" spans="1:32" ht="14.25" customHeight="1" thickBot="1" x14ac:dyDescent="0.25">
      <c r="A21" s="25"/>
      <c r="B21" s="28"/>
      <c r="C21" s="19"/>
      <c r="D21" s="2059"/>
      <c r="E21" s="2069"/>
      <c r="F21" s="2074"/>
      <c r="G21" s="2052"/>
      <c r="H21" s="317" t="s">
        <v>16</v>
      </c>
      <c r="I21" s="309">
        <f>J21+L21</f>
        <v>180</v>
      </c>
      <c r="J21" s="376">
        <f>SUM(J20:J20)</f>
        <v>180</v>
      </c>
      <c r="K21" s="376"/>
      <c r="L21" s="326"/>
      <c r="M21" s="375">
        <f>N21+P21</f>
        <v>180</v>
      </c>
      <c r="N21" s="376">
        <f>SUM(N20:N20)</f>
        <v>180</v>
      </c>
      <c r="O21" s="376"/>
      <c r="P21" s="377"/>
      <c r="Q21" s="309">
        <f t="shared" si="1"/>
        <v>180</v>
      </c>
      <c r="R21" s="376">
        <f>SUM(R20:R20)</f>
        <v>180</v>
      </c>
      <c r="S21" s="376"/>
      <c r="T21" s="311"/>
      <c r="U21" s="319">
        <f>SUM(U20:U20)</f>
        <v>180</v>
      </c>
      <c r="V21" s="310">
        <f>SUM(V20:V20)</f>
        <v>200</v>
      </c>
      <c r="W21" s="288"/>
      <c r="X21" s="153"/>
      <c r="Y21" s="287"/>
      <c r="Z21" s="285"/>
      <c r="AB21" s="112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2058" t="s">
        <v>70</v>
      </c>
      <c r="E22" s="2067"/>
      <c r="F22" s="2095" t="s">
        <v>14</v>
      </c>
      <c r="G22" s="2050" t="s">
        <v>35</v>
      </c>
      <c r="H22" s="88" t="s">
        <v>12</v>
      </c>
      <c r="I22" s="131">
        <f>J22+L22</f>
        <v>31.2</v>
      </c>
      <c r="J22" s="132">
        <v>31.2</v>
      </c>
      <c r="K22" s="132"/>
      <c r="L22" s="139"/>
      <c r="M22" s="89">
        <f>N22+P22</f>
        <v>40.299999999999997</v>
      </c>
      <c r="N22" s="132">
        <v>40.299999999999997</v>
      </c>
      <c r="O22" s="132"/>
      <c r="P22" s="90"/>
      <c r="Q22" s="301">
        <f t="shared" si="1"/>
        <v>31.2</v>
      </c>
      <c r="R22" s="302">
        <v>31.2</v>
      </c>
      <c r="S22" s="302"/>
      <c r="T22" s="303"/>
      <c r="U22" s="202">
        <v>46.8</v>
      </c>
      <c r="V22" s="548">
        <v>62.4</v>
      </c>
      <c r="W22" s="2085" t="s">
        <v>45</v>
      </c>
      <c r="X22" s="2087">
        <v>4</v>
      </c>
      <c r="Y22" s="2089">
        <v>5</v>
      </c>
      <c r="Z22" s="2259">
        <v>6</v>
      </c>
    </row>
    <row r="23" spans="1:32" ht="14.25" customHeight="1" thickBot="1" x14ac:dyDescent="0.25">
      <c r="A23" s="549"/>
      <c r="B23" s="259"/>
      <c r="C23" s="260"/>
      <c r="D23" s="2059"/>
      <c r="E23" s="2069"/>
      <c r="F23" s="2074"/>
      <c r="G23" s="2052"/>
      <c r="H23" s="317" t="s">
        <v>16</v>
      </c>
      <c r="I23" s="309">
        <f>J23+L23</f>
        <v>31.2</v>
      </c>
      <c r="J23" s="519">
        <f>SUM(J22:J22)</f>
        <v>31.2</v>
      </c>
      <c r="K23" s="519"/>
      <c r="L23" s="311"/>
      <c r="M23" s="518">
        <f>N23+P23</f>
        <v>40.299999999999997</v>
      </c>
      <c r="N23" s="519">
        <f>SUM(N22:N22)</f>
        <v>40.299999999999997</v>
      </c>
      <c r="O23" s="519"/>
      <c r="P23" s="520"/>
      <c r="Q23" s="309">
        <f t="shared" si="1"/>
        <v>31.2</v>
      </c>
      <c r="R23" s="519">
        <f>SUM(R22:R22)</f>
        <v>31.2</v>
      </c>
      <c r="S23" s="519"/>
      <c r="T23" s="311"/>
      <c r="U23" s="319">
        <f>SUM(U22:U22)</f>
        <v>46.8</v>
      </c>
      <c r="V23" s="310">
        <f>SUM(V22:V22)</f>
        <v>62.4</v>
      </c>
      <c r="W23" s="2086"/>
      <c r="X23" s="2088"/>
      <c r="Y23" s="2090"/>
      <c r="Z23" s="2260"/>
      <c r="AF23" s="112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92" t="s">
        <v>119</v>
      </c>
      <c r="E24" s="250"/>
      <c r="F24" s="253" t="s">
        <v>14</v>
      </c>
      <c r="G24" s="286" t="s">
        <v>35</v>
      </c>
      <c r="H24" s="93" t="s">
        <v>12</v>
      </c>
      <c r="I24" s="257"/>
      <c r="J24" s="95"/>
      <c r="K24" s="95"/>
      <c r="L24" s="258"/>
      <c r="M24" s="94"/>
      <c r="N24" s="95"/>
      <c r="O24" s="95"/>
      <c r="P24" s="96"/>
      <c r="Q24" s="312">
        <f t="shared" si="1"/>
        <v>229.6</v>
      </c>
      <c r="R24" s="313">
        <f>66.1+163.5</f>
        <v>229.6</v>
      </c>
      <c r="S24" s="313"/>
      <c r="T24" s="314"/>
      <c r="U24" s="64">
        <f>80+450</f>
        <v>530</v>
      </c>
      <c r="V24" s="55">
        <f>90+450</f>
        <v>540</v>
      </c>
      <c r="W24" s="150"/>
      <c r="X24" s="77"/>
      <c r="Y24" s="78"/>
      <c r="Z24" s="76"/>
    </row>
    <row r="25" spans="1:32" ht="14.25" customHeight="1" x14ac:dyDescent="0.2">
      <c r="A25" s="38"/>
      <c r="B25" s="28"/>
      <c r="C25" s="19"/>
      <c r="D25" s="2204" t="s">
        <v>151</v>
      </c>
      <c r="E25" s="251"/>
      <c r="F25" s="254"/>
      <c r="G25" s="255"/>
      <c r="H25" s="271" t="s">
        <v>111</v>
      </c>
      <c r="I25" s="140">
        <f>J25+L25</f>
        <v>386</v>
      </c>
      <c r="J25" s="141">
        <v>386</v>
      </c>
      <c r="K25" s="182"/>
      <c r="L25" s="183"/>
      <c r="M25" s="172">
        <f>N25+P25</f>
        <v>459</v>
      </c>
      <c r="N25" s="184">
        <v>459</v>
      </c>
      <c r="O25" s="272"/>
      <c r="P25" s="273"/>
      <c r="Q25" s="306">
        <f t="shared" si="1"/>
        <v>459</v>
      </c>
      <c r="R25" s="307">
        <v>459</v>
      </c>
      <c r="S25" s="307"/>
      <c r="T25" s="308"/>
      <c r="U25" s="162">
        <v>459</v>
      </c>
      <c r="V25" s="161">
        <v>459</v>
      </c>
      <c r="W25" s="2257" t="s">
        <v>128</v>
      </c>
      <c r="X25" s="2247" t="s">
        <v>129</v>
      </c>
      <c r="Y25" s="2249" t="s">
        <v>130</v>
      </c>
      <c r="Z25" s="2251" t="s">
        <v>130</v>
      </c>
      <c r="AC25" s="112"/>
    </row>
    <row r="26" spans="1:32" ht="14.25" customHeight="1" x14ac:dyDescent="0.2">
      <c r="A26" s="38"/>
      <c r="B26" s="28"/>
      <c r="C26" s="19"/>
      <c r="D26" s="2205"/>
      <c r="E26" s="251"/>
      <c r="F26" s="254"/>
      <c r="G26" s="255"/>
      <c r="H26" s="539"/>
      <c r="I26" s="133"/>
      <c r="J26" s="134"/>
      <c r="K26" s="35"/>
      <c r="L26" s="492"/>
      <c r="M26" s="435"/>
      <c r="N26" s="186"/>
      <c r="O26" s="540"/>
      <c r="P26" s="541"/>
      <c r="Q26" s="324"/>
      <c r="R26" s="300"/>
      <c r="S26" s="300"/>
      <c r="T26" s="325"/>
      <c r="U26" s="493"/>
      <c r="V26" s="494"/>
      <c r="W26" s="2258"/>
      <c r="X26" s="2248"/>
      <c r="Y26" s="2250"/>
      <c r="Z26" s="2252"/>
    </row>
    <row r="27" spans="1:32" ht="27.75" customHeight="1" x14ac:dyDescent="0.2">
      <c r="A27" s="38"/>
      <c r="B27" s="380"/>
      <c r="C27" s="19"/>
      <c r="D27" s="181" t="s">
        <v>18</v>
      </c>
      <c r="E27" s="251"/>
      <c r="F27" s="294"/>
      <c r="G27" s="255"/>
      <c r="H27" s="102"/>
      <c r="I27" s="136"/>
      <c r="J27" s="137"/>
      <c r="K27" s="137"/>
      <c r="L27" s="56"/>
      <c r="M27" s="97"/>
      <c r="N27" s="137"/>
      <c r="O27" s="137"/>
      <c r="P27" s="98"/>
      <c r="Q27" s="543"/>
      <c r="R27" s="315"/>
      <c r="S27" s="315"/>
      <c r="T27" s="316"/>
      <c r="U27" s="65"/>
      <c r="V27" s="119"/>
      <c r="W27" s="544" t="s">
        <v>163</v>
      </c>
      <c r="X27" s="216">
        <v>1</v>
      </c>
      <c r="Y27" s="545" t="s">
        <v>35</v>
      </c>
      <c r="Z27" s="546" t="s">
        <v>35</v>
      </c>
      <c r="AD27" s="112"/>
    </row>
    <row r="28" spans="1:32" ht="15.75" customHeight="1" x14ac:dyDescent="0.2">
      <c r="A28" s="25"/>
      <c r="B28" s="28"/>
      <c r="C28" s="19"/>
      <c r="D28" s="2206" t="s">
        <v>118</v>
      </c>
      <c r="E28" s="2208"/>
      <c r="F28" s="2210"/>
      <c r="G28" s="2212"/>
      <c r="H28" s="171"/>
      <c r="I28" s="140"/>
      <c r="J28" s="141"/>
      <c r="K28" s="182"/>
      <c r="L28" s="183"/>
      <c r="M28" s="172"/>
      <c r="N28" s="184"/>
      <c r="O28" s="184"/>
      <c r="P28" s="185"/>
      <c r="Q28" s="324"/>
      <c r="R28" s="300"/>
      <c r="S28" s="300"/>
      <c r="T28" s="325"/>
      <c r="U28" s="493"/>
      <c r="V28" s="542"/>
      <c r="W28" s="2239" t="s">
        <v>122</v>
      </c>
      <c r="X28" s="2241">
        <v>1</v>
      </c>
      <c r="Y28" s="2243"/>
      <c r="Z28" s="2245"/>
    </row>
    <row r="29" spans="1:32" ht="13.5" customHeight="1" thickBot="1" x14ac:dyDescent="0.25">
      <c r="A29" s="39"/>
      <c r="B29" s="14"/>
      <c r="C29" s="36"/>
      <c r="D29" s="2207"/>
      <c r="E29" s="2209"/>
      <c r="F29" s="2211"/>
      <c r="G29" s="2213"/>
      <c r="H29" s="320" t="s">
        <v>16</v>
      </c>
      <c r="I29" s="309">
        <f t="shared" ref="I29:P29" si="2">SUM(I25:I28)</f>
        <v>386</v>
      </c>
      <c r="J29" s="309">
        <f t="shared" si="2"/>
        <v>386</v>
      </c>
      <c r="K29" s="309">
        <f t="shared" si="2"/>
        <v>0</v>
      </c>
      <c r="L29" s="310">
        <f t="shared" si="2"/>
        <v>0</v>
      </c>
      <c r="M29" s="395">
        <f t="shared" si="2"/>
        <v>459</v>
      </c>
      <c r="N29" s="309">
        <f t="shared" si="2"/>
        <v>459</v>
      </c>
      <c r="O29" s="309">
        <f t="shared" si="2"/>
        <v>0</v>
      </c>
      <c r="P29" s="318">
        <f t="shared" si="2"/>
        <v>0</v>
      </c>
      <c r="Q29" s="309">
        <f>SUM(Q24:Q28)</f>
        <v>688.6</v>
      </c>
      <c r="R29" s="309">
        <f>SUM(R24:R28)</f>
        <v>688.6</v>
      </c>
      <c r="S29" s="309">
        <f>SUM(S25:S28)</f>
        <v>0</v>
      </c>
      <c r="T29" s="310">
        <f>SUM(T25:T28)</f>
        <v>0</v>
      </c>
      <c r="U29" s="319">
        <f>SUM(U24:U28)</f>
        <v>989</v>
      </c>
      <c r="V29" s="309">
        <f>SUM(V24:V28)</f>
        <v>999</v>
      </c>
      <c r="W29" s="2253"/>
      <c r="X29" s="2254"/>
      <c r="Y29" s="2255"/>
      <c r="Z29" s="2256"/>
      <c r="AB29" s="112"/>
    </row>
    <row r="30" spans="1:32" ht="14.25" customHeight="1" thickBot="1" x14ac:dyDescent="0.25">
      <c r="A30" s="24" t="s">
        <v>9</v>
      </c>
      <c r="B30" s="34" t="s">
        <v>9</v>
      </c>
      <c r="C30" s="2044" t="s">
        <v>15</v>
      </c>
      <c r="D30" s="2045"/>
      <c r="E30" s="2045"/>
      <c r="F30" s="2045"/>
      <c r="G30" s="2188"/>
      <c r="H30" s="2189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1353.8000000000002</v>
      </c>
      <c r="R30" s="20">
        <f t="shared" si="3"/>
        <v>1353.8000000000002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2062"/>
      <c r="X30" s="2063"/>
      <c r="Y30" s="2063"/>
      <c r="Z30" s="2064"/>
    </row>
    <row r="31" spans="1:32" ht="15" customHeight="1" thickBot="1" x14ac:dyDescent="0.25">
      <c r="A31" s="21" t="s">
        <v>9</v>
      </c>
      <c r="B31" s="27" t="s">
        <v>10</v>
      </c>
      <c r="C31" s="2184" t="s">
        <v>92</v>
      </c>
      <c r="D31" s="2185"/>
      <c r="E31" s="2185"/>
      <c r="F31" s="2185"/>
      <c r="G31" s="2185"/>
      <c r="H31" s="2140"/>
      <c r="I31" s="2140"/>
      <c r="J31" s="2140"/>
      <c r="K31" s="2140"/>
      <c r="L31" s="2140"/>
      <c r="M31" s="2140"/>
      <c r="N31" s="2140"/>
      <c r="O31" s="2140"/>
      <c r="P31" s="2140"/>
      <c r="Q31" s="2140"/>
      <c r="R31" s="2140"/>
      <c r="S31" s="2140"/>
      <c r="T31" s="2140"/>
      <c r="U31" s="2140"/>
      <c r="V31" s="2140"/>
      <c r="W31" s="2140"/>
      <c r="X31" s="2140"/>
      <c r="Y31" s="2140"/>
      <c r="Z31" s="2141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2186" t="s">
        <v>66</v>
      </c>
      <c r="E32" s="126"/>
      <c r="F32" s="290" t="s">
        <v>14</v>
      </c>
      <c r="G32" s="262">
        <v>2</v>
      </c>
      <c r="H32" s="174" t="s">
        <v>12</v>
      </c>
      <c r="I32" s="203"/>
      <c r="J32" s="203"/>
      <c r="K32" s="203"/>
      <c r="L32" s="203"/>
      <c r="M32" s="99"/>
      <c r="N32" s="95"/>
      <c r="O32" s="55"/>
      <c r="P32" s="96"/>
      <c r="Q32" s="321">
        <f>R32+T32</f>
        <v>7753.5</v>
      </c>
      <c r="R32" s="313">
        <f>977.8+2020.6+168.6+1997.4+832.1+76.1+1055.2+623.2</f>
        <v>7751</v>
      </c>
      <c r="S32" s="321">
        <f>611+1441+83.7+1276+419.7+11+721.3+305.4</f>
        <v>4869.0999999999995</v>
      </c>
      <c r="T32" s="314">
        <v>2.5</v>
      </c>
      <c r="U32" s="64">
        <f>1050+2169.4+159.9+2016.3+886.3+1342+595.3</f>
        <v>8219.2000000000007</v>
      </c>
      <c r="V32" s="55">
        <f>1000+2169.4+159.9+2016.3+1740.6+1343+660.1</f>
        <v>9089.3000000000011</v>
      </c>
      <c r="W32" s="535" t="s">
        <v>128</v>
      </c>
      <c r="X32" s="412">
        <f>5+28+16+357+25+16+11+172+30+10+57+8+90</f>
        <v>825</v>
      </c>
      <c r="Y32" s="409">
        <f>5+28+165+357+25+16+11+167+30+61+8+90</f>
        <v>963</v>
      </c>
      <c r="Z32" s="410">
        <f>6+29+170+357+25+16+11+168+30+65+8+90</f>
        <v>975</v>
      </c>
      <c r="AA32" s="120"/>
    </row>
    <row r="33" spans="1:31" ht="15.75" customHeight="1" x14ac:dyDescent="0.2">
      <c r="A33" s="536"/>
      <c r="B33" s="537"/>
      <c r="C33" s="19"/>
      <c r="D33" s="2187"/>
      <c r="E33" s="284"/>
      <c r="F33" s="261"/>
      <c r="G33" s="263"/>
      <c r="H33" s="407" t="s">
        <v>28</v>
      </c>
      <c r="I33" s="207"/>
      <c r="J33" s="208"/>
      <c r="K33" s="208"/>
      <c r="L33" s="209"/>
      <c r="M33" s="197"/>
      <c r="N33" s="141"/>
      <c r="O33" s="149"/>
      <c r="P33" s="177"/>
      <c r="Q33" s="322">
        <f>R33+T33</f>
        <v>1154.4000000000001</v>
      </c>
      <c r="R33" s="307">
        <f>353+603.5+30+20+111.9+20</f>
        <v>1138.4000000000001</v>
      </c>
      <c r="S33" s="322"/>
      <c r="T33" s="308">
        <f>4+5+7</f>
        <v>16</v>
      </c>
      <c r="U33" s="178">
        <f>353+607.5+30+13+119+20</f>
        <v>1142.5</v>
      </c>
      <c r="V33" s="149">
        <f>353+607.5+30+13+119+20</f>
        <v>1142.5</v>
      </c>
      <c r="W33" s="525" t="s">
        <v>48</v>
      </c>
      <c r="X33" s="413">
        <f>73.2+460+262+14+27</f>
        <v>836.2</v>
      </c>
      <c r="Y33" s="416">
        <f>73.2+460+262+14+27</f>
        <v>836.2</v>
      </c>
      <c r="Z33" s="414">
        <f>73.5+460+262+14+27</f>
        <v>836.5</v>
      </c>
      <c r="AA33" s="75"/>
    </row>
    <row r="34" spans="1:31" ht="26.25" customHeight="1" x14ac:dyDescent="0.2">
      <c r="A34" s="536"/>
      <c r="B34" s="537"/>
      <c r="C34" s="19"/>
      <c r="D34" s="521" t="s">
        <v>131</v>
      </c>
      <c r="E34" s="123"/>
      <c r="F34" s="261"/>
      <c r="G34" s="263"/>
      <c r="H34" s="101" t="s">
        <v>20</v>
      </c>
      <c r="I34" s="415">
        <v>171.7</v>
      </c>
      <c r="J34" s="415">
        <v>171.7</v>
      </c>
      <c r="K34" s="184"/>
      <c r="L34" s="217"/>
      <c r="M34" s="172">
        <f t="shared" ref="M34" si="4">N34+P34</f>
        <v>140</v>
      </c>
      <c r="N34" s="184">
        <v>140</v>
      </c>
      <c r="O34" s="184"/>
      <c r="P34" s="185"/>
      <c r="Q34" s="306">
        <f>R34+T34</f>
        <v>191</v>
      </c>
      <c r="R34" s="307">
        <f>140+51</f>
        <v>191</v>
      </c>
      <c r="S34" s="307"/>
      <c r="T34" s="308"/>
      <c r="U34" s="66">
        <f>140+26.6</f>
        <v>166.6</v>
      </c>
      <c r="V34" s="148">
        <f>140+51</f>
        <v>191</v>
      </c>
      <c r="W34" s="2239" t="s">
        <v>127</v>
      </c>
      <c r="X34" s="2241">
        <v>2</v>
      </c>
      <c r="Y34" s="2243"/>
      <c r="Z34" s="2245"/>
      <c r="AA34" s="120"/>
    </row>
    <row r="35" spans="1:31" ht="19.5" customHeight="1" x14ac:dyDescent="0.2">
      <c r="A35" s="38"/>
      <c r="B35" s="28"/>
      <c r="C35" s="19"/>
      <c r="D35" s="2135" t="s">
        <v>132</v>
      </c>
      <c r="E35" s="123"/>
      <c r="F35" s="261"/>
      <c r="G35" s="263"/>
      <c r="H35" s="170" t="s">
        <v>29</v>
      </c>
      <c r="I35" s="417"/>
      <c r="J35" s="418"/>
      <c r="K35" s="418"/>
      <c r="L35" s="419"/>
      <c r="M35" s="517"/>
      <c r="N35" s="420"/>
      <c r="O35" s="420"/>
      <c r="P35" s="421"/>
      <c r="Q35" s="304">
        <f>R35+T35</f>
        <v>456.7</v>
      </c>
      <c r="R35" s="299">
        <v>456.7</v>
      </c>
      <c r="S35" s="299"/>
      <c r="T35" s="305"/>
      <c r="U35" s="422"/>
      <c r="V35" s="547"/>
      <c r="W35" s="2240"/>
      <c r="X35" s="2242"/>
      <c r="Y35" s="2244"/>
      <c r="Z35" s="2246"/>
    </row>
    <row r="36" spans="1:31" ht="19.5" customHeight="1" x14ac:dyDescent="0.2">
      <c r="A36" s="38"/>
      <c r="B36" s="28"/>
      <c r="C36" s="19"/>
      <c r="D36" s="2135"/>
      <c r="E36" s="123"/>
      <c r="F36" s="261"/>
      <c r="G36" s="263"/>
      <c r="H36" s="171"/>
      <c r="I36" s="432"/>
      <c r="J36" s="433"/>
      <c r="K36" s="433"/>
      <c r="L36" s="434"/>
      <c r="M36" s="435"/>
      <c r="N36" s="212"/>
      <c r="O36" s="212"/>
      <c r="P36" s="213"/>
      <c r="Q36" s="324"/>
      <c r="R36" s="300"/>
      <c r="S36" s="300"/>
      <c r="T36" s="325"/>
      <c r="U36" s="214"/>
      <c r="V36" s="215"/>
      <c r="W36" s="2240"/>
      <c r="X36" s="2242"/>
      <c r="Y36" s="2244"/>
      <c r="Z36" s="2246"/>
    </row>
    <row r="37" spans="1:31" ht="27" customHeight="1" x14ac:dyDescent="0.2">
      <c r="A37" s="38"/>
      <c r="B37" s="28"/>
      <c r="C37" s="19"/>
      <c r="D37" s="523" t="s">
        <v>133</v>
      </c>
      <c r="E37" s="123"/>
      <c r="F37" s="261"/>
      <c r="G37" s="263"/>
      <c r="H37" s="171"/>
      <c r="I37" s="433"/>
      <c r="J37" s="433"/>
      <c r="K37" s="433"/>
      <c r="L37" s="436"/>
      <c r="M37" s="435"/>
      <c r="N37" s="212"/>
      <c r="O37" s="212"/>
      <c r="P37" s="213"/>
      <c r="Q37" s="324"/>
      <c r="R37" s="300"/>
      <c r="S37" s="300"/>
      <c r="T37" s="325"/>
      <c r="U37" s="214"/>
      <c r="V37" s="215"/>
      <c r="W37" s="526"/>
      <c r="X37" s="527"/>
      <c r="Y37" s="528"/>
      <c r="Z37" s="224"/>
    </row>
    <row r="38" spans="1:31" ht="26.25" customHeight="1" x14ac:dyDescent="0.2">
      <c r="A38" s="536"/>
      <c r="B38" s="537"/>
      <c r="C38" s="40"/>
      <c r="D38" s="521" t="s">
        <v>134</v>
      </c>
      <c r="E38" s="123"/>
      <c r="F38" s="261"/>
      <c r="G38" s="263"/>
      <c r="H38" s="91"/>
      <c r="I38" s="438"/>
      <c r="J38" s="438"/>
      <c r="K38" s="438"/>
      <c r="L38" s="439"/>
      <c r="M38" s="435"/>
      <c r="N38" s="186"/>
      <c r="O38" s="186"/>
      <c r="P38" s="437"/>
      <c r="Q38" s="324"/>
      <c r="R38" s="300"/>
      <c r="S38" s="300"/>
      <c r="T38" s="325"/>
      <c r="U38" s="65"/>
      <c r="V38" s="145"/>
      <c r="W38" s="526"/>
      <c r="X38" s="527"/>
      <c r="Y38" s="528"/>
      <c r="Z38" s="529"/>
    </row>
    <row r="39" spans="1:31" ht="27.75" customHeight="1" x14ac:dyDescent="0.2">
      <c r="A39" s="25"/>
      <c r="B39" s="28"/>
      <c r="C39" s="19"/>
      <c r="D39" s="521" t="s">
        <v>152</v>
      </c>
      <c r="E39" s="123"/>
      <c r="F39" s="261"/>
      <c r="G39" s="263"/>
      <c r="H39" s="91"/>
      <c r="I39" s="440">
        <f>J39+L39</f>
        <v>6.5</v>
      </c>
      <c r="J39" s="186">
        <v>6.5</v>
      </c>
      <c r="K39" s="186"/>
      <c r="L39" s="218"/>
      <c r="M39" s="435"/>
      <c r="N39" s="186"/>
      <c r="O39" s="186"/>
      <c r="P39" s="437"/>
      <c r="Q39" s="324"/>
      <c r="R39" s="300"/>
      <c r="S39" s="300"/>
      <c r="T39" s="325"/>
      <c r="U39" s="65"/>
      <c r="V39" s="145"/>
      <c r="W39" s="526"/>
      <c r="X39" s="527"/>
      <c r="Y39" s="528"/>
      <c r="Z39" s="529"/>
    </row>
    <row r="40" spans="1:31" ht="26.25" customHeight="1" x14ac:dyDescent="0.2">
      <c r="A40" s="25"/>
      <c r="B40" s="28"/>
      <c r="C40" s="19"/>
      <c r="D40" s="2135" t="s">
        <v>169</v>
      </c>
      <c r="E40" s="123"/>
      <c r="F40" s="261"/>
      <c r="G40" s="263"/>
      <c r="H40" s="91"/>
      <c r="I40" s="440"/>
      <c r="J40" s="186"/>
      <c r="K40" s="186"/>
      <c r="L40" s="218"/>
      <c r="M40" s="435">
        <f t="shared" ref="M40" si="5">N40+P40</f>
        <v>76.099999999999994</v>
      </c>
      <c r="N40" s="186">
        <v>76.099999999999994</v>
      </c>
      <c r="O40" s="186">
        <v>11</v>
      </c>
      <c r="P40" s="437"/>
      <c r="Q40" s="441"/>
      <c r="R40" s="300"/>
      <c r="S40" s="300"/>
      <c r="T40" s="325"/>
      <c r="U40" s="65"/>
      <c r="V40" s="145"/>
      <c r="W40" s="526"/>
      <c r="X40" s="527"/>
      <c r="Y40" s="528"/>
      <c r="Z40" s="179"/>
      <c r="AB40" s="112"/>
      <c r="AD40" s="112"/>
    </row>
    <row r="41" spans="1:31" ht="26.25" customHeight="1" x14ac:dyDescent="0.2">
      <c r="A41" s="25"/>
      <c r="B41" s="28"/>
      <c r="C41" s="19"/>
      <c r="D41" s="2135"/>
      <c r="E41" s="123"/>
      <c r="F41" s="261"/>
      <c r="G41" s="263"/>
      <c r="H41" s="91"/>
      <c r="I41" s="438"/>
      <c r="J41" s="438"/>
      <c r="K41" s="186"/>
      <c r="L41" s="218"/>
      <c r="M41" s="435"/>
      <c r="N41" s="186"/>
      <c r="O41" s="186"/>
      <c r="P41" s="437"/>
      <c r="Q41" s="324"/>
      <c r="R41" s="300"/>
      <c r="S41" s="300"/>
      <c r="T41" s="325"/>
      <c r="U41" s="65"/>
      <c r="V41" s="145"/>
      <c r="W41" s="526"/>
      <c r="X41" s="527"/>
      <c r="Y41" s="528"/>
      <c r="Z41" s="529"/>
    </row>
    <row r="42" spans="1:31" ht="14.25" customHeight="1" thickBot="1" x14ac:dyDescent="0.25">
      <c r="A42" s="549"/>
      <c r="B42" s="259"/>
      <c r="C42" s="260"/>
      <c r="D42" s="2059"/>
      <c r="E42" s="538"/>
      <c r="F42" s="550"/>
      <c r="G42" s="551"/>
      <c r="H42" s="516"/>
      <c r="I42" s="552"/>
      <c r="J42" s="553"/>
      <c r="K42" s="270"/>
      <c r="L42" s="554"/>
      <c r="M42" s="269"/>
      <c r="N42" s="555"/>
      <c r="O42" s="555"/>
      <c r="P42" s="556"/>
      <c r="Q42" s="557"/>
      <c r="R42" s="558"/>
      <c r="S42" s="558"/>
      <c r="T42" s="559"/>
      <c r="U42" s="560"/>
      <c r="V42" s="561"/>
      <c r="W42" s="530"/>
      <c r="X42" s="531"/>
      <c r="Y42" s="532"/>
      <c r="Z42" s="533"/>
    </row>
    <row r="43" spans="1:31" ht="29.25" customHeight="1" x14ac:dyDescent="0.2">
      <c r="A43" s="38"/>
      <c r="B43" s="28"/>
      <c r="C43" s="19"/>
      <c r="D43" s="122" t="s">
        <v>135</v>
      </c>
      <c r="E43" s="2060" t="s">
        <v>170</v>
      </c>
      <c r="F43" s="261"/>
      <c r="G43" s="263"/>
      <c r="H43" s="91"/>
      <c r="I43" s="438"/>
      <c r="J43" s="438"/>
      <c r="K43" s="438"/>
      <c r="L43" s="439"/>
      <c r="M43" s="435"/>
      <c r="N43" s="186"/>
      <c r="O43" s="186"/>
      <c r="P43" s="437"/>
      <c r="Q43" s="324"/>
      <c r="R43" s="300"/>
      <c r="S43" s="300"/>
      <c r="T43" s="325"/>
      <c r="U43" s="65"/>
      <c r="V43" s="145"/>
      <c r="W43" s="526"/>
      <c r="X43" s="219"/>
      <c r="Y43" s="220"/>
      <c r="Z43" s="224"/>
    </row>
    <row r="44" spans="1:31" ht="16.5" customHeight="1" x14ac:dyDescent="0.2">
      <c r="A44" s="38"/>
      <c r="B44" s="28"/>
      <c r="C44" s="19"/>
      <c r="D44" s="2082" t="s">
        <v>136</v>
      </c>
      <c r="E44" s="2060"/>
      <c r="F44" s="2073"/>
      <c r="G44" s="2075"/>
      <c r="H44" s="114"/>
      <c r="I44" s="426"/>
      <c r="J44" s="423"/>
      <c r="K44" s="423"/>
      <c r="L44" s="427"/>
      <c r="M44" s="295"/>
      <c r="N44" s="296"/>
      <c r="O44" s="296"/>
      <c r="P44" s="297"/>
      <c r="Q44" s="334"/>
      <c r="R44" s="335"/>
      <c r="S44" s="335"/>
      <c r="T44" s="333"/>
      <c r="U44" s="424"/>
      <c r="V44" s="118"/>
      <c r="W44" s="442"/>
      <c r="X44" s="428"/>
      <c r="Y44" s="429"/>
      <c r="Z44" s="430"/>
    </row>
    <row r="45" spans="1:31" ht="13.5" customHeight="1" thickBot="1" x14ac:dyDescent="0.25">
      <c r="A45" s="24"/>
      <c r="B45" s="14"/>
      <c r="C45" s="408"/>
      <c r="D45" s="2083"/>
      <c r="E45" s="2061"/>
      <c r="F45" s="2074"/>
      <c r="G45" s="2076"/>
      <c r="H45" s="320" t="s">
        <v>16</v>
      </c>
      <c r="I45" s="365">
        <f>SUM(I34:I44)</f>
        <v>178.2</v>
      </c>
      <c r="J45" s="396">
        <f>SUM(J34:J44)</f>
        <v>178.2</v>
      </c>
      <c r="K45" s="310">
        <f>SUM(K34:K44)</f>
        <v>0</v>
      </c>
      <c r="L45" s="397">
        <f>SUM(L34:L44)</f>
        <v>0</v>
      </c>
      <c r="M45" s="395">
        <f>N45+P45</f>
        <v>216.1</v>
      </c>
      <c r="N45" s="310">
        <f>SUM(N34:N44)</f>
        <v>216.1</v>
      </c>
      <c r="O45" s="396">
        <f>SUM(O34:O44)</f>
        <v>11</v>
      </c>
      <c r="P45" s="318">
        <f>SUM(P34:P44)</f>
        <v>0</v>
      </c>
      <c r="Q45" s="395">
        <f>R45+T45</f>
        <v>9555.6</v>
      </c>
      <c r="R45" s="310">
        <f>SUM(R32:R44)</f>
        <v>9537.1</v>
      </c>
      <c r="S45" s="396">
        <f>SUM(S32:S44)</f>
        <v>4869.0999999999995</v>
      </c>
      <c r="T45" s="318">
        <f>SUM(T32:T44)</f>
        <v>18.5</v>
      </c>
      <c r="U45" s="319">
        <f>SUM(U32:U44)</f>
        <v>9528.3000000000011</v>
      </c>
      <c r="V45" s="310">
        <f>SUM(V32:V44)</f>
        <v>10422.800000000001</v>
      </c>
      <c r="W45" s="534"/>
      <c r="X45" s="495"/>
      <c r="Y45" s="496"/>
      <c r="Z45" s="497"/>
    </row>
    <row r="46" spans="1:31" ht="26.25" customHeight="1" x14ac:dyDescent="0.2">
      <c r="A46" s="398" t="s">
        <v>9</v>
      </c>
      <c r="B46" s="399" t="s">
        <v>10</v>
      </c>
      <c r="C46" s="19" t="s">
        <v>10</v>
      </c>
      <c r="D46" s="265" t="s">
        <v>67</v>
      </c>
      <c r="E46" s="381"/>
      <c r="F46" s="378"/>
      <c r="G46" s="370"/>
      <c r="H46" s="91"/>
      <c r="I46" s="133"/>
      <c r="J46" s="134"/>
      <c r="K46" s="134"/>
      <c r="L46" s="147"/>
      <c r="M46" s="266"/>
      <c r="N46" s="134"/>
      <c r="O46" s="134"/>
      <c r="P46" s="192"/>
      <c r="Q46" s="324"/>
      <c r="R46" s="300"/>
      <c r="S46" s="300"/>
      <c r="T46" s="325"/>
      <c r="U46" s="151"/>
      <c r="V46" s="60"/>
      <c r="W46" s="52"/>
      <c r="X46" s="73"/>
      <c r="Y46" s="80"/>
      <c r="Z46" s="79"/>
    </row>
    <row r="47" spans="1:31" ht="116.25" customHeight="1" x14ac:dyDescent="0.2">
      <c r="A47" s="379"/>
      <c r="B47" s="380"/>
      <c r="C47" s="19"/>
      <c r="D47" s="265" t="s">
        <v>161</v>
      </c>
      <c r="E47" s="451" t="s">
        <v>108</v>
      </c>
      <c r="F47" s="524" t="s">
        <v>14</v>
      </c>
      <c r="G47" s="522" t="s">
        <v>35</v>
      </c>
      <c r="H47" s="91" t="s">
        <v>12</v>
      </c>
      <c r="I47" s="146"/>
      <c r="J47" s="134"/>
      <c r="K47" s="146"/>
      <c r="L47" s="147"/>
      <c r="M47" s="127">
        <f>N47+P47</f>
        <v>45</v>
      </c>
      <c r="N47" s="134">
        <v>45</v>
      </c>
      <c r="O47" s="146"/>
      <c r="P47" s="192"/>
      <c r="Q47" s="331">
        <f>R47+T47</f>
        <v>40</v>
      </c>
      <c r="R47" s="300">
        <v>40</v>
      </c>
      <c r="S47" s="331"/>
      <c r="T47" s="325"/>
      <c r="U47" s="151">
        <v>150</v>
      </c>
      <c r="V47" s="60"/>
      <c r="W47" s="52" t="s">
        <v>123</v>
      </c>
      <c r="X47" s="128">
        <v>2</v>
      </c>
      <c r="Y47" s="80"/>
      <c r="Z47" s="79"/>
      <c r="AE47" s="112"/>
    </row>
    <row r="48" spans="1:31" ht="18" customHeight="1" x14ac:dyDescent="0.2">
      <c r="A48" s="379"/>
      <c r="B48" s="380"/>
      <c r="C48" s="19"/>
      <c r="D48" s="2190" t="s">
        <v>154</v>
      </c>
      <c r="E48" s="2068" t="s">
        <v>116</v>
      </c>
      <c r="F48" s="2214"/>
      <c r="G48" s="2051"/>
      <c r="H48" s="91"/>
      <c r="I48" s="133"/>
      <c r="J48" s="134"/>
      <c r="K48" s="134"/>
      <c r="L48" s="147"/>
      <c r="M48" s="266"/>
      <c r="N48" s="134"/>
      <c r="O48" s="134"/>
      <c r="P48" s="192"/>
      <c r="Q48" s="324"/>
      <c r="R48" s="300"/>
      <c r="S48" s="300"/>
      <c r="T48" s="325"/>
      <c r="U48" s="151"/>
      <c r="V48" s="60"/>
      <c r="W48" s="2113" t="s">
        <v>117</v>
      </c>
      <c r="X48" s="444"/>
      <c r="Y48" s="80">
        <v>100</v>
      </c>
      <c r="Z48" s="79"/>
    </row>
    <row r="49" spans="1:31" ht="18" customHeight="1" x14ac:dyDescent="0.2">
      <c r="A49" s="379"/>
      <c r="B49" s="380"/>
      <c r="C49" s="19"/>
      <c r="D49" s="2190"/>
      <c r="E49" s="2068"/>
      <c r="F49" s="2214"/>
      <c r="G49" s="2051"/>
      <c r="H49" s="91"/>
      <c r="I49" s="133"/>
      <c r="J49" s="134"/>
      <c r="K49" s="134"/>
      <c r="L49" s="147"/>
      <c r="M49" s="266"/>
      <c r="N49" s="134"/>
      <c r="O49" s="134"/>
      <c r="P49" s="192"/>
      <c r="Q49" s="324"/>
      <c r="R49" s="300"/>
      <c r="S49" s="300"/>
      <c r="T49" s="325"/>
      <c r="U49" s="151"/>
      <c r="V49" s="60"/>
      <c r="W49" s="2113"/>
      <c r="X49" s="443"/>
      <c r="Y49" s="80"/>
      <c r="Z49" s="79"/>
    </row>
    <row r="50" spans="1:31" ht="18" customHeight="1" x14ac:dyDescent="0.2">
      <c r="A50" s="29"/>
      <c r="B50" s="32"/>
      <c r="C50" s="44"/>
      <c r="D50" s="2190"/>
      <c r="E50" s="2068"/>
      <c r="F50" s="2214"/>
      <c r="G50" s="2051"/>
      <c r="H50" s="102"/>
      <c r="I50" s="142"/>
      <c r="J50" s="143"/>
      <c r="K50" s="143"/>
      <c r="L50" s="144"/>
      <c r="M50" s="109"/>
      <c r="N50" s="143"/>
      <c r="O50" s="143"/>
      <c r="P50" s="110"/>
      <c r="Q50" s="334"/>
      <c r="R50" s="335"/>
      <c r="S50" s="335"/>
      <c r="T50" s="333"/>
      <c r="U50" s="151"/>
      <c r="V50" s="60"/>
      <c r="W50" s="2113"/>
      <c r="X50" s="444"/>
      <c r="Y50" s="80"/>
      <c r="Z50" s="79"/>
    </row>
    <row r="51" spans="1:31" ht="13.5" customHeight="1" thickBot="1" x14ac:dyDescent="0.25">
      <c r="A51" s="29"/>
      <c r="B51" s="32"/>
      <c r="C51" s="44"/>
      <c r="D51" s="2190"/>
      <c r="E51" s="2191"/>
      <c r="F51" s="2214"/>
      <c r="G51" s="2051"/>
      <c r="H51" s="320" t="s">
        <v>16</v>
      </c>
      <c r="I51" s="310">
        <f>J51+L51</f>
        <v>0</v>
      </c>
      <c r="J51" s="396"/>
      <c r="K51" s="310"/>
      <c r="L51" s="311">
        <f>SUM(L48:L50)</f>
        <v>0</v>
      </c>
      <c r="M51" s="365"/>
      <c r="N51" s="396"/>
      <c r="O51" s="310"/>
      <c r="P51" s="397"/>
      <c r="Q51" s="310">
        <f>R51+T51</f>
        <v>40</v>
      </c>
      <c r="R51" s="396">
        <f>SUM(R47:R50)</f>
        <v>40</v>
      </c>
      <c r="S51" s="310"/>
      <c r="T51" s="311"/>
      <c r="U51" s="319">
        <f>SUM(U47:U50)</f>
        <v>150</v>
      </c>
      <c r="V51" s="318"/>
      <c r="W51" s="2195"/>
      <c r="X51" s="445"/>
      <c r="Y51" s="446"/>
      <c r="Z51" s="447"/>
      <c r="AB51" s="112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450" t="s">
        <v>55</v>
      </c>
      <c r="E52" s="2200"/>
      <c r="F52" s="2047" t="s">
        <v>14</v>
      </c>
      <c r="G52" s="2202">
        <v>6</v>
      </c>
      <c r="H52" s="104" t="s">
        <v>12</v>
      </c>
      <c r="I52" s="57"/>
      <c r="J52" s="132"/>
      <c r="K52" s="57"/>
      <c r="L52" s="139"/>
      <c r="M52" s="453"/>
      <c r="N52" s="47"/>
      <c r="O52" s="132"/>
      <c r="P52" s="61"/>
      <c r="Q52" s="341">
        <f>R52+T52</f>
        <v>68.900000000000006</v>
      </c>
      <c r="R52" s="302">
        <f>10+58.9</f>
        <v>68.900000000000006</v>
      </c>
      <c r="S52" s="341"/>
      <c r="T52" s="303"/>
      <c r="U52" s="62">
        <v>110.3</v>
      </c>
      <c r="V52" s="57"/>
      <c r="W52" s="452" t="s">
        <v>138</v>
      </c>
      <c r="X52" s="106">
        <v>2</v>
      </c>
      <c r="Y52" s="107">
        <v>1</v>
      </c>
      <c r="Z52" s="108"/>
      <c r="AC52" s="112"/>
      <c r="AD52" s="112"/>
    </row>
    <row r="53" spans="1:31" ht="27.75" customHeight="1" x14ac:dyDescent="0.2">
      <c r="A53" s="379"/>
      <c r="B53" s="380"/>
      <c r="C53" s="19"/>
      <c r="D53" s="385" t="s">
        <v>155</v>
      </c>
      <c r="E53" s="2201"/>
      <c r="F53" s="2048"/>
      <c r="G53" s="2203"/>
      <c r="H53" s="91"/>
      <c r="I53" s="146"/>
      <c r="J53" s="134"/>
      <c r="K53" s="146"/>
      <c r="L53" s="147"/>
      <c r="M53" s="266"/>
      <c r="N53" s="146"/>
      <c r="O53" s="134"/>
      <c r="P53" s="60"/>
      <c r="Q53" s="331"/>
      <c r="R53" s="300"/>
      <c r="S53" s="331"/>
      <c r="T53" s="325"/>
      <c r="U53" s="151"/>
      <c r="V53" s="146"/>
      <c r="W53" s="386"/>
      <c r="X53" s="73"/>
      <c r="Y53" s="80"/>
      <c r="Z53" s="79"/>
    </row>
    <row r="54" spans="1:31" ht="27.75" customHeight="1" x14ac:dyDescent="0.2">
      <c r="A54" s="379"/>
      <c r="B54" s="380"/>
      <c r="C54" s="19"/>
      <c r="D54" s="385" t="s">
        <v>137</v>
      </c>
      <c r="E54" s="2201"/>
      <c r="F54" s="2048"/>
      <c r="G54" s="2203"/>
      <c r="H54" s="91"/>
      <c r="I54" s="146"/>
      <c r="J54" s="134"/>
      <c r="K54" s="146"/>
      <c r="L54" s="147"/>
      <c r="M54" s="266"/>
      <c r="N54" s="146"/>
      <c r="O54" s="134"/>
      <c r="P54" s="60"/>
      <c r="Q54" s="331"/>
      <c r="R54" s="300"/>
      <c r="S54" s="331"/>
      <c r="T54" s="325"/>
      <c r="U54" s="151"/>
      <c r="V54" s="146"/>
      <c r="W54" s="386"/>
      <c r="X54" s="73"/>
      <c r="Y54" s="80"/>
      <c r="Z54" s="79"/>
    </row>
    <row r="55" spans="1:31" ht="16.5" customHeight="1" x14ac:dyDescent="0.2">
      <c r="A55" s="379"/>
      <c r="B55" s="380"/>
      <c r="C55" s="19"/>
      <c r="D55" s="2196" t="s">
        <v>156</v>
      </c>
      <c r="E55" s="2201"/>
      <c r="F55" s="2048"/>
      <c r="G55" s="2203"/>
      <c r="H55" s="91"/>
      <c r="I55" s="146"/>
      <c r="J55" s="134"/>
      <c r="K55" s="146"/>
      <c r="L55" s="147"/>
      <c r="M55" s="266"/>
      <c r="N55" s="146"/>
      <c r="O55" s="134"/>
      <c r="P55" s="60"/>
      <c r="Q55" s="454"/>
      <c r="R55" s="300"/>
      <c r="S55" s="331"/>
      <c r="T55" s="325"/>
      <c r="U55" s="151"/>
      <c r="V55" s="146"/>
      <c r="W55" s="386"/>
      <c r="X55" s="73"/>
      <c r="Y55" s="80"/>
      <c r="Z55" s="79"/>
    </row>
    <row r="56" spans="1:31" ht="14.25" customHeight="1" thickBot="1" x14ac:dyDescent="0.25">
      <c r="A56" s="379"/>
      <c r="B56" s="380"/>
      <c r="C56" s="44"/>
      <c r="D56" s="2196"/>
      <c r="E56" s="2201"/>
      <c r="F56" s="2048"/>
      <c r="G56" s="2203"/>
      <c r="H56" s="328" t="s">
        <v>16</v>
      </c>
      <c r="I56" s="336" t="e">
        <f>J56+L56</f>
        <v>#REF!</v>
      </c>
      <c r="J56" s="342" t="e">
        <f>SUM(#REF!)</f>
        <v>#REF!</v>
      </c>
      <c r="K56" s="336"/>
      <c r="L56" s="337"/>
      <c r="M56" s="343"/>
      <c r="N56" s="336"/>
      <c r="O56" s="342"/>
      <c r="P56" s="344"/>
      <c r="Q56" s="339">
        <f>R56+T56</f>
        <v>68.900000000000006</v>
      </c>
      <c r="R56" s="342">
        <f>SUM(R52:R55)</f>
        <v>68.900000000000006</v>
      </c>
      <c r="S56" s="336"/>
      <c r="T56" s="337"/>
      <c r="U56" s="340">
        <f>SUM(U52:U55)</f>
        <v>110.3</v>
      </c>
      <c r="V56" s="336"/>
      <c r="W56" s="85"/>
      <c r="X56" s="176"/>
      <c r="Y56" s="86"/>
      <c r="Z56" s="87"/>
    </row>
    <row r="57" spans="1:31" ht="14.25" customHeight="1" thickBot="1" x14ac:dyDescent="0.25">
      <c r="A57" s="455" t="s">
        <v>9</v>
      </c>
      <c r="B57" s="456" t="s">
        <v>10</v>
      </c>
      <c r="C57" s="2192" t="s">
        <v>15</v>
      </c>
      <c r="D57" s="2193"/>
      <c r="E57" s="2193"/>
      <c r="F57" s="2193"/>
      <c r="G57" s="2193"/>
      <c r="H57" s="2194"/>
      <c r="I57" s="20" t="e">
        <f>#REF!+#REF!+I45</f>
        <v>#REF!</v>
      </c>
      <c r="J57" s="15" t="e">
        <f>#REF!+#REF!+J45</f>
        <v>#REF!</v>
      </c>
      <c r="K57" s="17" t="e">
        <f>#REF!+#REF!+K45</f>
        <v>#REF!</v>
      </c>
      <c r="L57" s="292" t="e">
        <f>#REF!+#REF!+L45</f>
        <v>#REF!</v>
      </c>
      <c r="M57" s="159" t="e">
        <f>#REF!+#REF!+M45</f>
        <v>#REF!</v>
      </c>
      <c r="N57" s="17" t="e">
        <f>#REF!+#REF!+N45</f>
        <v>#REF!</v>
      </c>
      <c r="O57" s="15" t="e">
        <f>#REF!+#REF!+O45</f>
        <v>#REF!</v>
      </c>
      <c r="P57" s="293" t="e">
        <f>#REF!+#REF!+P45</f>
        <v>#REF!</v>
      </c>
      <c r="Q57" s="163">
        <f>R57+T57</f>
        <v>9664.5</v>
      </c>
      <c r="R57" s="168">
        <f>R56+R51+R45</f>
        <v>9646</v>
      </c>
      <c r="S57" s="163">
        <f>S56+S51+S45</f>
        <v>4869.0999999999995</v>
      </c>
      <c r="T57" s="167">
        <f>T56+T51+T45</f>
        <v>18.5</v>
      </c>
      <c r="U57" s="449">
        <f>U56+U51+U45</f>
        <v>9788.6</v>
      </c>
      <c r="V57" s="163">
        <f>V56+V51+V45</f>
        <v>10422.800000000001</v>
      </c>
      <c r="W57" s="2197"/>
      <c r="X57" s="2198"/>
      <c r="Y57" s="2198"/>
      <c r="Z57" s="2199"/>
    </row>
    <row r="58" spans="1:31" ht="14.25" customHeight="1" thickBot="1" x14ac:dyDescent="0.25">
      <c r="A58" s="18" t="s">
        <v>9</v>
      </c>
      <c r="B58" s="154" t="s">
        <v>11</v>
      </c>
      <c r="C58" s="2139" t="s">
        <v>153</v>
      </c>
      <c r="D58" s="2140"/>
      <c r="E58" s="2140"/>
      <c r="F58" s="2140"/>
      <c r="G58" s="2140"/>
      <c r="H58" s="2140"/>
      <c r="I58" s="2140"/>
      <c r="J58" s="2140"/>
      <c r="K58" s="2140"/>
      <c r="L58" s="2140"/>
      <c r="M58" s="2140"/>
      <c r="N58" s="2140"/>
      <c r="O58" s="2140"/>
      <c r="P58" s="2140"/>
      <c r="Q58" s="2140"/>
      <c r="R58" s="2140"/>
      <c r="S58" s="2140"/>
      <c r="T58" s="2140"/>
      <c r="U58" s="2140"/>
      <c r="V58" s="2140"/>
      <c r="W58" s="2140"/>
      <c r="X58" s="2140"/>
      <c r="Y58" s="2140"/>
      <c r="Z58" s="2141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457" t="s">
        <v>142</v>
      </c>
      <c r="E59" s="389"/>
      <c r="F59" s="390" t="s">
        <v>14</v>
      </c>
      <c r="G59" s="392">
        <v>2</v>
      </c>
      <c r="H59" s="104" t="s">
        <v>12</v>
      </c>
      <c r="I59" s="131"/>
      <c r="J59" s="132"/>
      <c r="K59" s="132"/>
      <c r="L59" s="139"/>
      <c r="M59" s="463"/>
      <c r="N59" s="158"/>
      <c r="O59" s="57"/>
      <c r="P59" s="90"/>
      <c r="Q59" s="301">
        <f>R59+T59</f>
        <v>10</v>
      </c>
      <c r="R59" s="341">
        <v>10</v>
      </c>
      <c r="S59" s="302"/>
      <c r="T59" s="341"/>
      <c r="U59" s="62">
        <v>23</v>
      </c>
      <c r="V59" s="62">
        <v>23</v>
      </c>
      <c r="W59" s="225"/>
      <c r="X59" s="106"/>
      <c r="Y59" s="107"/>
      <c r="Z59" s="108"/>
    </row>
    <row r="60" spans="1:31" ht="39.75" customHeight="1" thickBot="1" x14ac:dyDescent="0.25">
      <c r="A60" s="24"/>
      <c r="B60" s="14"/>
      <c r="C60" s="260"/>
      <c r="D60" s="500" t="s">
        <v>140</v>
      </c>
      <c r="E60" s="382" t="s">
        <v>83</v>
      </c>
      <c r="F60" s="394"/>
      <c r="G60" s="499"/>
      <c r="H60" s="501"/>
      <c r="I60" s="267"/>
      <c r="J60" s="268"/>
      <c r="K60" s="268"/>
      <c r="L60" s="502"/>
      <c r="M60" s="503"/>
      <c r="N60" s="504"/>
      <c r="O60" s="505"/>
      <c r="P60" s="506"/>
      <c r="Q60" s="507"/>
      <c r="R60" s="508"/>
      <c r="S60" s="509"/>
      <c r="T60" s="508"/>
      <c r="U60" s="510"/>
      <c r="V60" s="510"/>
      <c r="W60" s="511" t="s">
        <v>157</v>
      </c>
      <c r="X60" s="231">
        <v>1</v>
      </c>
      <c r="Y60" s="222">
        <v>1</v>
      </c>
      <c r="Z60" s="223">
        <v>1</v>
      </c>
    </row>
    <row r="61" spans="1:31" ht="39.75" customHeight="1" x14ac:dyDescent="0.2">
      <c r="A61" s="379"/>
      <c r="B61" s="380"/>
      <c r="C61" s="19"/>
      <c r="D61" s="388" t="s">
        <v>141</v>
      </c>
      <c r="E61" s="383" t="s">
        <v>87</v>
      </c>
      <c r="F61" s="391"/>
      <c r="G61" s="498"/>
      <c r="H61" s="448"/>
      <c r="I61" s="133"/>
      <c r="J61" s="134"/>
      <c r="K61" s="134"/>
      <c r="L61" s="147"/>
      <c r="M61" s="464"/>
      <c r="N61" s="465"/>
      <c r="O61" s="466"/>
      <c r="P61" s="467"/>
      <c r="Q61" s="468"/>
      <c r="R61" s="469"/>
      <c r="S61" s="470"/>
      <c r="T61" s="469"/>
      <c r="U61" s="471"/>
      <c r="V61" s="471"/>
      <c r="W61" s="387" t="s">
        <v>79</v>
      </c>
      <c r="X61" s="264"/>
      <c r="Y61" s="220">
        <v>1</v>
      </c>
      <c r="Z61" s="221">
        <v>1</v>
      </c>
      <c r="AA61" s="112"/>
    </row>
    <row r="62" spans="1:31" ht="24.75" customHeight="1" x14ac:dyDescent="0.2">
      <c r="A62" s="379"/>
      <c r="B62" s="380"/>
      <c r="C62" s="19"/>
      <c r="D62" s="2077" t="s">
        <v>82</v>
      </c>
      <c r="E62" s="2068" t="s">
        <v>84</v>
      </c>
      <c r="F62" s="391"/>
      <c r="G62" s="393"/>
      <c r="H62" s="114"/>
      <c r="I62" s="180"/>
      <c r="J62" s="143"/>
      <c r="K62" s="180"/>
      <c r="L62" s="144"/>
      <c r="M62" s="464"/>
      <c r="N62" s="465"/>
      <c r="O62" s="466"/>
      <c r="P62" s="467"/>
      <c r="Q62" s="468"/>
      <c r="R62" s="469"/>
      <c r="S62" s="470"/>
      <c r="T62" s="469"/>
      <c r="U62" s="471"/>
      <c r="V62" s="471"/>
      <c r="W62" s="400" t="s">
        <v>139</v>
      </c>
      <c r="X62" s="226"/>
      <c r="Y62" s="227">
        <v>1</v>
      </c>
      <c r="Z62" s="228">
        <v>1</v>
      </c>
    </row>
    <row r="63" spans="1:31" ht="18" customHeight="1" thickBot="1" x14ac:dyDescent="0.25">
      <c r="A63" s="24"/>
      <c r="B63" s="14"/>
      <c r="C63" s="45"/>
      <c r="D63" s="2078"/>
      <c r="E63" s="2069"/>
      <c r="F63" s="394"/>
      <c r="G63" s="406"/>
      <c r="H63" s="320" t="s">
        <v>16</v>
      </c>
      <c r="I63" s="310"/>
      <c r="J63" s="376"/>
      <c r="K63" s="310"/>
      <c r="L63" s="311"/>
      <c r="M63" s="357">
        <f>SUM(M60:M62)</f>
        <v>0</v>
      </c>
      <c r="N63" s="347">
        <f t="shared" ref="N63" si="6">SUM(N60:N62)</f>
        <v>0</v>
      </c>
      <c r="O63" s="346"/>
      <c r="P63" s="358"/>
      <c r="Q63" s="345">
        <f>R63+T63</f>
        <v>10</v>
      </c>
      <c r="R63" s="346">
        <f>SUM(R59:R62)</f>
        <v>10</v>
      </c>
      <c r="S63" s="347">
        <f t="shared" ref="S63:T63" si="7">SUM(S60:S62)</f>
        <v>0</v>
      </c>
      <c r="T63" s="346">
        <f t="shared" si="7"/>
        <v>0</v>
      </c>
      <c r="U63" s="357">
        <f>SUM(U59:U62)</f>
        <v>23</v>
      </c>
      <c r="V63" s="359">
        <f>SUM(V59:V62)</f>
        <v>23</v>
      </c>
      <c r="W63" s="472" t="s">
        <v>162</v>
      </c>
      <c r="X63" s="231">
        <v>2</v>
      </c>
      <c r="Y63" s="222">
        <v>4</v>
      </c>
      <c r="Z63" s="223">
        <v>6</v>
      </c>
    </row>
    <row r="64" spans="1:31" ht="39.75" customHeight="1" x14ac:dyDescent="0.2">
      <c r="A64" s="379" t="s">
        <v>9</v>
      </c>
      <c r="B64" s="380" t="s">
        <v>11</v>
      </c>
      <c r="C64" s="19" t="s">
        <v>10</v>
      </c>
      <c r="D64" s="457" t="s">
        <v>143</v>
      </c>
      <c r="E64" s="158"/>
      <c r="F64" s="2151" t="s">
        <v>14</v>
      </c>
      <c r="G64" s="2148">
        <v>2</v>
      </c>
      <c r="H64" s="104" t="s">
        <v>12</v>
      </c>
      <c r="I64" s="131"/>
      <c r="J64" s="132"/>
      <c r="K64" s="132"/>
      <c r="L64" s="139"/>
      <c r="M64" s="473"/>
      <c r="N64" s="193"/>
      <c r="O64" s="194"/>
      <c r="P64" s="195"/>
      <c r="Q64" s="348"/>
      <c r="R64" s="349"/>
      <c r="S64" s="350"/>
      <c r="T64" s="349"/>
      <c r="U64" s="196">
        <v>90</v>
      </c>
      <c r="V64" s="196">
        <v>100</v>
      </c>
      <c r="W64" s="105"/>
      <c r="X64" s="106"/>
      <c r="Y64" s="107"/>
      <c r="Z64" s="108"/>
      <c r="AC64" s="112"/>
      <c r="AD64" s="112"/>
      <c r="AE64" s="112"/>
    </row>
    <row r="65" spans="1:31" ht="54.75" customHeight="1" x14ac:dyDescent="0.2">
      <c r="A65" s="25"/>
      <c r="B65" s="28"/>
      <c r="C65" s="19"/>
      <c r="D65" s="388" t="s">
        <v>144</v>
      </c>
      <c r="E65" s="458" t="s">
        <v>109</v>
      </c>
      <c r="F65" s="2152"/>
      <c r="G65" s="2149"/>
      <c r="H65" s="478"/>
      <c r="I65" s="465"/>
      <c r="J65" s="465"/>
      <c r="K65" s="465"/>
      <c r="L65" s="479"/>
      <c r="M65" s="480"/>
      <c r="N65" s="465"/>
      <c r="O65" s="465"/>
      <c r="P65" s="467"/>
      <c r="Q65" s="468"/>
      <c r="R65" s="470"/>
      <c r="S65" s="470"/>
      <c r="T65" s="481"/>
      <c r="U65" s="471"/>
      <c r="V65" s="482"/>
      <c r="W65" s="84" t="s">
        <v>149</v>
      </c>
      <c r="X65" s="226"/>
      <c r="Y65" s="227">
        <v>2</v>
      </c>
      <c r="Z65" s="228">
        <v>4</v>
      </c>
      <c r="AA65" s="187"/>
      <c r="AB65" s="112"/>
    </row>
    <row r="66" spans="1:31" ht="16.5" customHeight="1" x14ac:dyDescent="0.2">
      <c r="A66" s="379"/>
      <c r="B66" s="380"/>
      <c r="C66" s="19"/>
      <c r="D66" s="2077" t="s">
        <v>90</v>
      </c>
      <c r="E66" s="2066" t="s">
        <v>91</v>
      </c>
      <c r="F66" s="2152"/>
      <c r="G66" s="2149"/>
      <c r="H66" s="474"/>
      <c r="I66" s="475"/>
      <c r="J66" s="476"/>
      <c r="K66" s="476"/>
      <c r="L66" s="477"/>
      <c r="M66" s="274"/>
      <c r="N66" s="275"/>
      <c r="O66" s="276"/>
      <c r="P66" s="277"/>
      <c r="Q66" s="459"/>
      <c r="R66" s="460"/>
      <c r="S66" s="461"/>
      <c r="T66" s="460"/>
      <c r="U66" s="462"/>
      <c r="V66" s="462"/>
      <c r="W66" s="2065" t="s">
        <v>93</v>
      </c>
      <c r="X66" s="483">
        <v>0</v>
      </c>
      <c r="Y66" s="227">
        <v>1</v>
      </c>
      <c r="Z66" s="228">
        <v>0</v>
      </c>
      <c r="AA66" s="187"/>
      <c r="AD66" s="112"/>
    </row>
    <row r="67" spans="1:31" ht="15" customHeight="1" thickBot="1" x14ac:dyDescent="0.25">
      <c r="A67" s="379"/>
      <c r="B67" s="380"/>
      <c r="C67" s="44"/>
      <c r="D67" s="2077"/>
      <c r="E67" s="2066"/>
      <c r="F67" s="2153"/>
      <c r="G67" s="2150"/>
      <c r="H67" s="360" t="s">
        <v>16</v>
      </c>
      <c r="I67" s="352"/>
      <c r="J67" s="353"/>
      <c r="K67" s="352"/>
      <c r="L67" s="361"/>
      <c r="M67" s="362"/>
      <c r="N67" s="353"/>
      <c r="O67" s="352"/>
      <c r="P67" s="363"/>
      <c r="Q67" s="351"/>
      <c r="R67" s="352"/>
      <c r="S67" s="353"/>
      <c r="T67" s="352"/>
      <c r="U67" s="364">
        <f>SUM(U64:U66)</f>
        <v>90</v>
      </c>
      <c r="V67" s="364">
        <f>SUM(V64:V66)</f>
        <v>100</v>
      </c>
      <c r="W67" s="2065"/>
      <c r="X67" s="226"/>
      <c r="Y67" s="227"/>
      <c r="Z67" s="228"/>
      <c r="AA67" s="187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457" t="s">
        <v>96</v>
      </c>
      <c r="E68" s="2067" t="s">
        <v>100</v>
      </c>
      <c r="F68" s="2047" t="s">
        <v>14</v>
      </c>
      <c r="G68" s="2050" t="s">
        <v>35</v>
      </c>
      <c r="H68" s="104" t="s">
        <v>12</v>
      </c>
      <c r="I68" s="57"/>
      <c r="J68" s="132"/>
      <c r="K68" s="57"/>
      <c r="L68" s="139"/>
      <c r="M68" s="484">
        <f>N68+P68</f>
        <v>5</v>
      </c>
      <c r="N68" s="298">
        <v>5</v>
      </c>
      <c r="O68" s="158"/>
      <c r="P68" s="485"/>
      <c r="Q68" s="301">
        <f>R68+T68</f>
        <v>5</v>
      </c>
      <c r="R68" s="341">
        <v>5</v>
      </c>
      <c r="S68" s="302"/>
      <c r="T68" s="341"/>
      <c r="U68" s="63">
        <v>5</v>
      </c>
      <c r="V68" s="63">
        <v>15</v>
      </c>
      <c r="W68" s="411"/>
      <c r="X68" s="229"/>
      <c r="Y68" s="211"/>
      <c r="Z68" s="230"/>
      <c r="AE68" s="112"/>
    </row>
    <row r="69" spans="1:31" ht="16.5" customHeight="1" x14ac:dyDescent="0.2">
      <c r="A69" s="379"/>
      <c r="B69" s="380"/>
      <c r="C69" s="19"/>
      <c r="D69" s="384" t="s">
        <v>98</v>
      </c>
      <c r="E69" s="2068"/>
      <c r="F69" s="2048"/>
      <c r="G69" s="2051"/>
      <c r="H69" s="91"/>
      <c r="I69" s="146"/>
      <c r="J69" s="134"/>
      <c r="K69" s="146"/>
      <c r="L69" s="147"/>
      <c r="M69" s="435"/>
      <c r="N69" s="186"/>
      <c r="O69" s="157"/>
      <c r="P69" s="486"/>
      <c r="Q69" s="324"/>
      <c r="R69" s="331"/>
      <c r="S69" s="300"/>
      <c r="T69" s="331"/>
      <c r="U69" s="65"/>
      <c r="V69" s="65"/>
      <c r="W69" s="491" t="s">
        <v>107</v>
      </c>
      <c r="X69" s="487">
        <v>1</v>
      </c>
      <c r="Y69" s="488">
        <v>1</v>
      </c>
      <c r="Z69" s="489">
        <v>1</v>
      </c>
    </row>
    <row r="70" spans="1:31" ht="15.75" customHeight="1" x14ac:dyDescent="0.2">
      <c r="A70" s="379"/>
      <c r="B70" s="380"/>
      <c r="C70" s="19"/>
      <c r="D70" s="2135" t="s">
        <v>97</v>
      </c>
      <c r="E70" s="2068"/>
      <c r="F70" s="2048"/>
      <c r="G70" s="2051"/>
      <c r="H70" s="114"/>
      <c r="I70" s="180"/>
      <c r="J70" s="143"/>
      <c r="K70" s="180"/>
      <c r="L70" s="144"/>
      <c r="M70" s="295"/>
      <c r="N70" s="296"/>
      <c r="O70" s="296"/>
      <c r="P70" s="297"/>
      <c r="Q70" s="334"/>
      <c r="R70" s="332"/>
      <c r="S70" s="335"/>
      <c r="T70" s="332"/>
      <c r="U70" s="424"/>
      <c r="V70" s="424"/>
      <c r="W70" s="2042" t="s">
        <v>99</v>
      </c>
      <c r="X70" s="490"/>
      <c r="Y70" s="488"/>
      <c r="Z70" s="489">
        <v>1</v>
      </c>
    </row>
    <row r="71" spans="1:31" ht="16.5" customHeight="1" thickBot="1" x14ac:dyDescent="0.25">
      <c r="A71" s="24"/>
      <c r="B71" s="14"/>
      <c r="C71" s="45"/>
      <c r="D71" s="2059"/>
      <c r="E71" s="2069"/>
      <c r="F71" s="2049"/>
      <c r="G71" s="2052"/>
      <c r="H71" s="320" t="s">
        <v>16</v>
      </c>
      <c r="I71" s="310"/>
      <c r="J71" s="396"/>
      <c r="K71" s="310"/>
      <c r="L71" s="311"/>
      <c r="M71" s="395">
        <f>SUM(M69:M70)</f>
        <v>0</v>
      </c>
      <c r="N71" s="396">
        <f t="shared" ref="N71" si="8">SUM(N69:N70)</f>
        <v>0</v>
      </c>
      <c r="O71" s="396"/>
      <c r="P71" s="397"/>
      <c r="Q71" s="310">
        <f>R71+T71</f>
        <v>5</v>
      </c>
      <c r="R71" s="396">
        <f>SUM(R68:R70)</f>
        <v>5</v>
      </c>
      <c r="S71" s="396"/>
      <c r="T71" s="310"/>
      <c r="U71" s="365">
        <f>SUM(U68:U70)</f>
        <v>5</v>
      </c>
      <c r="V71" s="319">
        <f>SUM(V68:V70)</f>
        <v>15</v>
      </c>
      <c r="W71" s="2043"/>
      <c r="X71" s="231"/>
      <c r="Y71" s="222"/>
      <c r="Z71" s="223"/>
      <c r="AB71" s="112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2058" t="s">
        <v>114</v>
      </c>
      <c r="E72" s="2166" t="s">
        <v>94</v>
      </c>
      <c r="F72" s="2053" t="s">
        <v>14</v>
      </c>
      <c r="G72" s="2070" t="s">
        <v>35</v>
      </c>
      <c r="H72" s="188" t="s">
        <v>12</v>
      </c>
      <c r="I72" s="189"/>
      <c r="J72" s="190"/>
      <c r="K72" s="190"/>
      <c r="L72" s="191"/>
      <c r="M72" s="274">
        <f>N72+P72</f>
        <v>50</v>
      </c>
      <c r="N72" s="275">
        <v>50</v>
      </c>
      <c r="O72" s="276"/>
      <c r="P72" s="277"/>
      <c r="Q72" s="354">
        <f>R72+T72</f>
        <v>20.100000000000001</v>
      </c>
      <c r="R72" s="355">
        <v>20.100000000000001</v>
      </c>
      <c r="S72" s="356"/>
      <c r="T72" s="355"/>
      <c r="U72" s="232">
        <v>50</v>
      </c>
      <c r="V72" s="232">
        <v>50</v>
      </c>
      <c r="W72" s="233" t="s">
        <v>103</v>
      </c>
      <c r="X72" s="234">
        <v>4</v>
      </c>
      <c r="Y72" s="235">
        <v>10</v>
      </c>
      <c r="Z72" s="236">
        <v>10</v>
      </c>
      <c r="AA72" s="187"/>
    </row>
    <row r="73" spans="1:31" ht="17.25" customHeight="1" thickBot="1" x14ac:dyDescent="0.25">
      <c r="A73" s="24"/>
      <c r="B73" s="14"/>
      <c r="C73" s="45"/>
      <c r="D73" s="2059"/>
      <c r="E73" s="2167"/>
      <c r="F73" s="2054"/>
      <c r="G73" s="2071"/>
      <c r="H73" s="366" t="s">
        <v>16</v>
      </c>
      <c r="I73" s="346"/>
      <c r="J73" s="347"/>
      <c r="K73" s="346"/>
      <c r="L73" s="358"/>
      <c r="M73" s="357">
        <f>M72</f>
        <v>50</v>
      </c>
      <c r="N73" s="347">
        <f t="shared" ref="N73" si="9">N72</f>
        <v>50</v>
      </c>
      <c r="O73" s="346"/>
      <c r="P73" s="358"/>
      <c r="Q73" s="345">
        <f>R73+T73</f>
        <v>20.100000000000001</v>
      </c>
      <c r="R73" s="346">
        <f>SUM(R72)</f>
        <v>20.100000000000001</v>
      </c>
      <c r="S73" s="347"/>
      <c r="T73" s="346"/>
      <c r="U73" s="357">
        <f t="shared" ref="U73:V73" si="10">U72</f>
        <v>50</v>
      </c>
      <c r="V73" s="359">
        <f t="shared" si="10"/>
        <v>50</v>
      </c>
      <c r="W73" s="237"/>
      <c r="X73" s="238"/>
      <c r="Y73" s="239"/>
      <c r="Z73" s="240"/>
      <c r="AA73" s="187"/>
    </row>
    <row r="74" spans="1:31" ht="14.25" customHeight="1" thickBot="1" x14ac:dyDescent="0.25">
      <c r="A74" s="30" t="s">
        <v>9</v>
      </c>
      <c r="B74" s="33" t="s">
        <v>11</v>
      </c>
      <c r="C74" s="2044" t="s">
        <v>15</v>
      </c>
      <c r="D74" s="2045"/>
      <c r="E74" s="2045"/>
      <c r="F74" s="2045"/>
      <c r="G74" s="2045"/>
      <c r="H74" s="2046"/>
      <c r="I74" s="159">
        <f>I73+I67+I63</f>
        <v>0</v>
      </c>
      <c r="J74" s="163">
        <f>J73+J67+J63</f>
        <v>0</v>
      </c>
      <c r="K74" s="15">
        <f>K73+K67+K63</f>
        <v>0</v>
      </c>
      <c r="L74" s="163">
        <f>L73+L67+L63</f>
        <v>0</v>
      </c>
      <c r="M74" s="160">
        <f t="shared" ref="M74:O74" si="11">M73+M67+M63+M71</f>
        <v>50</v>
      </c>
      <c r="N74" s="168">
        <f>N73+N67+N63+N71</f>
        <v>50</v>
      </c>
      <c r="O74" s="163">
        <f t="shared" si="11"/>
        <v>0</v>
      </c>
      <c r="P74" s="167">
        <f>P73+P67+P63+P71</f>
        <v>0</v>
      </c>
      <c r="Q74" s="169">
        <f t="shared" ref="Q74" si="12">Q73+Q67+Q63+Q71</f>
        <v>35.1</v>
      </c>
      <c r="R74" s="163">
        <f>R73+R67+R63+R71</f>
        <v>35.1</v>
      </c>
      <c r="S74" s="168"/>
      <c r="T74" s="163"/>
      <c r="U74" s="160">
        <f>U73+U67+U63+U71</f>
        <v>168</v>
      </c>
      <c r="V74" s="160">
        <f>V73+V67+V63+V71</f>
        <v>188</v>
      </c>
      <c r="W74" s="2062"/>
      <c r="X74" s="2063"/>
      <c r="Y74" s="2063"/>
      <c r="Z74" s="2064"/>
    </row>
    <row r="75" spans="1:31" ht="14.25" customHeight="1" thickBot="1" x14ac:dyDescent="0.25">
      <c r="A75" s="13" t="s">
        <v>9</v>
      </c>
      <c r="B75" s="2168" t="s">
        <v>17</v>
      </c>
      <c r="C75" s="2168"/>
      <c r="D75" s="2168"/>
      <c r="E75" s="2168"/>
      <c r="F75" s="2168"/>
      <c r="G75" s="2168"/>
      <c r="H75" s="2169"/>
      <c r="I75" s="165" t="e">
        <f>I57+I30+I74</f>
        <v>#REF!</v>
      </c>
      <c r="J75" s="164" t="e">
        <f>J57+J30+J74</f>
        <v>#REF!</v>
      </c>
      <c r="K75" s="166" t="e">
        <f>K57+K30+K74</f>
        <v>#REF!</v>
      </c>
      <c r="L75" s="164" t="e">
        <f>L57+L30+L74</f>
        <v>#REF!</v>
      </c>
      <c r="M75" s="129" t="e">
        <f>M74+M57+M30</f>
        <v>#REF!</v>
      </c>
      <c r="N75" s="129" t="e">
        <f>N74+N57+N30</f>
        <v>#REF!</v>
      </c>
      <c r="O75" s="129" t="e">
        <f>O74+O57+O30</f>
        <v>#REF!</v>
      </c>
      <c r="P75" s="129" t="e">
        <f>P74+P57+P30</f>
        <v>#REF!</v>
      </c>
      <c r="Q75" s="165">
        <f t="shared" ref="Q75:V75" si="13">Q57+Q30+Q74</f>
        <v>11053.4</v>
      </c>
      <c r="R75" s="164">
        <f t="shared" si="13"/>
        <v>11034.9</v>
      </c>
      <c r="S75" s="166">
        <f t="shared" si="13"/>
        <v>4869.0999999999995</v>
      </c>
      <c r="T75" s="164">
        <f t="shared" si="13"/>
        <v>18.5</v>
      </c>
      <c r="U75" s="129">
        <f t="shared" si="13"/>
        <v>11712.4</v>
      </c>
      <c r="V75" s="129">
        <f t="shared" si="13"/>
        <v>12492.2</v>
      </c>
      <c r="W75" s="2142"/>
      <c r="X75" s="2143"/>
      <c r="Y75" s="2143"/>
      <c r="Z75" s="2144"/>
    </row>
    <row r="76" spans="1:31" ht="14.25" customHeight="1" thickBot="1" x14ac:dyDescent="0.25">
      <c r="A76" s="31" t="s">
        <v>14</v>
      </c>
      <c r="B76" s="2173" t="s">
        <v>95</v>
      </c>
      <c r="C76" s="2173"/>
      <c r="D76" s="2173"/>
      <c r="E76" s="2173"/>
      <c r="F76" s="2173"/>
      <c r="G76" s="2173"/>
      <c r="H76" s="2174"/>
      <c r="I76" s="241" t="e">
        <f>I75</f>
        <v>#REF!</v>
      </c>
      <c r="J76" s="242" t="e">
        <f>J75</f>
        <v>#REF!</v>
      </c>
      <c r="K76" s="243" t="e">
        <f>K75</f>
        <v>#REF!</v>
      </c>
      <c r="L76" s="244" t="e">
        <f>L75</f>
        <v>#REF!</v>
      </c>
      <c r="M76" s="242" t="e">
        <f t="shared" ref="M76:P76" si="14">M75</f>
        <v>#REF!</v>
      </c>
      <c r="N76" s="243" t="e">
        <f t="shared" si="14"/>
        <v>#REF!</v>
      </c>
      <c r="O76" s="245" t="e">
        <f t="shared" si="14"/>
        <v>#REF!</v>
      </c>
      <c r="P76" s="242" t="e">
        <f t="shared" si="14"/>
        <v>#REF!</v>
      </c>
      <c r="Q76" s="246">
        <f t="shared" ref="Q76:U76" si="15">Q75</f>
        <v>11053.4</v>
      </c>
      <c r="R76" s="247">
        <f t="shared" si="15"/>
        <v>11034.9</v>
      </c>
      <c r="S76" s="243">
        <f t="shared" si="15"/>
        <v>4869.0999999999995</v>
      </c>
      <c r="T76" s="244">
        <f t="shared" si="15"/>
        <v>18.5</v>
      </c>
      <c r="U76" s="248">
        <f t="shared" si="15"/>
        <v>11712.4</v>
      </c>
      <c r="V76" s="245">
        <f>V75</f>
        <v>12492.2</v>
      </c>
      <c r="W76" s="2079"/>
      <c r="X76" s="2080"/>
      <c r="Y76" s="2080"/>
      <c r="Z76" s="2081"/>
    </row>
    <row r="77" spans="1:31" ht="22.5" customHeight="1" x14ac:dyDescent="0.2">
      <c r="A77" s="2157" t="s">
        <v>21</v>
      </c>
      <c r="B77" s="2157"/>
      <c r="C77" s="2157"/>
      <c r="D77" s="2157"/>
      <c r="E77" s="2157"/>
      <c r="F77" s="2157"/>
      <c r="G77" s="2157"/>
      <c r="H77" s="2157"/>
      <c r="I77" s="2157"/>
      <c r="J77" s="2157"/>
      <c r="K77" s="2157"/>
      <c r="L77" s="2157"/>
      <c r="M77" s="2157"/>
      <c r="N77" s="2157"/>
      <c r="O77" s="2157"/>
      <c r="P77" s="2157"/>
      <c r="Q77" s="2157"/>
      <c r="R77" s="2157"/>
      <c r="S77" s="2157"/>
      <c r="T77" s="2157"/>
      <c r="U77" s="2157"/>
      <c r="V77" s="2157"/>
      <c r="W77" s="249"/>
      <c r="X77" s="249"/>
      <c r="Y77" s="249"/>
      <c r="Z77" s="249"/>
    </row>
    <row r="78" spans="1:31" ht="13.5" customHeight="1" thickBot="1" x14ac:dyDescent="0.25">
      <c r="A78" s="2"/>
      <c r="B78" s="3"/>
      <c r="C78" s="3"/>
      <c r="D78" s="3"/>
      <c r="E78" s="46"/>
      <c r="F78" s="46"/>
      <c r="G78" s="43"/>
      <c r="H78" s="10"/>
      <c r="I78" s="2072"/>
      <c r="J78" s="2072"/>
      <c r="K78" s="2072"/>
      <c r="L78" s="2072"/>
      <c r="M78" s="2072"/>
      <c r="N78" s="2072"/>
      <c r="O78" s="2072"/>
      <c r="P78" s="2072"/>
      <c r="Q78" s="2072"/>
      <c r="R78" s="2072"/>
      <c r="S78" s="2072"/>
      <c r="T78" s="2072"/>
      <c r="U78" s="283"/>
      <c r="V78" s="283"/>
      <c r="W78" s="2162"/>
      <c r="X78" s="2162"/>
      <c r="Y78" s="2162"/>
      <c r="Z78" s="2162"/>
    </row>
    <row r="79" spans="1:31" ht="30.75" customHeight="1" x14ac:dyDescent="0.2">
      <c r="A79" s="2181" t="s">
        <v>19</v>
      </c>
      <c r="B79" s="2182"/>
      <c r="C79" s="2182"/>
      <c r="D79" s="2182"/>
      <c r="E79" s="2182"/>
      <c r="F79" s="2182"/>
      <c r="G79" s="2182"/>
      <c r="H79" s="2183"/>
      <c r="I79" s="2154" t="s">
        <v>101</v>
      </c>
      <c r="J79" s="2155"/>
      <c r="K79" s="2155"/>
      <c r="L79" s="2156"/>
      <c r="M79" s="2154" t="s">
        <v>72</v>
      </c>
      <c r="N79" s="2155"/>
      <c r="O79" s="2155"/>
      <c r="P79" s="2156"/>
      <c r="Q79" s="2154" t="s">
        <v>102</v>
      </c>
      <c r="R79" s="2155"/>
      <c r="S79" s="2155"/>
      <c r="T79" s="2156"/>
      <c r="U79" s="563" t="s">
        <v>171</v>
      </c>
      <c r="V79" s="564" t="s">
        <v>172</v>
      </c>
      <c r="W79" s="70"/>
      <c r="X79" s="2165"/>
      <c r="Y79" s="2165"/>
      <c r="Z79" s="2165"/>
    </row>
    <row r="80" spans="1:31" x14ac:dyDescent="0.2">
      <c r="A80" s="2055" t="s">
        <v>32</v>
      </c>
      <c r="B80" s="2056"/>
      <c r="C80" s="2056"/>
      <c r="D80" s="2056"/>
      <c r="E80" s="2056"/>
      <c r="F80" s="2056"/>
      <c r="G80" s="2056"/>
      <c r="H80" s="2057"/>
      <c r="I80" s="2158">
        <f>SUM(I81:L83)</f>
        <v>386</v>
      </c>
      <c r="J80" s="2159"/>
      <c r="K80" s="2159"/>
      <c r="L80" s="2160"/>
      <c r="M80" s="2158">
        <f>SUM(M81:P83)</f>
        <v>459</v>
      </c>
      <c r="N80" s="2159"/>
      <c r="O80" s="2159"/>
      <c r="P80" s="2160"/>
      <c r="Q80" s="2158">
        <f>SUM(Q81:T83)</f>
        <v>10405.699999999999</v>
      </c>
      <c r="R80" s="2159"/>
      <c r="S80" s="2159"/>
      <c r="T80" s="2160"/>
      <c r="U80" s="53">
        <f>SUM(U81:U83)</f>
        <v>11545.8</v>
      </c>
      <c r="V80" s="54">
        <f ca="1">SUM(V81:V83)</f>
        <v>12301.2</v>
      </c>
      <c r="W80" s="71"/>
      <c r="X80" s="2163"/>
      <c r="Y80" s="2163"/>
      <c r="Z80" s="2163"/>
    </row>
    <row r="81" spans="1:26" x14ac:dyDescent="0.2">
      <c r="A81" s="2132" t="s">
        <v>22</v>
      </c>
      <c r="B81" s="2133"/>
      <c r="C81" s="2133"/>
      <c r="D81" s="2133"/>
      <c r="E81" s="2133"/>
      <c r="F81" s="2133"/>
      <c r="G81" s="2133"/>
      <c r="H81" s="2134"/>
      <c r="I81" s="2129">
        <f>SUMIF(H13:H72,H13,I13:I72)</f>
        <v>0</v>
      </c>
      <c r="J81" s="2130"/>
      <c r="K81" s="2130"/>
      <c r="L81" s="2131"/>
      <c r="M81" s="2129">
        <f>SUMIF(H13:H72,H13,M13:M72)</f>
        <v>0</v>
      </c>
      <c r="N81" s="2130"/>
      <c r="O81" s="2130"/>
      <c r="P81" s="2131"/>
      <c r="Q81" s="2129">
        <f>SUMIF(H12:H72,"sb",Q12:Q72)</f>
        <v>8792.2999999999993</v>
      </c>
      <c r="R81" s="2130"/>
      <c r="S81" s="2130"/>
      <c r="T81" s="2131"/>
      <c r="U81" s="289">
        <f>SUMIF(H12:H72,"sb",U12:U72)</f>
        <v>9944.2999999999993</v>
      </c>
      <c r="V81" s="67">
        <f ca="1">SUMIF(H12:P72,"SB",V12:V72)</f>
        <v>10699.7</v>
      </c>
      <c r="W81" s="145"/>
      <c r="X81" s="2164"/>
      <c r="Y81" s="2164"/>
      <c r="Z81" s="2164"/>
    </row>
    <row r="82" spans="1:26" x14ac:dyDescent="0.2">
      <c r="A82" s="2175" t="s">
        <v>112</v>
      </c>
      <c r="B82" s="2176"/>
      <c r="C82" s="2176"/>
      <c r="D82" s="2176"/>
      <c r="E82" s="2176"/>
      <c r="F82" s="2176"/>
      <c r="G82" s="2176"/>
      <c r="H82" s="2177"/>
      <c r="I82" s="2136">
        <f>SUMIF(H13:H72,"sb(vr)",I13:I72)</f>
        <v>386</v>
      </c>
      <c r="J82" s="2137"/>
      <c r="K82" s="2137"/>
      <c r="L82" s="2138"/>
      <c r="M82" s="2136">
        <f>SUMIF(H13:H72,"sb(vr)",M13:M72)</f>
        <v>459</v>
      </c>
      <c r="N82" s="2137"/>
      <c r="O82" s="2137"/>
      <c r="P82" s="2138"/>
      <c r="Q82" s="2136">
        <f>SUMIF(H13:H72,"sb(vr)",Q13:Q72)</f>
        <v>459</v>
      </c>
      <c r="R82" s="2137"/>
      <c r="S82" s="2137"/>
      <c r="T82" s="2138"/>
      <c r="U82" s="289">
        <f>SUMIF(H12:H72,"sb(vr)",U12:U72)</f>
        <v>459</v>
      </c>
      <c r="V82" s="67">
        <f>SUMIF(H13:H72,"sb(vr)",V13:V72)</f>
        <v>459</v>
      </c>
      <c r="W82" s="145"/>
      <c r="X82" s="281"/>
      <c r="Y82" s="281"/>
      <c r="Z82" s="281"/>
    </row>
    <row r="83" spans="1:26" ht="17.25" customHeight="1" x14ac:dyDescent="0.2">
      <c r="A83" s="2178" t="s">
        <v>31</v>
      </c>
      <c r="B83" s="2179"/>
      <c r="C83" s="2179"/>
      <c r="D83" s="2179"/>
      <c r="E83" s="2179"/>
      <c r="F83" s="2179"/>
      <c r="G83" s="2179"/>
      <c r="H83" s="2180"/>
      <c r="I83" s="2145">
        <f>SUMIF(H13:H72,#REF!,I13:I72)</f>
        <v>0</v>
      </c>
      <c r="J83" s="2146"/>
      <c r="K83" s="2146"/>
      <c r="L83" s="2147"/>
      <c r="M83" s="2145">
        <f>SUMIF(H13:H72,#REF!,M13:M72)</f>
        <v>0</v>
      </c>
      <c r="N83" s="2146"/>
      <c r="O83" s="2146"/>
      <c r="P83" s="2147"/>
      <c r="Q83" s="2145">
        <f>SUMIF(H13:H72,"sb(sp)",Q13:Q72)</f>
        <v>1154.4000000000001</v>
      </c>
      <c r="R83" s="2146"/>
      <c r="S83" s="2146"/>
      <c r="T83" s="2147"/>
      <c r="U83" s="282">
        <f>SUMIF(H13:H72,"sb(sp)",U13:U72)</f>
        <v>1142.5</v>
      </c>
      <c r="V83" s="68">
        <f>SUMIF(H13:H72,"sb(sp)",V13:V72)</f>
        <v>1142.5</v>
      </c>
      <c r="W83" s="145"/>
      <c r="X83" s="2164"/>
      <c r="Y83" s="2164"/>
      <c r="Z83" s="2164"/>
    </row>
    <row r="84" spans="1:26" ht="13.5" customHeight="1" x14ac:dyDescent="0.2">
      <c r="A84" s="2055" t="s">
        <v>33</v>
      </c>
      <c r="B84" s="2056"/>
      <c r="C84" s="2056"/>
      <c r="D84" s="2056"/>
      <c r="E84" s="2056"/>
      <c r="F84" s="2056"/>
      <c r="G84" s="2056"/>
      <c r="H84" s="2057"/>
      <c r="I84" s="2170">
        <f>SUM(I85:L86)</f>
        <v>0</v>
      </c>
      <c r="J84" s="2171"/>
      <c r="K84" s="2171"/>
      <c r="L84" s="2172"/>
      <c r="M84" s="2170">
        <f>SUM(M85:P86)</f>
        <v>0</v>
      </c>
      <c r="N84" s="2171"/>
      <c r="O84" s="2171"/>
      <c r="P84" s="2172"/>
      <c r="Q84" s="2170">
        <f>SUM(Q85:T86)</f>
        <v>647.70000000000005</v>
      </c>
      <c r="R84" s="2171"/>
      <c r="S84" s="2171"/>
      <c r="T84" s="2172"/>
      <c r="U84" s="58">
        <f>SUM(U85:U86)</f>
        <v>166.6</v>
      </c>
      <c r="V84" s="69">
        <f>SUM(V85:V86)</f>
        <v>191</v>
      </c>
      <c r="W84" s="71"/>
      <c r="X84" s="2163"/>
      <c r="Y84" s="2163"/>
      <c r="Z84" s="2163"/>
    </row>
    <row r="85" spans="1:26" ht="13.5" customHeight="1" x14ac:dyDescent="0.2">
      <c r="A85" s="2132" t="s">
        <v>23</v>
      </c>
      <c r="B85" s="2133"/>
      <c r="C85" s="2133"/>
      <c r="D85" s="2133"/>
      <c r="E85" s="2133"/>
      <c r="F85" s="2133"/>
      <c r="G85" s="2133"/>
      <c r="H85" s="2134"/>
      <c r="I85" s="2129">
        <f>SUMIF(H13:H72,"es",I13:I72)</f>
        <v>0</v>
      </c>
      <c r="J85" s="2130"/>
      <c r="K85" s="2130"/>
      <c r="L85" s="2131"/>
      <c r="M85" s="2129">
        <f>SUMIF(H13:H72,#REF!,M13:M72)</f>
        <v>0</v>
      </c>
      <c r="N85" s="2130"/>
      <c r="O85" s="2130"/>
      <c r="P85" s="2131"/>
      <c r="Q85" s="2129">
        <f>SUMIF(H13:H72,"es",Q13:Q72)</f>
        <v>456.7</v>
      </c>
      <c r="R85" s="2130"/>
      <c r="S85" s="2130"/>
      <c r="T85" s="2131"/>
      <c r="U85" s="289">
        <f>SUMIF(H13:H72,H41,U13:U72)</f>
        <v>0</v>
      </c>
      <c r="V85" s="67">
        <f>SUMIF(H13:H72,"es",V13:V72)</f>
        <v>0</v>
      </c>
      <c r="W85" s="145"/>
      <c r="X85" s="2164"/>
      <c r="Y85" s="2164"/>
      <c r="Z85" s="2164"/>
    </row>
    <row r="86" spans="1:26" ht="13.5" customHeight="1" x14ac:dyDescent="0.2">
      <c r="A86" s="2132" t="s">
        <v>24</v>
      </c>
      <c r="B86" s="2133"/>
      <c r="C86" s="2133"/>
      <c r="D86" s="2133"/>
      <c r="E86" s="2133"/>
      <c r="F86" s="2133"/>
      <c r="G86" s="2133"/>
      <c r="H86" s="2134"/>
      <c r="I86" s="2129">
        <f>SUMIF(H13:H72,#REF!,I13:I72)</f>
        <v>0</v>
      </c>
      <c r="J86" s="2130"/>
      <c r="K86" s="2130"/>
      <c r="L86" s="2131"/>
      <c r="M86" s="2129">
        <f>SUMIF(H13:H72,#REF!,M13:M72)</f>
        <v>0</v>
      </c>
      <c r="N86" s="2130"/>
      <c r="O86" s="2130"/>
      <c r="P86" s="2131"/>
      <c r="Q86" s="2129">
        <f>SUMIF(H13:H72,"lrvb",Q13:Q72)</f>
        <v>191</v>
      </c>
      <c r="R86" s="2130"/>
      <c r="S86" s="2130"/>
      <c r="T86" s="2131"/>
      <c r="U86" s="289">
        <f>SUMIF(H13:H72,"lrvb",U13:U72)</f>
        <v>166.6</v>
      </c>
      <c r="V86" s="67">
        <f>SUMIF(H13:H72,"lrvb",V13:V72)</f>
        <v>191</v>
      </c>
      <c r="W86" s="145"/>
      <c r="X86" s="2164"/>
      <c r="Y86" s="2164"/>
      <c r="Z86" s="2164"/>
    </row>
    <row r="87" spans="1:26" ht="13.5" customHeight="1" thickBot="1" x14ac:dyDescent="0.25">
      <c r="A87" s="2126" t="s">
        <v>16</v>
      </c>
      <c r="B87" s="2127"/>
      <c r="C87" s="2127"/>
      <c r="D87" s="2127"/>
      <c r="E87" s="2127"/>
      <c r="F87" s="2127"/>
      <c r="G87" s="2127"/>
      <c r="H87" s="2128"/>
      <c r="I87" s="2123">
        <f>I84+I80</f>
        <v>386</v>
      </c>
      <c r="J87" s="2124"/>
      <c r="K87" s="2124"/>
      <c r="L87" s="2125"/>
      <c r="M87" s="2123">
        <f>M84+M80</f>
        <v>459</v>
      </c>
      <c r="N87" s="2124"/>
      <c r="O87" s="2124"/>
      <c r="P87" s="2125"/>
      <c r="Q87" s="2123">
        <f>Q84+Q80</f>
        <v>11053.4</v>
      </c>
      <c r="R87" s="2124"/>
      <c r="S87" s="2124"/>
      <c r="T87" s="2125"/>
      <c r="U87" s="318">
        <f>U84+U80</f>
        <v>11712.4</v>
      </c>
      <c r="V87" s="319">
        <f ca="1">V84+V80</f>
        <v>12492.2</v>
      </c>
      <c r="W87" s="71"/>
      <c r="X87" s="2163"/>
      <c r="Y87" s="2163"/>
      <c r="Z87" s="2163"/>
    </row>
    <row r="88" spans="1:26" x14ac:dyDescent="0.2">
      <c r="A88" s="47"/>
      <c r="B88" s="47"/>
      <c r="C88" s="47"/>
      <c r="D88" s="47"/>
      <c r="J88" s="130"/>
      <c r="N88" s="130"/>
      <c r="R88" s="130"/>
      <c r="U88" s="130"/>
      <c r="V88" s="130"/>
      <c r="W88" s="72"/>
      <c r="X88" s="2164"/>
      <c r="Y88" s="2164"/>
      <c r="Z88" s="2164"/>
    </row>
    <row r="89" spans="1:26" x14ac:dyDescent="0.2">
      <c r="I89" s="7"/>
      <c r="J89" s="130"/>
      <c r="M89" s="7"/>
      <c r="N89" s="130"/>
      <c r="Q89" s="130"/>
      <c r="R89" s="130"/>
      <c r="X89" s="2161"/>
      <c r="Y89" s="2161"/>
      <c r="Z89" s="2161"/>
    </row>
    <row r="90" spans="1:26" x14ac:dyDescent="0.2">
      <c r="R90" s="130"/>
      <c r="W90" s="10"/>
      <c r="X90" s="74"/>
      <c r="Y90" s="74"/>
      <c r="Z90" s="74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9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9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</sheetData>
  <mergeCells count="160">
    <mergeCell ref="D18:D19"/>
    <mergeCell ref="E18:E19"/>
    <mergeCell ref="C11:Z11"/>
    <mergeCell ref="U5:U7"/>
    <mergeCell ref="X6:Z6"/>
    <mergeCell ref="B10:Z10"/>
    <mergeCell ref="D22:D23"/>
    <mergeCell ref="W34:W36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  <mergeCell ref="Z22:Z23"/>
    <mergeCell ref="H5:H7"/>
    <mergeCell ref="J6:K6"/>
    <mergeCell ref="Q5:T5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Q6:Q7"/>
    <mergeCell ref="Q81:T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M85:P85"/>
    <mergeCell ref="E72:E73"/>
    <mergeCell ref="B75:H75"/>
    <mergeCell ref="D70:D71"/>
    <mergeCell ref="M84:P84"/>
    <mergeCell ref="I84:L84"/>
    <mergeCell ref="M83:P83"/>
    <mergeCell ref="A85:H85"/>
    <mergeCell ref="Q86:T86"/>
    <mergeCell ref="Q82:T82"/>
    <mergeCell ref="Q84:T84"/>
    <mergeCell ref="Q85:T85"/>
    <mergeCell ref="A84:H84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X89:Z89"/>
    <mergeCell ref="W78:Z78"/>
    <mergeCell ref="X84:Z84"/>
    <mergeCell ref="X86:Z86"/>
    <mergeCell ref="X79:Z79"/>
    <mergeCell ref="X80:Z80"/>
    <mergeCell ref="X87:Z87"/>
    <mergeCell ref="X88:Z88"/>
    <mergeCell ref="X85:Z85"/>
    <mergeCell ref="X81:Z81"/>
    <mergeCell ref="X83:Z83"/>
    <mergeCell ref="Q87:T87"/>
    <mergeCell ref="A87:H87"/>
    <mergeCell ref="I86:L86"/>
    <mergeCell ref="I87:L87"/>
    <mergeCell ref="A86:H86"/>
    <mergeCell ref="D40:D42"/>
    <mergeCell ref="M86:P86"/>
    <mergeCell ref="I85:L85"/>
    <mergeCell ref="E62:E63"/>
    <mergeCell ref="I82:L82"/>
    <mergeCell ref="M87:P87"/>
    <mergeCell ref="M82:P82"/>
    <mergeCell ref="M81:P81"/>
    <mergeCell ref="C58:Z58"/>
    <mergeCell ref="D66:D67"/>
    <mergeCell ref="W75:Z75"/>
    <mergeCell ref="Q83:T83"/>
    <mergeCell ref="G64:G67"/>
    <mergeCell ref="F64:F67"/>
    <mergeCell ref="M78:P78"/>
    <mergeCell ref="M79:P79"/>
    <mergeCell ref="A77:V77"/>
    <mergeCell ref="I79:L79"/>
    <mergeCell ref="I80:L80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N6:O6"/>
    <mergeCell ref="W18:W19"/>
    <mergeCell ref="A8:Z8"/>
    <mergeCell ref="V5:V7"/>
    <mergeCell ref="C5:C7"/>
    <mergeCell ref="W6:W7"/>
    <mergeCell ref="W70:W71"/>
    <mergeCell ref="C74:H74"/>
    <mergeCell ref="F68:F71"/>
    <mergeCell ref="G68:G71"/>
    <mergeCell ref="F72:F73"/>
    <mergeCell ref="A80:H80"/>
    <mergeCell ref="D72:D73"/>
    <mergeCell ref="E43:E45"/>
    <mergeCell ref="W74:Z74"/>
    <mergeCell ref="W66:W67"/>
    <mergeCell ref="E66:E67"/>
    <mergeCell ref="E68:E71"/>
    <mergeCell ref="G72:G73"/>
    <mergeCell ref="Q78:T78"/>
    <mergeCell ref="F44:F45"/>
    <mergeCell ref="G44:G45"/>
    <mergeCell ref="D62:D63"/>
    <mergeCell ref="W76:Z76"/>
    <mergeCell ref="D44:D45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4" manualBreakCount="4">
    <brk id="23" max="25" man="1"/>
    <brk id="42" max="25" man="1"/>
    <brk id="57" max="25" man="1"/>
    <brk id="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4"/>
  <sheetViews>
    <sheetView zoomScaleNormal="100" zoomScaleSheetLayoutView="80" workbookViewId="0">
      <selection activeCell="Q20" sqref="Q20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6" customWidth="1"/>
    <col min="6" max="6" width="2.7109375" style="41" customWidth="1"/>
    <col min="7" max="7" width="8.5703125" style="6" customWidth="1"/>
    <col min="8" max="8" width="10.140625" style="869" customWidth="1"/>
    <col min="9" max="9" width="9.5703125" style="961" customWidth="1"/>
    <col min="10" max="10" width="9.140625" style="961" customWidth="1"/>
    <col min="11" max="11" width="24.7109375" style="50" customWidth="1"/>
    <col min="12" max="14" width="4.5703125" style="41" customWidth="1"/>
    <col min="15" max="16384" width="9.140625" style="1"/>
  </cols>
  <sheetData>
    <row r="1" spans="1:18" s="11" customFormat="1" x14ac:dyDescent="0.2">
      <c r="A1" s="2084" t="s">
        <v>259</v>
      </c>
      <c r="B1" s="2084"/>
      <c r="C1" s="2084"/>
      <c r="D1" s="2084"/>
      <c r="E1" s="2084"/>
      <c r="F1" s="2084"/>
      <c r="G1" s="2084"/>
      <c r="H1" s="2084"/>
      <c r="I1" s="2084"/>
      <c r="J1" s="2084"/>
      <c r="K1" s="2084"/>
      <c r="L1" s="2084"/>
      <c r="M1" s="2084"/>
      <c r="N1" s="2084"/>
    </row>
    <row r="2" spans="1:18" s="11" customFormat="1" x14ac:dyDescent="0.2">
      <c r="A2" s="2096" t="s">
        <v>68</v>
      </c>
      <c r="B2" s="2097"/>
      <c r="C2" s="2097"/>
      <c r="D2" s="2097"/>
      <c r="E2" s="2097"/>
      <c r="F2" s="2097"/>
      <c r="G2" s="2097"/>
      <c r="H2" s="2097"/>
      <c r="I2" s="2097"/>
      <c r="J2" s="2097"/>
      <c r="K2" s="2097"/>
      <c r="L2" s="2097"/>
      <c r="M2" s="2097"/>
      <c r="N2" s="2097"/>
    </row>
    <row r="3" spans="1:18" s="11" customFormat="1" x14ac:dyDescent="0.2">
      <c r="A3" s="2084" t="s">
        <v>166</v>
      </c>
      <c r="B3" s="2104"/>
      <c r="C3" s="2104"/>
      <c r="D3" s="2104"/>
      <c r="E3" s="2104"/>
      <c r="F3" s="2104"/>
      <c r="G3" s="2104"/>
      <c r="H3" s="2104"/>
      <c r="I3" s="2104"/>
      <c r="J3" s="2104"/>
      <c r="K3" s="2104"/>
      <c r="L3" s="2104"/>
      <c r="M3" s="2104"/>
      <c r="N3" s="2104"/>
    </row>
    <row r="4" spans="1:18" s="11" customFormat="1" ht="13.5" thickBot="1" x14ac:dyDescent="0.25">
      <c r="A4" s="8"/>
      <c r="B4" s="8"/>
      <c r="C4" s="8"/>
      <c r="D4" s="8"/>
      <c r="E4" s="668"/>
      <c r="F4" s="42"/>
      <c r="G4" s="6"/>
      <c r="H4" s="869"/>
      <c r="I4" s="870"/>
      <c r="J4" s="870"/>
      <c r="K4" s="48"/>
      <c r="L4" s="42"/>
      <c r="M4" s="2318" t="s">
        <v>218</v>
      </c>
      <c r="N4" s="2318"/>
    </row>
    <row r="5" spans="1:18" s="11" customFormat="1" ht="13.5" customHeight="1" thickBot="1" x14ac:dyDescent="0.25">
      <c r="A5" s="2098" t="s">
        <v>1</v>
      </c>
      <c r="B5" s="2101" t="s">
        <v>2</v>
      </c>
      <c r="C5" s="2101" t="s">
        <v>3</v>
      </c>
      <c r="D5" s="2218" t="s">
        <v>25</v>
      </c>
      <c r="E5" s="2105" t="s">
        <v>4</v>
      </c>
      <c r="F5" s="2108" t="s">
        <v>5</v>
      </c>
      <c r="G5" s="2118" t="s">
        <v>6</v>
      </c>
      <c r="H5" s="2268" t="s">
        <v>174</v>
      </c>
      <c r="I5" s="2268" t="s">
        <v>74</v>
      </c>
      <c r="J5" s="2268" t="s">
        <v>175</v>
      </c>
      <c r="K5" s="2226" t="s">
        <v>167</v>
      </c>
      <c r="L5" s="2227"/>
      <c r="M5" s="2227"/>
      <c r="N5" s="2228"/>
    </row>
    <row r="6" spans="1:18" s="11" customFormat="1" ht="12.75" customHeight="1" x14ac:dyDescent="0.2">
      <c r="A6" s="2099"/>
      <c r="B6" s="2102"/>
      <c r="C6" s="2102"/>
      <c r="D6" s="2219"/>
      <c r="E6" s="2106"/>
      <c r="F6" s="2109"/>
      <c r="G6" s="2119"/>
      <c r="H6" s="2269"/>
      <c r="I6" s="2269"/>
      <c r="J6" s="2269"/>
      <c r="K6" s="2121" t="s">
        <v>25</v>
      </c>
      <c r="L6" s="2234" t="s">
        <v>219</v>
      </c>
      <c r="M6" s="2235"/>
      <c r="N6" s="2236"/>
    </row>
    <row r="7" spans="1:18" s="11" customFormat="1" ht="101.25" customHeight="1" thickBot="1" x14ac:dyDescent="0.25">
      <c r="A7" s="2100"/>
      <c r="B7" s="2103"/>
      <c r="C7" s="2103"/>
      <c r="D7" s="2220"/>
      <c r="E7" s="2107"/>
      <c r="F7" s="2110"/>
      <c r="G7" s="2120"/>
      <c r="H7" s="2270"/>
      <c r="I7" s="2270"/>
      <c r="J7" s="2270"/>
      <c r="K7" s="2122"/>
      <c r="L7" s="83" t="s">
        <v>52</v>
      </c>
      <c r="M7" s="81" t="s">
        <v>75</v>
      </c>
      <c r="N7" s="82" t="s">
        <v>176</v>
      </c>
    </row>
    <row r="8" spans="1:18" ht="13.5" customHeight="1" x14ac:dyDescent="0.2">
      <c r="A8" s="2115" t="s">
        <v>30</v>
      </c>
      <c r="B8" s="2116"/>
      <c r="C8" s="2116"/>
      <c r="D8" s="2116"/>
      <c r="E8" s="2116"/>
      <c r="F8" s="2116"/>
      <c r="G8" s="2116"/>
      <c r="H8" s="2116"/>
      <c r="I8" s="2116"/>
      <c r="J8" s="2116"/>
      <c r="K8" s="2116"/>
      <c r="L8" s="2116"/>
      <c r="M8" s="2116"/>
      <c r="N8" s="2117"/>
    </row>
    <row r="9" spans="1:18" ht="13.5" thickBot="1" x14ac:dyDescent="0.25">
      <c r="A9" s="2091" t="s">
        <v>34</v>
      </c>
      <c r="B9" s="2092"/>
      <c r="C9" s="2092"/>
      <c r="D9" s="2092"/>
      <c r="E9" s="2092"/>
      <c r="F9" s="2092"/>
      <c r="G9" s="2092"/>
      <c r="H9" s="2092"/>
      <c r="I9" s="2092"/>
      <c r="J9" s="2092"/>
      <c r="K9" s="2092"/>
      <c r="L9" s="2092"/>
      <c r="M9" s="2092"/>
      <c r="N9" s="2093"/>
    </row>
    <row r="10" spans="1:18" ht="13.5" thickBot="1" x14ac:dyDescent="0.25">
      <c r="A10" s="13" t="s">
        <v>9</v>
      </c>
      <c r="B10" s="2237" t="s">
        <v>120</v>
      </c>
      <c r="C10" s="2237"/>
      <c r="D10" s="2237"/>
      <c r="E10" s="2237"/>
      <c r="F10" s="2237"/>
      <c r="G10" s="2237"/>
      <c r="H10" s="2237"/>
      <c r="I10" s="2237"/>
      <c r="J10" s="2237"/>
      <c r="K10" s="2237"/>
      <c r="L10" s="2237"/>
      <c r="M10" s="2237"/>
      <c r="N10" s="2238"/>
    </row>
    <row r="11" spans="1:18" ht="13.5" thickBot="1" x14ac:dyDescent="0.25">
      <c r="A11" s="13" t="s">
        <v>9</v>
      </c>
      <c r="B11" s="14" t="s">
        <v>9</v>
      </c>
      <c r="C11" s="2231" t="s">
        <v>39</v>
      </c>
      <c r="D11" s="2231"/>
      <c r="E11" s="2231"/>
      <c r="F11" s="2231"/>
      <c r="G11" s="2231"/>
      <c r="H11" s="2231"/>
      <c r="I11" s="2231"/>
      <c r="J11" s="2231"/>
      <c r="K11" s="2231"/>
      <c r="L11" s="2232"/>
      <c r="M11" s="2232"/>
      <c r="N11" s="2233"/>
    </row>
    <row r="12" spans="1:18" ht="25.5" customHeight="1" x14ac:dyDescent="0.2">
      <c r="A12" s="23" t="s">
        <v>9</v>
      </c>
      <c r="B12" s="26" t="s">
        <v>9</v>
      </c>
      <c r="C12" s="22" t="s">
        <v>9</v>
      </c>
      <c r="D12" s="152" t="s">
        <v>43</v>
      </c>
      <c r="E12" s="2292" t="s">
        <v>210</v>
      </c>
      <c r="F12" s="724" t="s">
        <v>35</v>
      </c>
      <c r="G12" s="104" t="s">
        <v>12</v>
      </c>
      <c r="H12" s="871">
        <f>770/3.4528*1000</f>
        <v>223007.41427247453</v>
      </c>
      <c r="I12" s="872">
        <f>840/3.4528*1000</f>
        <v>243280.81556997221</v>
      </c>
      <c r="J12" s="873">
        <f>1030/3.4528*1000</f>
        <v>298308.61909175164</v>
      </c>
      <c r="K12" s="150" t="s">
        <v>220</v>
      </c>
      <c r="L12" s="77">
        <v>58</v>
      </c>
      <c r="M12" s="78">
        <v>58</v>
      </c>
      <c r="N12" s="76">
        <v>58</v>
      </c>
      <c r="R12" s="112"/>
    </row>
    <row r="13" spans="1:18" ht="27.75" customHeight="1" x14ac:dyDescent="0.2">
      <c r="A13" s="25"/>
      <c r="B13" s="28"/>
      <c r="C13" s="19"/>
      <c r="D13" s="728" t="s">
        <v>158</v>
      </c>
      <c r="E13" s="2293"/>
      <c r="F13" s="279"/>
      <c r="G13" s="171"/>
      <c r="H13" s="874"/>
      <c r="I13" s="875"/>
      <c r="J13" s="876"/>
      <c r="K13" s="571" t="s">
        <v>221</v>
      </c>
      <c r="L13" s="664">
        <v>2</v>
      </c>
      <c r="M13" s="572">
        <v>3</v>
      </c>
      <c r="N13" s="573">
        <v>3</v>
      </c>
    </row>
    <row r="14" spans="1:18" ht="28.5" customHeight="1" x14ac:dyDescent="0.2">
      <c r="A14" s="25"/>
      <c r="B14" s="28"/>
      <c r="C14" s="19"/>
      <c r="D14" s="122" t="s">
        <v>76</v>
      </c>
      <c r="E14" s="156"/>
      <c r="F14" s="279"/>
      <c r="G14" s="171"/>
      <c r="H14" s="874"/>
      <c r="I14" s="877"/>
      <c r="J14" s="878"/>
      <c r="K14" s="602"/>
      <c r="L14" s="743"/>
      <c r="M14" s="745"/>
      <c r="N14" s="703"/>
      <c r="P14" s="112"/>
    </row>
    <row r="15" spans="1:18" ht="57" customHeight="1" x14ac:dyDescent="0.2">
      <c r="A15" s="25"/>
      <c r="B15" s="28"/>
      <c r="C15" s="19"/>
      <c r="D15" s="662" t="s">
        <v>236</v>
      </c>
      <c r="E15" s="156"/>
      <c r="F15" s="279"/>
      <c r="G15" s="171"/>
      <c r="H15" s="874"/>
      <c r="I15" s="877"/>
      <c r="J15" s="878"/>
      <c r="K15" s="84"/>
      <c r="L15" s="742"/>
      <c r="M15" s="121"/>
      <c r="N15" s="199"/>
      <c r="P15" s="112"/>
    </row>
    <row r="16" spans="1:18" ht="40.5" customHeight="1" x14ac:dyDescent="0.2">
      <c r="A16" s="25"/>
      <c r="B16" s="28"/>
      <c r="C16" s="19"/>
      <c r="D16" s="714" t="s">
        <v>205</v>
      </c>
      <c r="E16" s="156"/>
      <c r="F16" s="279"/>
      <c r="G16" s="171"/>
      <c r="H16" s="874"/>
      <c r="I16" s="877"/>
      <c r="J16" s="878"/>
      <c r="K16" s="84"/>
      <c r="L16" s="742"/>
      <c r="M16" s="121"/>
      <c r="N16" s="199"/>
      <c r="P16" s="112"/>
    </row>
    <row r="17" spans="1:21" ht="14.25" customHeight="1" x14ac:dyDescent="0.2">
      <c r="A17" s="25"/>
      <c r="B17" s="28"/>
      <c r="C17" s="19"/>
      <c r="D17" s="2190" t="s">
        <v>177</v>
      </c>
      <c r="E17" s="156"/>
      <c r="F17" s="279"/>
      <c r="G17" s="431"/>
      <c r="H17" s="879"/>
      <c r="I17" s="880"/>
      <c r="J17" s="881"/>
      <c r="K17" s="2113"/>
      <c r="L17" s="742"/>
      <c r="M17" s="121"/>
      <c r="N17" s="199"/>
      <c r="P17" s="112"/>
    </row>
    <row r="18" spans="1:21" ht="13.5" thickBot="1" x14ac:dyDescent="0.25">
      <c r="A18" s="25"/>
      <c r="B18" s="28"/>
      <c r="C18" s="19"/>
      <c r="D18" s="2207"/>
      <c r="E18" s="674"/>
      <c r="F18" s="280"/>
      <c r="G18" s="317" t="s">
        <v>16</v>
      </c>
      <c r="H18" s="882">
        <f>SUM(H12:H17)</f>
        <v>223007.41427247453</v>
      </c>
      <c r="I18" s="883">
        <f t="shared" ref="I18:J18" si="0">SUM(I12:I17)</f>
        <v>243280.81556997221</v>
      </c>
      <c r="J18" s="883">
        <f t="shared" si="0"/>
        <v>298308.61909175164</v>
      </c>
      <c r="K18" s="2114"/>
      <c r="L18" s="744"/>
      <c r="M18" s="287"/>
      <c r="N18" s="644"/>
      <c r="P18" s="112"/>
    </row>
    <row r="19" spans="1:21" ht="12.75" customHeight="1" x14ac:dyDescent="0.2">
      <c r="A19" s="23" t="s">
        <v>9</v>
      </c>
      <c r="B19" s="26" t="s">
        <v>9</v>
      </c>
      <c r="C19" s="22" t="s">
        <v>10</v>
      </c>
      <c r="D19" s="2317" t="s">
        <v>77</v>
      </c>
      <c r="E19" s="2067"/>
      <c r="F19" s="2050" t="s">
        <v>35</v>
      </c>
      <c r="G19" s="88" t="s">
        <v>12</v>
      </c>
      <c r="H19" s="871">
        <f>500/3.4528*1000</f>
        <v>144810.00926784059</v>
      </c>
      <c r="I19" s="872">
        <f>600/3.4528*1000</f>
        <v>173772.01112140872</v>
      </c>
      <c r="J19" s="873">
        <f>600/3.4528*1000</f>
        <v>173772.01112140872</v>
      </c>
      <c r="K19" s="173" t="s">
        <v>222</v>
      </c>
      <c r="L19" s="669">
        <v>4</v>
      </c>
      <c r="M19" s="670">
        <v>5</v>
      </c>
      <c r="N19" s="683">
        <v>5</v>
      </c>
    </row>
    <row r="20" spans="1:21" ht="13.5" thickBot="1" x14ac:dyDescent="0.25">
      <c r="A20" s="25"/>
      <c r="B20" s="28"/>
      <c r="C20" s="19"/>
      <c r="D20" s="2207"/>
      <c r="E20" s="2069"/>
      <c r="F20" s="2052"/>
      <c r="G20" s="317" t="s">
        <v>16</v>
      </c>
      <c r="H20" s="882">
        <f>H19</f>
        <v>144810.00926784059</v>
      </c>
      <c r="I20" s="884">
        <f>SUM(I19:I19)</f>
        <v>173772.01112140872</v>
      </c>
      <c r="J20" s="885">
        <f>SUM(J19:J19)</f>
        <v>173772.01112140872</v>
      </c>
      <c r="K20" s="288"/>
      <c r="L20" s="153"/>
      <c r="M20" s="287"/>
      <c r="N20" s="285"/>
      <c r="P20" s="112"/>
    </row>
    <row r="21" spans="1:21" ht="12.75" customHeight="1" x14ac:dyDescent="0.2">
      <c r="A21" s="23" t="s">
        <v>9</v>
      </c>
      <c r="B21" s="26" t="s">
        <v>9</v>
      </c>
      <c r="C21" s="22" t="s">
        <v>11</v>
      </c>
      <c r="D21" s="2058" t="s">
        <v>70</v>
      </c>
      <c r="E21" s="2067"/>
      <c r="F21" s="2050" t="s">
        <v>35</v>
      </c>
      <c r="G21" s="88" t="s">
        <v>12</v>
      </c>
      <c r="H21" s="871">
        <f>31.2/3.4528*1000</f>
        <v>9036.1445783132531</v>
      </c>
      <c r="I21" s="886">
        <f>31.2/3.4528*1000</f>
        <v>9036.1445783132531</v>
      </c>
      <c r="J21" s="887">
        <f>31.2/3.4528*1000</f>
        <v>9036.1445783132531</v>
      </c>
      <c r="K21" s="2085" t="s">
        <v>223</v>
      </c>
      <c r="L21" s="2087">
        <v>6</v>
      </c>
      <c r="M21" s="2089">
        <v>6</v>
      </c>
      <c r="N21" s="2259">
        <v>6</v>
      </c>
    </row>
    <row r="22" spans="1:21" ht="13.5" thickBot="1" x14ac:dyDescent="0.25">
      <c r="A22" s="25"/>
      <c r="B22" s="28"/>
      <c r="C22" s="19"/>
      <c r="D22" s="2059"/>
      <c r="E22" s="2069"/>
      <c r="F22" s="2052"/>
      <c r="G22" s="317" t="s">
        <v>16</v>
      </c>
      <c r="H22" s="882">
        <f>H21</f>
        <v>9036.1445783132531</v>
      </c>
      <c r="I22" s="884">
        <f>SUM(I21:I21)</f>
        <v>9036.1445783132531</v>
      </c>
      <c r="J22" s="885">
        <f>SUM(J21:J21)</f>
        <v>9036.1445783132531</v>
      </c>
      <c r="K22" s="2086"/>
      <c r="L22" s="2088"/>
      <c r="M22" s="2090"/>
      <c r="N22" s="2260"/>
    </row>
    <row r="23" spans="1:21" ht="25.5" customHeight="1" x14ac:dyDescent="0.2">
      <c r="A23" s="37" t="s">
        <v>9</v>
      </c>
      <c r="B23" s="26" t="s">
        <v>9</v>
      </c>
      <c r="C23" s="22" t="s">
        <v>13</v>
      </c>
      <c r="D23" s="92" t="s">
        <v>119</v>
      </c>
      <c r="E23" s="250"/>
      <c r="F23" s="286" t="s">
        <v>35</v>
      </c>
      <c r="G23" s="271" t="s">
        <v>111</v>
      </c>
      <c r="H23" s="888">
        <f>464.1/3.4528*1000</f>
        <v>134412.65060240965</v>
      </c>
      <c r="I23" s="889">
        <f>528/3.4528*1000</f>
        <v>152919.36978683967</v>
      </c>
      <c r="J23" s="886">
        <f>528/3.4528*1000</f>
        <v>152919.36978683967</v>
      </c>
      <c r="K23" s="733" t="s">
        <v>224</v>
      </c>
      <c r="L23" s="587">
        <v>16</v>
      </c>
      <c r="M23" s="718">
        <v>16</v>
      </c>
      <c r="N23" s="720">
        <v>16</v>
      </c>
      <c r="S23" s="112"/>
    </row>
    <row r="24" spans="1:21" ht="30.75" customHeight="1" x14ac:dyDescent="0.2">
      <c r="A24" s="38"/>
      <c r="B24" s="28"/>
      <c r="C24" s="19"/>
      <c r="D24" s="665" t="s">
        <v>237</v>
      </c>
      <c r="E24" s="251"/>
      <c r="F24" s="673"/>
      <c r="G24" s="599" t="s">
        <v>12</v>
      </c>
      <c r="H24" s="888">
        <f>418/3.4528*1000</f>
        <v>121061.16774791473</v>
      </c>
      <c r="I24" s="890">
        <f>531/3.4528*1000</f>
        <v>153788.22984244672</v>
      </c>
      <c r="J24" s="891">
        <f>531/3.4528*1000</f>
        <v>153788.22984244672</v>
      </c>
      <c r="K24" s="684" t="s">
        <v>225</v>
      </c>
      <c r="L24" s="587">
        <v>16</v>
      </c>
      <c r="M24" s="677">
        <v>16</v>
      </c>
      <c r="N24" s="679">
        <v>16</v>
      </c>
      <c r="P24" s="120"/>
      <c r="U24" s="112"/>
    </row>
    <row r="25" spans="1:21" ht="25.5" customHeight="1" x14ac:dyDescent="0.2">
      <c r="A25" s="38"/>
      <c r="B25" s="566"/>
      <c r="C25" s="19"/>
      <c r="D25" s="2135" t="s">
        <v>178</v>
      </c>
      <c r="E25" s="251"/>
      <c r="F25" s="255"/>
      <c r="G25" s="102"/>
      <c r="H25" s="892"/>
      <c r="I25" s="893"/>
      <c r="J25" s="894"/>
      <c r="K25" s="2257" t="s">
        <v>226</v>
      </c>
      <c r="L25" s="746" t="s">
        <v>49</v>
      </c>
      <c r="M25" s="722" t="s">
        <v>49</v>
      </c>
      <c r="N25" s="210" t="s">
        <v>49</v>
      </c>
      <c r="P25" s="588"/>
      <c r="Q25" s="588"/>
      <c r="R25" s="588"/>
      <c r="S25" s="588"/>
    </row>
    <row r="26" spans="1:21" ht="15" customHeight="1" x14ac:dyDescent="0.2">
      <c r="A26" s="38"/>
      <c r="B26" s="566"/>
      <c r="C26" s="19"/>
      <c r="D26" s="2135"/>
      <c r="E26" s="251"/>
      <c r="F26" s="255"/>
      <c r="G26" s="102"/>
      <c r="H26" s="892"/>
      <c r="I26" s="893"/>
      <c r="J26" s="894"/>
      <c r="K26" s="2258"/>
      <c r="L26" s="747"/>
      <c r="M26" s="723"/>
      <c r="N26" s="737"/>
    </row>
    <row r="27" spans="1:21" ht="17.25" customHeight="1" x14ac:dyDescent="0.2">
      <c r="A27" s="25"/>
      <c r="B27" s="28"/>
      <c r="C27" s="19"/>
      <c r="D27" s="2190" t="s">
        <v>118</v>
      </c>
      <c r="E27" s="659"/>
      <c r="F27" s="660"/>
      <c r="G27" s="661"/>
      <c r="H27" s="895"/>
      <c r="I27" s="896"/>
      <c r="J27" s="875"/>
      <c r="K27" s="715"/>
      <c r="L27" s="264"/>
      <c r="M27" s="719"/>
      <c r="N27" s="721"/>
    </row>
    <row r="28" spans="1:21" ht="13.5" thickBot="1" x14ac:dyDescent="0.25">
      <c r="A28" s="39"/>
      <c r="B28" s="14"/>
      <c r="C28" s="36"/>
      <c r="D28" s="2207"/>
      <c r="E28" s="252"/>
      <c r="F28" s="256"/>
      <c r="G28" s="320" t="s">
        <v>16</v>
      </c>
      <c r="H28" s="897">
        <f>SUM(H23:H27)</f>
        <v>255473.81835032438</v>
      </c>
      <c r="I28" s="885">
        <f>SUM(I23:I27)</f>
        <v>306707.59962928639</v>
      </c>
      <c r="J28" s="884">
        <f>SUM(J23:J27)</f>
        <v>306707.59962928639</v>
      </c>
      <c r="K28" s="604"/>
      <c r="L28" s="495"/>
      <c r="M28" s="605"/>
      <c r="N28" s="748"/>
      <c r="P28" s="112"/>
    </row>
    <row r="29" spans="1:21" ht="13.5" thickBot="1" x14ac:dyDescent="0.25">
      <c r="A29" s="24" t="s">
        <v>9</v>
      </c>
      <c r="B29" s="34" t="s">
        <v>9</v>
      </c>
      <c r="C29" s="2044" t="s">
        <v>15</v>
      </c>
      <c r="D29" s="2045"/>
      <c r="E29" s="2045"/>
      <c r="F29" s="2188"/>
      <c r="G29" s="2189"/>
      <c r="H29" s="898">
        <f>H28+H22+H20+H18</f>
        <v>632327.38646895275</v>
      </c>
      <c r="I29" s="899">
        <f>I28+I22+I20+I18</f>
        <v>732796.5708989806</v>
      </c>
      <c r="J29" s="898">
        <f>J28+J22+J20+J18</f>
        <v>787824.37442075997</v>
      </c>
      <c r="K29" s="2062"/>
      <c r="L29" s="2063"/>
      <c r="M29" s="2063"/>
      <c r="N29" s="2064"/>
    </row>
    <row r="30" spans="1:21" ht="13.5" thickBot="1" x14ac:dyDescent="0.25">
      <c r="A30" s="21" t="s">
        <v>9</v>
      </c>
      <c r="B30" s="27" t="s">
        <v>10</v>
      </c>
      <c r="C30" s="2184" t="s">
        <v>92</v>
      </c>
      <c r="D30" s="2185"/>
      <c r="E30" s="2185"/>
      <c r="F30" s="2185"/>
      <c r="G30" s="2140"/>
      <c r="H30" s="2140"/>
      <c r="I30" s="2140"/>
      <c r="J30" s="2140"/>
      <c r="K30" s="2140"/>
      <c r="L30" s="2140"/>
      <c r="M30" s="2140"/>
      <c r="N30" s="2141"/>
    </row>
    <row r="31" spans="1:21" ht="12.75" customHeight="1" x14ac:dyDescent="0.2">
      <c r="A31" s="21" t="s">
        <v>9</v>
      </c>
      <c r="B31" s="27" t="s">
        <v>10</v>
      </c>
      <c r="C31" s="22" t="s">
        <v>9</v>
      </c>
      <c r="D31" s="2314" t="s">
        <v>66</v>
      </c>
      <c r="E31" s="2315"/>
      <c r="F31" s="262">
        <v>2</v>
      </c>
      <c r="G31" s="174" t="s">
        <v>12</v>
      </c>
      <c r="H31" s="900">
        <f>9075.9/3.4528*1000</f>
        <v>2628562.3262279886</v>
      </c>
      <c r="I31" s="963">
        <f>8646.2/3.4528*1000</f>
        <v>2504112.6042632069</v>
      </c>
      <c r="J31" s="901">
        <f>7792.3/3.4528*1000</f>
        <v>2256806.0704355882</v>
      </c>
      <c r="K31" s="535" t="s">
        <v>224</v>
      </c>
      <c r="L31" s="204">
        <v>1214</v>
      </c>
      <c r="M31" s="205" t="s">
        <v>211</v>
      </c>
      <c r="N31" s="206" t="s">
        <v>211</v>
      </c>
      <c r="O31" s="588"/>
      <c r="P31" s="588"/>
      <c r="Q31" s="588"/>
      <c r="R31" s="588"/>
      <c r="S31" s="750"/>
      <c r="T31" s="588"/>
    </row>
    <row r="32" spans="1:21" ht="12.75" customHeight="1" x14ac:dyDescent="0.2">
      <c r="A32" s="565"/>
      <c r="B32" s="566"/>
      <c r="C32" s="19"/>
      <c r="D32" s="2187"/>
      <c r="E32" s="2316"/>
      <c r="F32" s="263"/>
      <c r="G32" s="103" t="s">
        <v>28</v>
      </c>
      <c r="H32" s="902">
        <f>1182/3.4528*1000</f>
        <v>342330.86190917518</v>
      </c>
      <c r="I32" s="889">
        <f>1298.5/3.4528*1000</f>
        <v>376071.59406858205</v>
      </c>
      <c r="J32" s="903">
        <f>1298.5/3.4528*1000</f>
        <v>376071.59406858205</v>
      </c>
      <c r="K32" s="754" t="s">
        <v>48</v>
      </c>
      <c r="L32" s="755">
        <v>822.5</v>
      </c>
      <c r="M32" s="545" t="s">
        <v>212</v>
      </c>
      <c r="N32" s="546" t="s">
        <v>213</v>
      </c>
      <c r="O32" s="751"/>
      <c r="P32" s="750"/>
      <c r="Q32" s="750"/>
      <c r="R32" s="588"/>
      <c r="S32" s="588"/>
      <c r="T32" s="588"/>
    </row>
    <row r="33" spans="1:22" ht="12.75" customHeight="1" x14ac:dyDescent="0.2">
      <c r="A33" s="565"/>
      <c r="B33" s="566"/>
      <c r="C33" s="19"/>
      <c r="D33" s="2135" t="s">
        <v>36</v>
      </c>
      <c r="E33" s="2316"/>
      <c r="F33" s="263"/>
      <c r="G33" s="103" t="s">
        <v>20</v>
      </c>
      <c r="H33" s="902">
        <f>33.2/3.4528*1000</f>
        <v>9615.3846153846171</v>
      </c>
      <c r="I33" s="889">
        <f>220/3.4528*1000</f>
        <v>63716.404077849867</v>
      </c>
      <c r="J33" s="903">
        <f>168/3.4528*1000</f>
        <v>48656.163113994437</v>
      </c>
      <c r="K33" s="2239" t="s">
        <v>227</v>
      </c>
      <c r="L33" s="2241">
        <v>2</v>
      </c>
      <c r="M33" s="2243">
        <v>1</v>
      </c>
      <c r="N33" s="2245"/>
      <c r="O33" s="588"/>
      <c r="P33" s="588"/>
      <c r="Q33" s="588"/>
      <c r="R33" s="588"/>
      <c r="S33" s="588"/>
      <c r="T33" s="588"/>
    </row>
    <row r="34" spans="1:22" ht="12.75" customHeight="1" x14ac:dyDescent="0.2">
      <c r="A34" s="565"/>
      <c r="B34" s="566"/>
      <c r="C34" s="19"/>
      <c r="D34" s="2135"/>
      <c r="E34" s="2316"/>
      <c r="F34" s="263"/>
      <c r="G34" s="175" t="s">
        <v>29</v>
      </c>
      <c r="H34" s="904">
        <f>651.8/3.4528*1000</f>
        <v>188774.328081557</v>
      </c>
      <c r="I34" s="964">
        <f>160/3.4528*1000</f>
        <v>46339.202965708995</v>
      </c>
      <c r="J34" s="891"/>
      <c r="K34" s="2240"/>
      <c r="L34" s="2242"/>
      <c r="M34" s="2244"/>
      <c r="N34" s="2246"/>
      <c r="O34" s="751"/>
      <c r="P34" s="750"/>
      <c r="Q34" s="750"/>
      <c r="R34" s="750"/>
      <c r="S34" s="588"/>
      <c r="T34" s="588"/>
    </row>
    <row r="35" spans="1:22" ht="12.75" customHeight="1" x14ac:dyDescent="0.2">
      <c r="A35" s="565"/>
      <c r="B35" s="566"/>
      <c r="C35" s="35"/>
      <c r="D35" s="2135"/>
      <c r="E35" s="2316"/>
      <c r="F35" s="263"/>
      <c r="G35" s="175"/>
      <c r="H35" s="904"/>
      <c r="I35" s="964"/>
      <c r="J35" s="905"/>
      <c r="K35" s="2240"/>
      <c r="L35" s="2242"/>
      <c r="M35" s="2244"/>
      <c r="N35" s="2246"/>
      <c r="O35" s="588"/>
      <c r="P35" s="588"/>
      <c r="Q35" s="588"/>
      <c r="R35" s="588"/>
      <c r="S35" s="588"/>
      <c r="T35" s="588"/>
    </row>
    <row r="36" spans="1:22" ht="27.75" customHeight="1" x14ac:dyDescent="0.2">
      <c r="A36" s="38"/>
      <c r="B36" s="28"/>
      <c r="C36" s="19"/>
      <c r="D36" s="2135" t="s">
        <v>181</v>
      </c>
      <c r="E36" s="2316"/>
      <c r="F36" s="263"/>
      <c r="G36" s="171"/>
      <c r="H36" s="874"/>
      <c r="I36" s="965"/>
      <c r="J36" s="906"/>
      <c r="K36" s="2240"/>
      <c r="L36" s="2242"/>
      <c r="M36" s="2244"/>
      <c r="N36" s="2246"/>
      <c r="O36" s="588"/>
      <c r="P36" s="588"/>
      <c r="Q36" s="588"/>
      <c r="R36" s="588"/>
      <c r="S36" s="588"/>
      <c r="T36" s="588"/>
    </row>
    <row r="37" spans="1:22" ht="27.75" customHeight="1" x14ac:dyDescent="0.2">
      <c r="A37" s="38"/>
      <c r="B37" s="28"/>
      <c r="C37" s="19"/>
      <c r="D37" s="2135"/>
      <c r="E37" s="123"/>
      <c r="F37" s="263"/>
      <c r="G37" s="171"/>
      <c r="H37" s="874"/>
      <c r="I37" s="965"/>
      <c r="J37" s="906"/>
      <c r="K37" s="715"/>
      <c r="L37" s="717"/>
      <c r="M37" s="719"/>
      <c r="N37" s="224"/>
      <c r="O37" s="588"/>
      <c r="P37" s="588"/>
      <c r="Q37" s="588"/>
      <c r="R37" s="588"/>
      <c r="S37" s="588"/>
      <c r="T37" s="588"/>
    </row>
    <row r="38" spans="1:22" ht="28.5" customHeight="1" x14ac:dyDescent="0.2">
      <c r="A38" s="38"/>
      <c r="B38" s="28"/>
      <c r="C38" s="19"/>
      <c r="D38" s="2135" t="s">
        <v>258</v>
      </c>
      <c r="E38" s="123"/>
      <c r="F38" s="263"/>
      <c r="G38" s="756"/>
      <c r="H38" s="874"/>
      <c r="I38" s="965"/>
      <c r="J38" s="906"/>
      <c r="K38" s="757"/>
      <c r="L38" s="717"/>
      <c r="M38" s="719"/>
      <c r="N38" s="224"/>
    </row>
    <row r="39" spans="1:22" ht="36.75" customHeight="1" x14ac:dyDescent="0.2">
      <c r="A39" s="38"/>
      <c r="B39" s="28"/>
      <c r="C39" s="19"/>
      <c r="D39" s="2135"/>
      <c r="E39" s="123"/>
      <c r="F39" s="263"/>
      <c r="G39" s="661"/>
      <c r="H39" s="874"/>
      <c r="I39" s="965"/>
      <c r="J39" s="906"/>
      <c r="K39" s="757"/>
      <c r="L39" s="717"/>
      <c r="M39" s="719"/>
      <c r="N39" s="224"/>
    </row>
    <row r="40" spans="1:22" ht="12.75" customHeight="1" x14ac:dyDescent="0.2">
      <c r="A40" s="38"/>
      <c r="B40" s="28"/>
      <c r="C40" s="19"/>
      <c r="D40" s="2196" t="s">
        <v>37</v>
      </c>
      <c r="E40" s="123"/>
      <c r="F40" s="263"/>
      <c r="G40" s="171"/>
      <c r="H40" s="874"/>
      <c r="I40" s="965"/>
      <c r="J40" s="906"/>
      <c r="K40" s="715"/>
      <c r="L40" s="717"/>
      <c r="M40" s="719"/>
      <c r="N40" s="224"/>
    </row>
    <row r="41" spans="1:22" ht="12.75" customHeight="1" x14ac:dyDescent="0.2">
      <c r="A41" s="38"/>
      <c r="B41" s="28"/>
      <c r="C41" s="19"/>
      <c r="D41" s="2196"/>
      <c r="E41" s="123"/>
      <c r="F41" s="263"/>
      <c r="G41" s="175"/>
      <c r="H41" s="904"/>
      <c r="I41" s="965"/>
      <c r="J41" s="906"/>
      <c r="K41" s="715"/>
      <c r="L41" s="717"/>
      <c r="M41" s="719"/>
      <c r="N41" s="224"/>
    </row>
    <row r="42" spans="1:22" ht="12.75" customHeight="1" x14ac:dyDescent="0.2">
      <c r="A42" s="38"/>
      <c r="B42" s="28"/>
      <c r="C42" s="19"/>
      <c r="D42" s="2196"/>
      <c r="E42" s="123"/>
      <c r="F42" s="263"/>
      <c r="G42" s="175"/>
      <c r="H42" s="904"/>
      <c r="I42" s="966"/>
      <c r="J42" s="907"/>
      <c r="K42" s="715"/>
      <c r="L42" s="717"/>
      <c r="M42" s="719"/>
      <c r="N42" s="224"/>
    </row>
    <row r="43" spans="1:22" ht="12.75" customHeight="1" x14ac:dyDescent="0.2">
      <c r="A43" s="565"/>
      <c r="B43" s="566"/>
      <c r="C43" s="40"/>
      <c r="D43" s="2135" t="s">
        <v>238</v>
      </c>
      <c r="E43" s="123"/>
      <c r="F43" s="263"/>
      <c r="G43" s="91"/>
      <c r="H43" s="874"/>
      <c r="I43" s="893"/>
      <c r="J43" s="894"/>
      <c r="K43" s="715"/>
      <c r="L43" s="717"/>
      <c r="M43" s="719"/>
      <c r="N43" s="721"/>
    </row>
    <row r="44" spans="1:22" ht="12.75" customHeight="1" x14ac:dyDescent="0.2">
      <c r="A44" s="565"/>
      <c r="B44" s="566"/>
      <c r="C44" s="40"/>
      <c r="D44" s="2135"/>
      <c r="E44" s="123"/>
      <c r="F44" s="263"/>
      <c r="G44" s="91"/>
      <c r="H44" s="874"/>
      <c r="I44" s="893"/>
      <c r="J44" s="894"/>
      <c r="K44" s="715"/>
      <c r="L44" s="717"/>
      <c r="M44" s="719"/>
      <c r="N44" s="721"/>
      <c r="T44" s="112"/>
      <c r="V44" s="112"/>
    </row>
    <row r="45" spans="1:22" ht="12.75" customHeight="1" x14ac:dyDescent="0.2">
      <c r="A45" s="565"/>
      <c r="B45" s="566"/>
      <c r="C45" s="19"/>
      <c r="D45" s="2135"/>
      <c r="E45" s="123"/>
      <c r="F45" s="263"/>
      <c r="G45" s="91"/>
      <c r="H45" s="874"/>
      <c r="I45" s="893"/>
      <c r="J45" s="894"/>
      <c r="K45" s="715"/>
      <c r="L45" s="717"/>
      <c r="M45" s="719"/>
      <c r="N45" s="721"/>
      <c r="P45" s="588"/>
      <c r="Q45" s="588"/>
    </row>
    <row r="46" spans="1:22" ht="12.75" customHeight="1" x14ac:dyDescent="0.2">
      <c r="A46" s="25"/>
      <c r="B46" s="28"/>
      <c r="C46" s="19"/>
      <c r="D46" s="2135" t="s">
        <v>159</v>
      </c>
      <c r="E46" s="123"/>
      <c r="F46" s="263"/>
      <c r="G46" s="91"/>
      <c r="H46" s="874"/>
      <c r="I46" s="893"/>
      <c r="J46" s="894"/>
      <c r="K46" s="734"/>
      <c r="L46" s="717"/>
      <c r="M46" s="719"/>
      <c r="N46" s="721"/>
    </row>
    <row r="47" spans="1:22" ht="12.75" customHeight="1" x14ac:dyDescent="0.2">
      <c r="A47" s="25"/>
      <c r="B47" s="28"/>
      <c r="C47" s="19"/>
      <c r="D47" s="2135"/>
      <c r="E47" s="123"/>
      <c r="F47" s="263"/>
      <c r="G47" s="91"/>
      <c r="H47" s="874"/>
      <c r="I47" s="893"/>
      <c r="J47" s="894"/>
      <c r="K47" s="734"/>
      <c r="L47" s="717"/>
      <c r="M47" s="719"/>
      <c r="N47" s="721"/>
      <c r="R47" s="112"/>
    </row>
    <row r="48" spans="1:22" ht="40.5" customHeight="1" x14ac:dyDescent="0.2">
      <c r="A48" s="25"/>
      <c r="B48" s="28"/>
      <c r="C48" s="19"/>
      <c r="D48" s="2135" t="s">
        <v>239</v>
      </c>
      <c r="E48" s="123"/>
      <c r="F48" s="263"/>
      <c r="G48" s="91"/>
      <c r="H48" s="874"/>
      <c r="I48" s="893"/>
      <c r="J48" s="894"/>
      <c r="K48" s="967"/>
      <c r="L48" s="971"/>
      <c r="M48" s="968"/>
      <c r="N48" s="703"/>
      <c r="P48" s="112"/>
      <c r="R48" s="112"/>
    </row>
    <row r="49" spans="1:20" ht="40.5" customHeight="1" x14ac:dyDescent="0.2">
      <c r="A49" s="846"/>
      <c r="B49" s="847"/>
      <c r="C49" s="606"/>
      <c r="D49" s="2313"/>
      <c r="E49" s="603"/>
      <c r="F49" s="607"/>
      <c r="G49" s="114"/>
      <c r="H49" s="879"/>
      <c r="I49" s="939"/>
      <c r="J49" s="908"/>
      <c r="K49" s="584"/>
      <c r="L49" s="580"/>
      <c r="M49" s="581"/>
      <c r="N49" s="585"/>
      <c r="O49" s="588"/>
      <c r="P49" s="588"/>
      <c r="R49" s="112"/>
    </row>
    <row r="50" spans="1:20" ht="18" customHeight="1" x14ac:dyDescent="0.2">
      <c r="A50" s="25"/>
      <c r="B50" s="28"/>
      <c r="C50" s="19"/>
      <c r="D50" s="2135" t="s">
        <v>255</v>
      </c>
      <c r="E50" s="123"/>
      <c r="F50" s="263"/>
      <c r="G50" s="661"/>
      <c r="H50" s="874"/>
      <c r="I50" s="893"/>
      <c r="J50" s="894"/>
      <c r="K50" s="2312"/>
      <c r="L50" s="717"/>
      <c r="M50" s="719"/>
      <c r="N50" s="224"/>
      <c r="R50" s="112"/>
    </row>
    <row r="51" spans="1:20" ht="18" customHeight="1" x14ac:dyDescent="0.2">
      <c r="A51" s="25"/>
      <c r="B51" s="28"/>
      <c r="C51" s="19"/>
      <c r="D51" s="2135"/>
      <c r="E51" s="123"/>
      <c r="F51" s="263"/>
      <c r="G51" s="661"/>
      <c r="H51" s="874"/>
      <c r="I51" s="893"/>
      <c r="J51" s="894"/>
      <c r="K51" s="2312"/>
      <c r="L51" s="676"/>
      <c r="M51" s="678"/>
      <c r="N51" s="224"/>
      <c r="R51" s="112"/>
    </row>
    <row r="52" spans="1:20" ht="18" customHeight="1" x14ac:dyDescent="0.2">
      <c r="A52" s="25"/>
      <c r="B52" s="28"/>
      <c r="C52" s="19"/>
      <c r="D52" s="2135"/>
      <c r="E52" s="2307" t="s">
        <v>214</v>
      </c>
      <c r="F52" s="263"/>
      <c r="G52" s="661"/>
      <c r="H52" s="874"/>
      <c r="I52" s="893"/>
      <c r="J52" s="894"/>
      <c r="K52" s="2312"/>
      <c r="L52" s="717"/>
      <c r="M52" s="719"/>
      <c r="N52" s="224"/>
    </row>
    <row r="53" spans="1:20" ht="12.75" customHeight="1" x14ac:dyDescent="0.2">
      <c r="A53" s="38"/>
      <c r="B53" s="28"/>
      <c r="C53" s="19"/>
      <c r="D53" s="2135" t="s">
        <v>110</v>
      </c>
      <c r="E53" s="2307"/>
      <c r="F53" s="263"/>
      <c r="G53" s="91"/>
      <c r="H53" s="874"/>
      <c r="I53" s="893"/>
      <c r="J53" s="894"/>
      <c r="K53" s="715"/>
      <c r="L53" s="717"/>
      <c r="M53" s="719"/>
      <c r="N53" s="224"/>
      <c r="T53" s="112"/>
    </row>
    <row r="54" spans="1:20" ht="12.75" customHeight="1" x14ac:dyDescent="0.2">
      <c r="A54" s="38"/>
      <c r="B54" s="28"/>
      <c r="C54" s="19"/>
      <c r="D54" s="2135"/>
      <c r="E54" s="2307"/>
      <c r="F54" s="263"/>
      <c r="G54" s="91"/>
      <c r="H54" s="874"/>
      <c r="I54" s="893"/>
      <c r="J54" s="894"/>
      <c r="K54" s="715"/>
      <c r="L54" s="717"/>
      <c r="M54" s="719"/>
      <c r="N54" s="224"/>
      <c r="P54" s="112"/>
      <c r="T54" s="112"/>
    </row>
    <row r="55" spans="1:20" ht="18.75" customHeight="1" x14ac:dyDescent="0.2">
      <c r="A55" s="38"/>
      <c r="B55" s="28"/>
      <c r="C55" s="19"/>
      <c r="D55" s="2135"/>
      <c r="E55" s="2307"/>
      <c r="F55" s="263"/>
      <c r="G55" s="175"/>
      <c r="H55" s="904"/>
      <c r="I55" s="893"/>
      <c r="J55" s="894"/>
      <c r="K55" s="729"/>
      <c r="L55" s="717"/>
      <c r="M55" s="719"/>
      <c r="N55" s="224"/>
      <c r="P55" s="112"/>
    </row>
    <row r="56" spans="1:20" ht="12.75" customHeight="1" x14ac:dyDescent="0.2">
      <c r="A56" s="38"/>
      <c r="B56" s="28"/>
      <c r="C56" s="19"/>
      <c r="D56" s="2135" t="s">
        <v>38</v>
      </c>
      <c r="E56" s="2307"/>
      <c r="F56" s="263"/>
      <c r="G56" s="91"/>
      <c r="H56" s="874"/>
      <c r="I56" s="893"/>
      <c r="J56" s="894"/>
      <c r="K56" s="2312"/>
      <c r="L56" s="2306"/>
      <c r="M56" s="2302"/>
      <c r="N56" s="2304"/>
    </row>
    <row r="57" spans="1:20" ht="15" customHeight="1" x14ac:dyDescent="0.2">
      <c r="A57" s="38"/>
      <c r="B57" s="28"/>
      <c r="C57" s="19"/>
      <c r="D57" s="2135"/>
      <c r="E57" s="123"/>
      <c r="F57" s="263"/>
      <c r="G57" s="91"/>
      <c r="H57" s="874"/>
      <c r="I57" s="893"/>
      <c r="J57" s="894"/>
      <c r="K57" s="2312"/>
      <c r="L57" s="2306"/>
      <c r="M57" s="2302"/>
      <c r="N57" s="2304"/>
    </row>
    <row r="58" spans="1:20" ht="15" customHeight="1" x14ac:dyDescent="0.2">
      <c r="A58" s="38"/>
      <c r="B58" s="28"/>
      <c r="C58" s="19"/>
      <c r="D58" s="2135"/>
      <c r="E58" s="123"/>
      <c r="F58" s="263"/>
      <c r="G58" s="91"/>
      <c r="H58" s="874"/>
      <c r="I58" s="893"/>
      <c r="J58" s="894"/>
      <c r="K58" s="860"/>
      <c r="L58" s="862"/>
      <c r="M58" s="863"/>
      <c r="N58" s="861"/>
    </row>
    <row r="59" spans="1:20" ht="15" customHeight="1" x14ac:dyDescent="0.2">
      <c r="A59" s="38"/>
      <c r="B59" s="28"/>
      <c r="C59" s="19"/>
      <c r="D59" s="2135" t="s">
        <v>202</v>
      </c>
      <c r="E59" s="123"/>
      <c r="F59" s="263"/>
      <c r="G59" s="91"/>
      <c r="H59" s="874"/>
      <c r="I59" s="893"/>
      <c r="J59" s="894"/>
      <c r="K59" s="860" t="s">
        <v>203</v>
      </c>
      <c r="L59" s="862">
        <v>7</v>
      </c>
      <c r="M59" s="863">
        <v>7</v>
      </c>
      <c r="N59" s="861">
        <v>7</v>
      </c>
    </row>
    <row r="60" spans="1:20" ht="13.5" customHeight="1" thickBot="1" x14ac:dyDescent="0.25">
      <c r="A60" s="38"/>
      <c r="B60" s="28"/>
      <c r="C60" s="19"/>
      <c r="D60" s="2059"/>
      <c r="E60" s="123"/>
      <c r="F60" s="263"/>
      <c r="G60" s="764" t="s">
        <v>16</v>
      </c>
      <c r="H60" s="909">
        <f>SUM(H31:H57)</f>
        <v>3169282.9008341054</v>
      </c>
      <c r="I60" s="909">
        <f>SUM(I31:I57)</f>
        <v>2990239.8053753478</v>
      </c>
      <c r="J60" s="884">
        <f t="shared" ref="J60" si="1">SUM(J31:J57)</f>
        <v>2681533.8276181649</v>
      </c>
      <c r="K60" s="643"/>
      <c r="L60" s="645"/>
      <c r="M60" s="646"/>
      <c r="N60" s="647"/>
    </row>
    <row r="61" spans="1:20" ht="28.5" customHeight="1" x14ac:dyDescent="0.2">
      <c r="A61" s="21" t="s">
        <v>9</v>
      </c>
      <c r="B61" s="27" t="s">
        <v>10</v>
      </c>
      <c r="C61" s="22" t="s">
        <v>10</v>
      </c>
      <c r="D61" s="567" t="s">
        <v>67</v>
      </c>
      <c r="E61" s="568"/>
      <c r="F61" s="666"/>
      <c r="G61" s="104"/>
      <c r="H61" s="871"/>
      <c r="I61" s="872"/>
      <c r="J61" s="873"/>
      <c r="K61" s="621"/>
      <c r="L61" s="622"/>
      <c r="M61" s="107"/>
      <c r="N61" s="108"/>
    </row>
    <row r="62" spans="1:20" ht="42" customHeight="1" x14ac:dyDescent="0.2">
      <c r="A62" s="565"/>
      <c r="B62" s="566"/>
      <c r="C62" s="19"/>
      <c r="D62" s="265" t="s">
        <v>115</v>
      </c>
      <c r="E62" s="763"/>
      <c r="F62" s="667"/>
      <c r="G62" s="91"/>
      <c r="H62" s="874"/>
      <c r="I62" s="877"/>
      <c r="J62" s="878"/>
      <c r="K62" s="623"/>
      <c r="L62" s="443"/>
      <c r="M62" s="80"/>
      <c r="N62" s="79"/>
      <c r="P62" s="112"/>
    </row>
    <row r="63" spans="1:20" ht="30" customHeight="1" x14ac:dyDescent="0.2">
      <c r="A63" s="565"/>
      <c r="B63" s="566"/>
      <c r="C63" s="19"/>
      <c r="D63" s="2206" t="s">
        <v>206</v>
      </c>
      <c r="E63" s="2307" t="s">
        <v>108</v>
      </c>
      <c r="F63" s="617" t="s">
        <v>35</v>
      </c>
      <c r="G63" s="103" t="s">
        <v>12</v>
      </c>
      <c r="H63" s="902">
        <f>20/3.4528*1000</f>
        <v>5792.4003707136244</v>
      </c>
      <c r="I63" s="913"/>
      <c r="J63" s="914"/>
      <c r="K63" s="765" t="s">
        <v>228</v>
      </c>
      <c r="L63" s="716">
        <v>1</v>
      </c>
      <c r="M63" s="730"/>
      <c r="N63" s="633"/>
    </row>
    <row r="64" spans="1:20" x14ac:dyDescent="0.2">
      <c r="A64" s="609"/>
      <c r="B64" s="566"/>
      <c r="C64" s="44"/>
      <c r="D64" s="2305"/>
      <c r="E64" s="2308"/>
      <c r="F64" s="637"/>
      <c r="G64" s="338" t="s">
        <v>16</v>
      </c>
      <c r="H64" s="915">
        <f>H63</f>
        <v>5792.4003707136244</v>
      </c>
      <c r="I64" s="917"/>
      <c r="J64" s="916"/>
      <c r="K64" s="774"/>
      <c r="L64" s="775"/>
      <c r="M64" s="731"/>
      <c r="N64" s="776"/>
      <c r="P64" s="112"/>
      <c r="S64" s="112"/>
    </row>
    <row r="65" spans="1:20" ht="17.25" customHeight="1" x14ac:dyDescent="0.2">
      <c r="A65" s="609"/>
      <c r="B65" s="566"/>
      <c r="C65" s="44"/>
      <c r="D65" s="2206" t="s">
        <v>201</v>
      </c>
      <c r="E65" s="658"/>
      <c r="F65" s="617" t="s">
        <v>191</v>
      </c>
      <c r="G65" s="612" t="s">
        <v>12</v>
      </c>
      <c r="H65" s="918">
        <f>36.3/3.4528*1000</f>
        <v>10513.206672845226</v>
      </c>
      <c r="I65" s="921"/>
      <c r="J65" s="922"/>
      <c r="K65" s="2309" t="s">
        <v>195</v>
      </c>
      <c r="L65" s="627"/>
      <c r="M65" s="628">
        <v>1</v>
      </c>
      <c r="N65" s="629" t="s">
        <v>196</v>
      </c>
      <c r="P65" s="112"/>
    </row>
    <row r="66" spans="1:20" x14ac:dyDescent="0.2">
      <c r="A66" s="609"/>
      <c r="B66" s="566"/>
      <c r="C66" s="44"/>
      <c r="D66" s="2190"/>
      <c r="E66" s="1"/>
      <c r="F66" s="667"/>
      <c r="G66" s="612" t="s">
        <v>29</v>
      </c>
      <c r="H66" s="918"/>
      <c r="I66" s="923">
        <f>148.7/3.4528*1000</f>
        <v>43066.496756255787</v>
      </c>
      <c r="J66" s="920">
        <f>634.9/3.4528*1000</f>
        <v>183879.74976830397</v>
      </c>
      <c r="K66" s="2310"/>
      <c r="L66" s="648"/>
      <c r="M66" s="649"/>
      <c r="N66" s="630"/>
      <c r="P66" s="112"/>
    </row>
    <row r="67" spans="1:20" x14ac:dyDescent="0.2">
      <c r="A67" s="609"/>
      <c r="B67" s="566"/>
      <c r="C67" s="44"/>
      <c r="D67" s="2190"/>
      <c r="E67" s="1"/>
      <c r="F67" s="667"/>
      <c r="G67" s="612" t="s">
        <v>194</v>
      </c>
      <c r="H67" s="918"/>
      <c r="I67" s="923"/>
      <c r="J67" s="920">
        <f>120.2/3.4528*1000</f>
        <v>34812.32622798888</v>
      </c>
      <c r="K67" s="2310"/>
      <c r="L67" s="648"/>
      <c r="M67" s="649"/>
      <c r="N67" s="630">
        <v>30</v>
      </c>
      <c r="P67" s="112"/>
    </row>
    <row r="68" spans="1:20" x14ac:dyDescent="0.2">
      <c r="A68" s="609"/>
      <c r="B68" s="566"/>
      <c r="C68" s="44"/>
      <c r="D68" s="2305"/>
      <c r="E68" s="614"/>
      <c r="F68" s="667"/>
      <c r="G68" s="328" t="s">
        <v>16</v>
      </c>
      <c r="H68" s="910">
        <f>SUM(H65:H67)</f>
        <v>10513.206672845226</v>
      </c>
      <c r="I68" s="911">
        <f>SUM(I66:I67)</f>
        <v>43066.496756255787</v>
      </c>
      <c r="J68" s="924">
        <f>SUM(J66:J67)</f>
        <v>218692.07599629284</v>
      </c>
      <c r="K68" s="2311"/>
      <c r="L68" s="648"/>
      <c r="M68" s="650"/>
      <c r="N68" s="630"/>
      <c r="P68" s="112"/>
    </row>
    <row r="69" spans="1:20" ht="21.75" customHeight="1" x14ac:dyDescent="0.2">
      <c r="A69" s="565"/>
      <c r="B69" s="566"/>
      <c r="C69" s="19"/>
      <c r="D69" s="2206" t="s">
        <v>240</v>
      </c>
      <c r="E69" s="2068"/>
      <c r="F69" s="2303"/>
      <c r="G69" s="101" t="s">
        <v>12</v>
      </c>
      <c r="H69" s="919">
        <f>15/3.4528*1000</f>
        <v>4344.3002780352172</v>
      </c>
      <c r="I69" s="925">
        <f>50/3.4528*1000</f>
        <v>14481.00092678406</v>
      </c>
      <c r="J69" s="926">
        <f>50/3.4528*1000</f>
        <v>14481.00092678406</v>
      </c>
      <c r="K69" s="2309" t="s">
        <v>197</v>
      </c>
      <c r="L69" s="639"/>
      <c r="M69" s="640"/>
      <c r="N69" s="641">
        <v>1</v>
      </c>
      <c r="P69" s="112"/>
    </row>
    <row r="70" spans="1:20" ht="21.75" customHeight="1" x14ac:dyDescent="0.2">
      <c r="A70" s="565"/>
      <c r="B70" s="566"/>
      <c r="C70" s="19"/>
      <c r="D70" s="2190"/>
      <c r="E70" s="2068"/>
      <c r="F70" s="2303"/>
      <c r="G70" s="91"/>
      <c r="H70" s="874"/>
      <c r="I70" s="877"/>
      <c r="J70" s="927"/>
      <c r="K70" s="2310"/>
      <c r="L70" s="676"/>
      <c r="M70" s="678"/>
      <c r="N70" s="631"/>
      <c r="P70" s="112"/>
    </row>
    <row r="71" spans="1:20" x14ac:dyDescent="0.2">
      <c r="A71" s="29"/>
      <c r="B71" s="32"/>
      <c r="C71" s="44"/>
      <c r="D71" s="2190"/>
      <c r="E71" s="2068"/>
      <c r="F71" s="2303"/>
      <c r="G71" s="328" t="s">
        <v>16</v>
      </c>
      <c r="H71" s="910">
        <f>H69</f>
        <v>4344.3002780352172</v>
      </c>
      <c r="I71" s="911">
        <f>SUM(I69:I70)</f>
        <v>14481.00092678406</v>
      </c>
      <c r="J71" s="924">
        <f>SUM(J69:J70)</f>
        <v>14481.00092678406</v>
      </c>
      <c r="K71" s="2311"/>
      <c r="L71" s="651"/>
      <c r="M71" s="581"/>
      <c r="N71" s="685"/>
      <c r="P71" s="112"/>
    </row>
    <row r="72" spans="1:20" ht="12.75" customHeight="1" x14ac:dyDescent="0.2">
      <c r="A72" s="565"/>
      <c r="B72" s="566"/>
      <c r="C72" s="19"/>
      <c r="D72" s="2299" t="s">
        <v>198</v>
      </c>
      <c r="E72" s="2068"/>
      <c r="F72" s="2303"/>
      <c r="G72" s="101" t="s">
        <v>12</v>
      </c>
      <c r="H72" s="919">
        <f>31/3.4528*1000</f>
        <v>8978.2205746061172</v>
      </c>
      <c r="I72" s="925"/>
      <c r="J72" s="926"/>
      <c r="K72" s="2257" t="s">
        <v>199</v>
      </c>
      <c r="L72" s="627"/>
      <c r="M72" s="628">
        <v>1</v>
      </c>
      <c r="N72" s="632"/>
      <c r="P72" s="112"/>
    </row>
    <row r="73" spans="1:20" x14ac:dyDescent="0.2">
      <c r="A73" s="565"/>
      <c r="B73" s="566"/>
      <c r="C73" s="19"/>
      <c r="D73" s="2300"/>
      <c r="E73" s="2068"/>
      <c r="F73" s="2303"/>
      <c r="G73" s="101" t="s">
        <v>29</v>
      </c>
      <c r="H73" s="919"/>
      <c r="I73" s="925">
        <f>49/3.4528*1000</f>
        <v>14191.380908248379</v>
      </c>
      <c r="J73" s="926">
        <f>391/3.4528*1000</f>
        <v>113241.42724745134</v>
      </c>
      <c r="K73" s="2258"/>
      <c r="L73" s="676"/>
      <c r="M73" s="678"/>
      <c r="N73" s="631"/>
      <c r="O73" s="75"/>
    </row>
    <row r="74" spans="1:20" x14ac:dyDescent="0.2">
      <c r="A74" s="29"/>
      <c r="B74" s="32"/>
      <c r="C74" s="44"/>
      <c r="D74" s="2300"/>
      <c r="E74" s="2068"/>
      <c r="F74" s="2303"/>
      <c r="G74" s="616" t="s">
        <v>194</v>
      </c>
      <c r="H74" s="928"/>
      <c r="I74" s="913"/>
      <c r="J74" s="914">
        <f>69/3.4528*1000</f>
        <v>19983.781278962004</v>
      </c>
      <c r="K74" s="2257" t="s">
        <v>200</v>
      </c>
      <c r="L74" s="675"/>
      <c r="M74" s="677"/>
      <c r="N74" s="633">
        <v>50</v>
      </c>
    </row>
    <row r="75" spans="1:20" ht="16.5" customHeight="1" x14ac:dyDescent="0.2">
      <c r="A75" s="29"/>
      <c r="B75" s="32"/>
      <c r="C75" s="44"/>
      <c r="D75" s="2300"/>
      <c r="E75" s="2191"/>
      <c r="F75" s="2303"/>
      <c r="G75" s="328" t="s">
        <v>16</v>
      </c>
      <c r="H75" s="910">
        <f>SUM(H72:H74)</f>
        <v>8978.2205746061172</v>
      </c>
      <c r="I75" s="911">
        <f>SUM(I72:I74)</f>
        <v>14191.380908248379</v>
      </c>
      <c r="J75" s="924">
        <f>SUM(J73:J74)</f>
        <v>133225.20852641333</v>
      </c>
      <c r="K75" s="2258"/>
      <c r="L75" s="772"/>
      <c r="M75" s="719"/>
      <c r="N75" s="631"/>
      <c r="P75" s="112"/>
    </row>
    <row r="76" spans="1:20" ht="13.5" thickBot="1" x14ac:dyDescent="0.25">
      <c r="A76" s="569"/>
      <c r="B76" s="33"/>
      <c r="C76" s="45"/>
      <c r="D76" s="2301"/>
      <c r="E76" s="2296" t="s">
        <v>215</v>
      </c>
      <c r="F76" s="2297"/>
      <c r="G76" s="2298"/>
      <c r="H76" s="912">
        <f>H75+H71+H68+H64</f>
        <v>29628.127896200185</v>
      </c>
      <c r="I76" s="909">
        <f>I64+I71+I75+I68</f>
        <v>71738.87859128823</v>
      </c>
      <c r="J76" s="909">
        <f t="shared" ref="J76" si="2">J64+J71+J75+J68</f>
        <v>366398.28544949024</v>
      </c>
      <c r="K76" s="771"/>
      <c r="L76" s="768"/>
      <c r="M76" s="769"/>
      <c r="N76" s="770"/>
      <c r="P76" s="112"/>
    </row>
    <row r="77" spans="1:20" ht="15.75" customHeight="1" x14ac:dyDescent="0.2">
      <c r="A77" s="21" t="s">
        <v>9</v>
      </c>
      <c r="B77" s="27" t="s">
        <v>10</v>
      </c>
      <c r="C77" s="22" t="s">
        <v>11</v>
      </c>
      <c r="D77" s="2282" t="s">
        <v>55</v>
      </c>
      <c r="E77" s="783"/>
      <c r="F77" s="726">
        <v>6</v>
      </c>
      <c r="G77" s="104" t="s">
        <v>12</v>
      </c>
      <c r="H77" s="871">
        <f>493.7/3.4528*1000</f>
        <v>142985.40315106581</v>
      </c>
      <c r="I77" s="872">
        <f>108.9/3.4528*1000</f>
        <v>31539.620018535683</v>
      </c>
      <c r="J77" s="873"/>
      <c r="K77" s="2284" t="s">
        <v>138</v>
      </c>
      <c r="L77" s="106">
        <v>3</v>
      </c>
      <c r="M77" s="107">
        <v>1</v>
      </c>
      <c r="N77" s="108"/>
      <c r="O77" s="588"/>
      <c r="P77" s="588"/>
      <c r="Q77" s="588"/>
      <c r="R77" s="588"/>
    </row>
    <row r="78" spans="1:20" ht="25.5" customHeight="1" x14ac:dyDescent="0.2">
      <c r="A78" s="565"/>
      <c r="B78" s="566"/>
      <c r="C78" s="19"/>
      <c r="D78" s="2283"/>
      <c r="E78" s="784"/>
      <c r="F78" s="727"/>
      <c r="G78" s="101" t="s">
        <v>20</v>
      </c>
      <c r="H78" s="919">
        <f>163.1/3.4528*1000</f>
        <v>47237.025023169597</v>
      </c>
      <c r="I78" s="925"/>
      <c r="J78" s="926"/>
      <c r="K78" s="2113"/>
      <c r="L78" s="444"/>
      <c r="M78" s="80"/>
      <c r="N78" s="79"/>
      <c r="O78" s="588"/>
      <c r="P78" s="588"/>
      <c r="Q78" s="588"/>
      <c r="R78" s="588"/>
    </row>
    <row r="79" spans="1:20" ht="41.25" customHeight="1" x14ac:dyDescent="0.2">
      <c r="A79" s="565"/>
      <c r="B79" s="566"/>
      <c r="C79" s="19"/>
      <c r="D79" s="714" t="s">
        <v>204</v>
      </c>
      <c r="E79" s="784"/>
      <c r="F79" s="498"/>
      <c r="G79" s="541"/>
      <c r="H79" s="929"/>
      <c r="I79" s="877"/>
      <c r="J79" s="878"/>
      <c r="K79" s="725"/>
      <c r="L79" s="779"/>
      <c r="M79" s="80"/>
      <c r="N79" s="631"/>
    </row>
    <row r="80" spans="1:20" ht="41.25" customHeight="1" x14ac:dyDescent="0.2">
      <c r="A80" s="565"/>
      <c r="B80" s="566"/>
      <c r="C80" s="19"/>
      <c r="D80" s="2190" t="s">
        <v>182</v>
      </c>
      <c r="E80" s="2295"/>
      <c r="F80" s="2051"/>
      <c r="G80" s="91"/>
      <c r="H80" s="874"/>
      <c r="I80" s="877"/>
      <c r="J80" s="927"/>
      <c r="K80" s="84"/>
      <c r="L80" s="762"/>
      <c r="M80" s="780"/>
      <c r="N80" s="79"/>
      <c r="P80" s="112"/>
      <c r="T80" s="112"/>
    </row>
    <row r="81" spans="1:20" ht="27" customHeight="1" x14ac:dyDescent="0.2">
      <c r="A81" s="565"/>
      <c r="B81" s="566"/>
      <c r="C81" s="19"/>
      <c r="D81" s="2190"/>
      <c r="E81" s="2295"/>
      <c r="F81" s="2051"/>
      <c r="G81" s="541"/>
      <c r="H81" s="929"/>
      <c r="I81" s="877"/>
      <c r="J81" s="927"/>
      <c r="K81" s="725"/>
      <c r="L81" s="264"/>
      <c r="M81" s="719"/>
      <c r="N81" s="631"/>
      <c r="R81" s="112"/>
    </row>
    <row r="82" spans="1:20" ht="21" customHeight="1" x14ac:dyDescent="0.2">
      <c r="A82" s="565"/>
      <c r="B82" s="566"/>
      <c r="C82" s="19"/>
      <c r="D82" s="2190" t="s">
        <v>241</v>
      </c>
      <c r="E82" s="2295"/>
      <c r="F82" s="2051"/>
      <c r="G82" s="91"/>
      <c r="H82" s="874"/>
      <c r="I82" s="877"/>
      <c r="J82" s="927"/>
      <c r="K82" s="2113"/>
      <c r="L82" s="762"/>
      <c r="M82" s="780"/>
      <c r="N82" s="79"/>
      <c r="P82" s="112"/>
    </row>
    <row r="83" spans="1:20" ht="32.25" customHeight="1" x14ac:dyDescent="0.2">
      <c r="A83" s="565"/>
      <c r="B83" s="566"/>
      <c r="C83" s="19"/>
      <c r="D83" s="2190"/>
      <c r="E83" s="2295"/>
      <c r="F83" s="2051"/>
      <c r="G83" s="541"/>
      <c r="H83" s="929"/>
      <c r="I83" s="877"/>
      <c r="J83" s="927"/>
      <c r="K83" s="2113"/>
      <c r="L83" s="264"/>
      <c r="M83" s="719"/>
      <c r="N83" s="631"/>
      <c r="P83" s="112"/>
      <c r="T83" s="112"/>
    </row>
    <row r="84" spans="1:20" ht="30" customHeight="1" thickBot="1" x14ac:dyDescent="0.25">
      <c r="A84" s="24"/>
      <c r="B84" s="14"/>
      <c r="C84" s="45"/>
      <c r="D84" s="714" t="s">
        <v>216</v>
      </c>
      <c r="E84" s="785"/>
      <c r="F84" s="786"/>
      <c r="G84" s="320" t="s">
        <v>16</v>
      </c>
      <c r="H84" s="882">
        <f>SUM(H77:H83)</f>
        <v>190222.42817423539</v>
      </c>
      <c r="I84" s="883">
        <f t="shared" ref="I84" si="3">SUM(I77:I83)</f>
        <v>31539.620018535683</v>
      </c>
      <c r="J84" s="883"/>
      <c r="K84" s="781"/>
      <c r="L84" s="782"/>
      <c r="M84" s="766"/>
      <c r="N84" s="767"/>
    </row>
    <row r="85" spans="1:20" ht="13.5" thickBot="1" x14ac:dyDescent="0.25">
      <c r="A85" s="30" t="s">
        <v>9</v>
      </c>
      <c r="B85" s="33" t="s">
        <v>10</v>
      </c>
      <c r="C85" s="2288" t="s">
        <v>15</v>
      </c>
      <c r="D85" s="2188"/>
      <c r="E85" s="2188"/>
      <c r="F85" s="2188"/>
      <c r="G85" s="2189"/>
      <c r="H85" s="898">
        <f>H84+H76+H60</f>
        <v>3389133.4569045412</v>
      </c>
      <c r="I85" s="898">
        <f>I84+I76+I60</f>
        <v>3093518.303985172</v>
      </c>
      <c r="J85" s="898">
        <f t="shared" ref="J85" si="4">J84+J76+J60</f>
        <v>3047932.1130676554</v>
      </c>
      <c r="K85" s="2062"/>
      <c r="L85" s="2063"/>
      <c r="M85" s="2063"/>
      <c r="N85" s="2064"/>
    </row>
    <row r="86" spans="1:20" ht="13.5" thickBot="1" x14ac:dyDescent="0.25">
      <c r="A86" s="18" t="s">
        <v>9</v>
      </c>
      <c r="B86" s="154" t="s">
        <v>11</v>
      </c>
      <c r="C86" s="2139" t="s">
        <v>153</v>
      </c>
      <c r="D86" s="2140"/>
      <c r="E86" s="2140"/>
      <c r="F86" s="2140"/>
      <c r="G86" s="2140"/>
      <c r="H86" s="2140"/>
      <c r="I86" s="2140"/>
      <c r="J86" s="2140"/>
      <c r="K86" s="2140"/>
      <c r="L86" s="2140"/>
      <c r="M86" s="2140"/>
      <c r="N86" s="2141"/>
    </row>
    <row r="87" spans="1:20" ht="42.75" customHeight="1" x14ac:dyDescent="0.2">
      <c r="A87" s="21" t="s">
        <v>9</v>
      </c>
      <c r="B87" s="27" t="s">
        <v>11</v>
      </c>
      <c r="C87" s="22" t="s">
        <v>9</v>
      </c>
      <c r="D87" s="457" t="s">
        <v>78</v>
      </c>
      <c r="E87" s="2292" t="s">
        <v>217</v>
      </c>
      <c r="F87" s="969">
        <v>2</v>
      </c>
      <c r="G87" s="787" t="s">
        <v>12</v>
      </c>
      <c r="H87" s="871">
        <f>60/3.4528*1000</f>
        <v>17377.201112140869</v>
      </c>
      <c r="I87" s="872">
        <f>120/3.4528*1000</f>
        <v>34754.402224281737</v>
      </c>
      <c r="J87" s="872">
        <f>180/3.4528*1000</f>
        <v>52131.603336422617</v>
      </c>
      <c r="K87" s="225"/>
      <c r="L87" s="106"/>
      <c r="M87" s="107"/>
      <c r="N87" s="108"/>
    </row>
    <row r="88" spans="1:20" ht="42" customHeight="1" x14ac:dyDescent="0.2">
      <c r="A88" s="565"/>
      <c r="B88" s="566"/>
      <c r="C88" s="19"/>
      <c r="D88" s="593" t="s">
        <v>113</v>
      </c>
      <c r="E88" s="2293"/>
      <c r="F88" s="970"/>
      <c r="G88" s="590"/>
      <c r="H88" s="874"/>
      <c r="I88" s="930"/>
      <c r="J88" s="930"/>
      <c r="K88" s="594" t="s">
        <v>229</v>
      </c>
      <c r="L88" s="226">
        <v>1</v>
      </c>
      <c r="M88" s="227">
        <v>1</v>
      </c>
      <c r="N88" s="228">
        <v>1</v>
      </c>
      <c r="O88" s="75"/>
    </row>
    <row r="89" spans="1:20" ht="12.75" customHeight="1" x14ac:dyDescent="0.2">
      <c r="A89" s="565"/>
      <c r="B89" s="566"/>
      <c r="C89" s="19"/>
      <c r="D89" s="2289" t="s">
        <v>183</v>
      </c>
      <c r="E89" s="2293"/>
      <c r="F89" s="970"/>
      <c r="G89" s="590"/>
      <c r="H89" s="874"/>
      <c r="I89" s="931"/>
      <c r="J89" s="931"/>
      <c r="K89" s="794" t="s">
        <v>230</v>
      </c>
      <c r="L89" s="791"/>
      <c r="M89" s="792">
        <v>1</v>
      </c>
      <c r="N89" s="793">
        <v>1</v>
      </c>
    </row>
    <row r="90" spans="1:20" ht="28.5" customHeight="1" x14ac:dyDescent="0.2">
      <c r="A90" s="636"/>
      <c r="B90" s="635"/>
      <c r="C90" s="606"/>
      <c r="D90" s="2290"/>
      <c r="E90" s="2294"/>
      <c r="F90" s="850"/>
      <c r="G90" s="851"/>
      <c r="H90" s="932"/>
      <c r="I90" s="933"/>
      <c r="J90" s="933"/>
      <c r="K90" s="855" t="s">
        <v>231</v>
      </c>
      <c r="L90" s="856">
        <v>1</v>
      </c>
      <c r="M90" s="857">
        <v>1</v>
      </c>
      <c r="N90" s="858">
        <v>1</v>
      </c>
      <c r="P90" s="112"/>
    </row>
    <row r="91" spans="1:20" ht="51" x14ac:dyDescent="0.2">
      <c r="A91" s="565"/>
      <c r="B91" s="566"/>
      <c r="C91" s="19"/>
      <c r="D91" s="732" t="s">
        <v>242</v>
      </c>
      <c r="E91" s="848"/>
      <c r="F91" s="672"/>
      <c r="G91" s="590"/>
      <c r="H91" s="874"/>
      <c r="I91" s="930"/>
      <c r="J91" s="930"/>
      <c r="K91" s="795" t="s">
        <v>232</v>
      </c>
      <c r="L91" s="226"/>
      <c r="M91" s="227">
        <v>2</v>
      </c>
      <c r="N91" s="228">
        <v>4</v>
      </c>
      <c r="P91" s="112"/>
    </row>
    <row r="92" spans="1:20" x14ac:dyDescent="0.2">
      <c r="A92" s="565"/>
      <c r="B92" s="566"/>
      <c r="C92" s="19"/>
      <c r="D92" s="2289" t="s">
        <v>81</v>
      </c>
      <c r="E92" s="848"/>
      <c r="F92" s="672"/>
      <c r="G92" s="692"/>
      <c r="H92" s="879"/>
      <c r="I92" s="934"/>
      <c r="J92" s="934"/>
      <c r="K92" s="608"/>
      <c r="L92" s="483"/>
      <c r="M92" s="227"/>
      <c r="N92" s="228"/>
    </row>
    <row r="93" spans="1:20" ht="43.5" customHeight="1" thickBot="1" x14ac:dyDescent="0.25">
      <c r="A93" s="565"/>
      <c r="B93" s="566"/>
      <c r="C93" s="44"/>
      <c r="D93" s="2291"/>
      <c r="E93" s="849"/>
      <c r="F93" s="406"/>
      <c r="G93" s="591" t="s">
        <v>16</v>
      </c>
      <c r="H93" s="882">
        <f>SUM(H87:H92)</f>
        <v>17377.201112140869</v>
      </c>
      <c r="I93" s="935">
        <f>SUM(I87:I92)</f>
        <v>34754.402224281737</v>
      </c>
      <c r="J93" s="935">
        <f>SUM(J87:J92)</f>
        <v>52131.603336422617</v>
      </c>
      <c r="K93" s="1"/>
      <c r="L93" s="652"/>
      <c r="M93" s="653"/>
      <c r="N93" s="654"/>
    </row>
    <row r="94" spans="1:20" ht="51" x14ac:dyDescent="0.2">
      <c r="A94" s="21" t="s">
        <v>9</v>
      </c>
      <c r="B94" s="27" t="s">
        <v>11</v>
      </c>
      <c r="C94" s="22" t="s">
        <v>10</v>
      </c>
      <c r="D94" s="796" t="s">
        <v>89</v>
      </c>
      <c r="E94" s="485"/>
      <c r="F94" s="2148">
        <v>2</v>
      </c>
      <c r="G94" s="787" t="s">
        <v>12</v>
      </c>
      <c r="H94" s="871"/>
      <c r="I94" s="936">
        <f>30/3.4528*1000</f>
        <v>8688.6005560704343</v>
      </c>
      <c r="J94" s="936">
        <f>70/3.4528*1000</f>
        <v>20273.401297497687</v>
      </c>
      <c r="K94" s="225"/>
      <c r="L94" s="106"/>
      <c r="M94" s="107"/>
      <c r="N94" s="108"/>
    </row>
    <row r="95" spans="1:20" ht="42" customHeight="1" x14ac:dyDescent="0.2">
      <c r="A95" s="25"/>
      <c r="B95" s="28"/>
      <c r="C95" s="19"/>
      <c r="D95" s="122" t="s">
        <v>185</v>
      </c>
      <c r="E95" s="798" t="s">
        <v>109</v>
      </c>
      <c r="F95" s="2149"/>
      <c r="G95" s="428"/>
      <c r="H95" s="874"/>
      <c r="I95" s="894"/>
      <c r="J95" s="937"/>
      <c r="K95" s="84" t="s">
        <v>149</v>
      </c>
      <c r="L95" s="264"/>
      <c r="M95" s="719">
        <v>2</v>
      </c>
      <c r="N95" s="647">
        <v>3</v>
      </c>
      <c r="O95" s="187"/>
      <c r="P95" s="112"/>
      <c r="R95" s="112"/>
    </row>
    <row r="96" spans="1:20" ht="23.25" customHeight="1" x14ac:dyDescent="0.2">
      <c r="A96" s="565"/>
      <c r="B96" s="566"/>
      <c r="C96" s="19"/>
      <c r="D96" s="2135" t="s">
        <v>186</v>
      </c>
      <c r="E96" s="2066" t="s">
        <v>91</v>
      </c>
      <c r="F96" s="2149"/>
      <c r="G96" s="692"/>
      <c r="H96" s="879"/>
      <c r="I96" s="908"/>
      <c r="J96" s="908"/>
      <c r="K96" s="2042" t="s">
        <v>233</v>
      </c>
      <c r="L96" s="490"/>
      <c r="M96" s="488">
        <v>1</v>
      </c>
      <c r="N96" s="489">
        <v>1</v>
      </c>
      <c r="O96" s="187"/>
    </row>
    <row r="97" spans="1:16" ht="17.25" customHeight="1" thickBot="1" x14ac:dyDescent="0.25">
      <c r="A97" s="24"/>
      <c r="B97" s="14"/>
      <c r="C97" s="45"/>
      <c r="D97" s="2059"/>
      <c r="E97" s="2167"/>
      <c r="F97" s="2150"/>
      <c r="G97" s="591" t="s">
        <v>16</v>
      </c>
      <c r="H97" s="882"/>
      <c r="I97" s="909">
        <f>SUM(I94:I96)</f>
        <v>8688.6005560704343</v>
      </c>
      <c r="J97" s="909">
        <f>SUM(J94:J96)</f>
        <v>20273.401297497687</v>
      </c>
      <c r="K97" s="2043"/>
      <c r="L97" s="231"/>
      <c r="M97" s="681"/>
      <c r="N97" s="682"/>
      <c r="O97" s="187"/>
    </row>
    <row r="98" spans="1:16" ht="29.25" customHeight="1" x14ac:dyDescent="0.2">
      <c r="A98" s="21" t="s">
        <v>9</v>
      </c>
      <c r="B98" s="27" t="s">
        <v>11</v>
      </c>
      <c r="C98" s="22" t="s">
        <v>11</v>
      </c>
      <c r="D98" s="457" t="s">
        <v>96</v>
      </c>
      <c r="E98" s="2067" t="s">
        <v>100</v>
      </c>
      <c r="F98" s="2050" t="s">
        <v>35</v>
      </c>
      <c r="G98" s="787" t="s">
        <v>12</v>
      </c>
      <c r="H98" s="871"/>
      <c r="I98" s="938">
        <f>25/3.4528*1000</f>
        <v>7240.5004633920298</v>
      </c>
      <c r="J98" s="938">
        <f>35/3.4528*1000</f>
        <v>10136.700648748843</v>
      </c>
      <c r="K98" s="634"/>
      <c r="L98" s="229"/>
      <c r="M98" s="211"/>
      <c r="N98" s="230"/>
    </row>
    <row r="99" spans="1:16" ht="17.25" customHeight="1" x14ac:dyDescent="0.2">
      <c r="A99" s="565"/>
      <c r="B99" s="566"/>
      <c r="C99" s="19"/>
      <c r="D99" s="728" t="s">
        <v>243</v>
      </c>
      <c r="E99" s="2068"/>
      <c r="F99" s="2051"/>
      <c r="G99" s="590"/>
      <c r="H99" s="874"/>
      <c r="I99" s="893"/>
      <c r="J99" s="894"/>
      <c r="K99" s="597" t="s">
        <v>234</v>
      </c>
      <c r="L99" s="490"/>
      <c r="M99" s="488">
        <v>3</v>
      </c>
      <c r="N99" s="489">
        <v>4</v>
      </c>
    </row>
    <row r="100" spans="1:16" ht="15.75" customHeight="1" x14ac:dyDescent="0.2">
      <c r="A100" s="565"/>
      <c r="B100" s="566"/>
      <c r="C100" s="19"/>
      <c r="D100" s="2135" t="s">
        <v>97</v>
      </c>
      <c r="E100" s="2068"/>
      <c r="F100" s="2051"/>
      <c r="G100" s="692"/>
      <c r="H100" s="879"/>
      <c r="I100" s="939"/>
      <c r="J100" s="940"/>
      <c r="K100" s="2042" t="s">
        <v>220</v>
      </c>
      <c r="L100" s="490"/>
      <c r="M100" s="488">
        <v>2</v>
      </c>
      <c r="N100" s="489">
        <v>3</v>
      </c>
    </row>
    <row r="101" spans="1:16" ht="13.5" thickBot="1" x14ac:dyDescent="0.25">
      <c r="A101" s="24"/>
      <c r="B101" s="14"/>
      <c r="C101" s="45"/>
      <c r="D101" s="2059"/>
      <c r="E101" s="2069"/>
      <c r="F101" s="2052"/>
      <c r="G101" s="591" t="s">
        <v>16</v>
      </c>
      <c r="H101" s="882"/>
      <c r="I101" s="909">
        <f>SUM(I98:I100)</f>
        <v>7240.5004633920298</v>
      </c>
      <c r="J101" s="884">
        <f>SUM(J98:J100)</f>
        <v>10136.700648748843</v>
      </c>
      <c r="K101" s="2043"/>
      <c r="L101" s="680"/>
      <c r="M101" s="681"/>
      <c r="N101" s="682"/>
      <c r="P101" s="112"/>
    </row>
    <row r="102" spans="1:16" ht="39.75" customHeight="1" x14ac:dyDescent="0.2">
      <c r="A102" s="21" t="s">
        <v>9</v>
      </c>
      <c r="B102" s="27" t="s">
        <v>11</v>
      </c>
      <c r="C102" s="22" t="s">
        <v>13</v>
      </c>
      <c r="D102" s="2058" t="s">
        <v>188</v>
      </c>
      <c r="E102" s="2166" t="s">
        <v>94</v>
      </c>
      <c r="F102" s="2070" t="s">
        <v>35</v>
      </c>
      <c r="G102" s="691" t="s">
        <v>12</v>
      </c>
      <c r="H102" s="879">
        <f>40/3.4528*1000</f>
        <v>11584.800741427249</v>
      </c>
      <c r="I102" s="886">
        <f>40/3.4528*1000</f>
        <v>11584.800741427249</v>
      </c>
      <c r="J102" s="886">
        <f>40/3.4528*1000</f>
        <v>11584.800741427249</v>
      </c>
      <c r="K102" s="583" t="s">
        <v>235</v>
      </c>
      <c r="L102" s="579">
        <v>4</v>
      </c>
      <c r="M102" s="211">
        <v>10</v>
      </c>
      <c r="N102" s="230">
        <v>10</v>
      </c>
      <c r="O102" s="187"/>
    </row>
    <row r="103" spans="1:16" ht="13.5" thickBot="1" x14ac:dyDescent="0.25">
      <c r="A103" s="24"/>
      <c r="B103" s="14"/>
      <c r="C103" s="45"/>
      <c r="D103" s="2059"/>
      <c r="E103" s="2167"/>
      <c r="F103" s="2071"/>
      <c r="G103" s="591" t="s">
        <v>16</v>
      </c>
      <c r="H103" s="882">
        <f>H102</f>
        <v>11584.800741427249</v>
      </c>
      <c r="I103" s="909">
        <f t="shared" ref="I103:J103" si="5">I102</f>
        <v>11584.800741427249</v>
      </c>
      <c r="J103" s="884">
        <f t="shared" si="5"/>
        <v>11584.800741427249</v>
      </c>
      <c r="K103" s="598"/>
      <c r="L103" s="680"/>
      <c r="M103" s="681"/>
      <c r="N103" s="682"/>
      <c r="O103" s="187"/>
    </row>
    <row r="104" spans="1:16" ht="14.25" customHeight="1" thickBot="1" x14ac:dyDescent="0.25">
      <c r="A104" s="30" t="s">
        <v>9</v>
      </c>
      <c r="B104" s="33" t="s">
        <v>11</v>
      </c>
      <c r="C104" s="2288" t="s">
        <v>15</v>
      </c>
      <c r="D104" s="2188"/>
      <c r="E104" s="2188"/>
      <c r="F104" s="2188"/>
      <c r="G104" s="2189"/>
      <c r="H104" s="941">
        <f>H103+H101+H97+H93</f>
        <v>28962.001853568116</v>
      </c>
      <c r="I104" s="942">
        <f>I103+I97+I93+I101</f>
        <v>62268.303985171457</v>
      </c>
      <c r="J104" s="942">
        <f>J103+J97+J93+J101</f>
        <v>94126.506024096394</v>
      </c>
      <c r="K104" s="2062"/>
      <c r="L104" s="2063"/>
      <c r="M104" s="2063"/>
      <c r="N104" s="2064"/>
    </row>
    <row r="105" spans="1:16" ht="14.25" customHeight="1" thickBot="1" x14ac:dyDescent="0.25">
      <c r="A105" s="13" t="s">
        <v>9</v>
      </c>
      <c r="B105" s="2274" t="s">
        <v>17</v>
      </c>
      <c r="C105" s="2168"/>
      <c r="D105" s="2168"/>
      <c r="E105" s="2168"/>
      <c r="F105" s="2168"/>
      <c r="G105" s="2169"/>
      <c r="H105" s="943">
        <f>H104+H85+H29</f>
        <v>4050422.8452270618</v>
      </c>
      <c r="I105" s="944">
        <f>I85+I29+I104</f>
        <v>3888583.1788693243</v>
      </c>
      <c r="J105" s="944">
        <f>J85+J29+J104</f>
        <v>3929882.9935125113</v>
      </c>
      <c r="K105" s="2142"/>
      <c r="L105" s="2143"/>
      <c r="M105" s="2143"/>
      <c r="N105" s="2144"/>
    </row>
    <row r="106" spans="1:16" ht="14.25" customHeight="1" thickBot="1" x14ac:dyDescent="0.25">
      <c r="A106" s="31" t="s">
        <v>14</v>
      </c>
      <c r="B106" s="2275" t="s">
        <v>95</v>
      </c>
      <c r="C106" s="2173"/>
      <c r="D106" s="2173"/>
      <c r="E106" s="2173"/>
      <c r="F106" s="2173"/>
      <c r="G106" s="2174"/>
      <c r="H106" s="945">
        <f>H105</f>
        <v>4050422.8452270618</v>
      </c>
      <c r="I106" s="947">
        <f t="shared" ref="I106" si="6">I105</f>
        <v>3888583.1788693243</v>
      </c>
      <c r="J106" s="946">
        <f>J105</f>
        <v>3929882.9935125113</v>
      </c>
      <c r="K106" s="2079"/>
      <c r="L106" s="2080"/>
      <c r="M106" s="2080"/>
      <c r="N106" s="2081"/>
    </row>
    <row r="107" spans="1:16" ht="14.25" customHeight="1" x14ac:dyDescent="0.2">
      <c r="A107" s="705"/>
      <c r="B107" s="706"/>
      <c r="C107" s="706"/>
      <c r="D107" s="706"/>
      <c r="E107" s="706"/>
      <c r="F107" s="706"/>
      <c r="G107" s="706"/>
      <c r="H107" s="948"/>
      <c r="I107" s="948"/>
      <c r="J107" s="948"/>
      <c r="K107" s="704"/>
      <c r="L107" s="704"/>
      <c r="M107" s="704"/>
      <c r="N107" s="704"/>
    </row>
    <row r="108" spans="1:16" ht="15.75" customHeight="1" thickBot="1" x14ac:dyDescent="0.25">
      <c r="A108" s="2264" t="s">
        <v>21</v>
      </c>
      <c r="B108" s="2264"/>
      <c r="C108" s="2264"/>
      <c r="D108" s="2264"/>
      <c r="E108" s="2264"/>
      <c r="F108" s="2264"/>
      <c r="G108" s="2264"/>
      <c r="H108" s="2264"/>
      <c r="I108" s="2264"/>
      <c r="J108" s="2264"/>
      <c r="K108" s="249"/>
      <c r="L108" s="655"/>
      <c r="M108" s="655"/>
      <c r="N108" s="655"/>
    </row>
    <row r="109" spans="1:16" ht="42" customHeight="1" x14ac:dyDescent="0.2">
      <c r="A109" s="2265" t="s">
        <v>19</v>
      </c>
      <c r="B109" s="2266"/>
      <c r="C109" s="2266"/>
      <c r="D109" s="2266"/>
      <c r="E109" s="2266"/>
      <c r="F109" s="2266"/>
      <c r="G109" s="2267"/>
      <c r="H109" s="949" t="s">
        <v>207</v>
      </c>
      <c r="I109" s="950" t="s">
        <v>208</v>
      </c>
      <c r="J109" s="950" t="s">
        <v>209</v>
      </c>
      <c r="K109" s="70"/>
      <c r="L109" s="2165"/>
      <c r="M109" s="2165"/>
      <c r="N109" s="2165"/>
    </row>
    <row r="110" spans="1:16" x14ac:dyDescent="0.2">
      <c r="A110" s="2279" t="s">
        <v>32</v>
      </c>
      <c r="B110" s="2280"/>
      <c r="C110" s="2280"/>
      <c r="D110" s="2280"/>
      <c r="E110" s="2280"/>
      <c r="F110" s="2280"/>
      <c r="G110" s="2281"/>
      <c r="H110" s="951">
        <f ca="1">SUM(H111:H114)</f>
        <v>3804796.1075069509</v>
      </c>
      <c r="I110" s="952">
        <f>SUM(I111:I114)</f>
        <v>3721269.694161261</v>
      </c>
      <c r="J110" s="952">
        <f>SUM(J111:J114)</f>
        <v>3584105.6533827614</v>
      </c>
      <c r="K110" s="71"/>
      <c r="L110" s="2163"/>
      <c r="M110" s="2163"/>
      <c r="N110" s="2163"/>
    </row>
    <row r="111" spans="1:16" x14ac:dyDescent="0.2">
      <c r="A111" s="2175" t="s">
        <v>22</v>
      </c>
      <c r="B111" s="2176"/>
      <c r="C111" s="2176"/>
      <c r="D111" s="2176"/>
      <c r="E111" s="2176"/>
      <c r="F111" s="2176"/>
      <c r="G111" s="2177"/>
      <c r="H111" s="953">
        <f>SUMIF(G12:G102,"sb",H12:H102)</f>
        <v>3328052.5949953659</v>
      </c>
      <c r="I111" s="954">
        <f>SUMIF(G12:G102,"sb",I12:I102)</f>
        <v>3192278.7303058393</v>
      </c>
      <c r="J111" s="954">
        <f>SUMIF(G12:G102,"sb",J12:J102)</f>
        <v>3000318.5820203889</v>
      </c>
      <c r="K111" s="145"/>
      <c r="L111" s="2164"/>
      <c r="M111" s="2164"/>
      <c r="N111" s="2164"/>
    </row>
    <row r="112" spans="1:16" x14ac:dyDescent="0.2">
      <c r="A112" s="2175" t="s">
        <v>112</v>
      </c>
      <c r="B112" s="2176"/>
      <c r="C112" s="2176"/>
      <c r="D112" s="2176"/>
      <c r="E112" s="2176"/>
      <c r="F112" s="2176"/>
      <c r="G112" s="2177"/>
      <c r="H112" s="953">
        <f>SUMIF(G12:G102,"sb(vr)",H12:H102)</f>
        <v>134412.65060240965</v>
      </c>
      <c r="I112" s="954">
        <f>SUMIF(G13:G102,"sb(vr)",I13:I102)</f>
        <v>152919.36978683967</v>
      </c>
      <c r="J112" s="954">
        <f>SUMIF(G13:G102,"sb(vr)",J13:J102)</f>
        <v>152919.36978683967</v>
      </c>
      <c r="K112" s="588"/>
      <c r="L112" s="671"/>
      <c r="M112" s="671"/>
      <c r="N112" s="671"/>
    </row>
    <row r="113" spans="1:14" ht="29.25" customHeight="1" x14ac:dyDescent="0.2">
      <c r="A113" s="2276" t="s">
        <v>31</v>
      </c>
      <c r="B113" s="2277"/>
      <c r="C113" s="2277"/>
      <c r="D113" s="2277"/>
      <c r="E113" s="2277"/>
      <c r="F113" s="2277"/>
      <c r="G113" s="2278"/>
      <c r="H113" s="955">
        <f>SUMIF(G12:G102,"sb(sp)",H12:H102)</f>
        <v>342330.86190917518</v>
      </c>
      <c r="I113" s="956">
        <f>SUMIF(G13:G102,"sb(sp)",I13:I102)</f>
        <v>376071.59406858205</v>
      </c>
      <c r="J113" s="956">
        <f>SUMIF(G13:G102,"SB(SP)",J13:J102)</f>
        <v>376071.59406858205</v>
      </c>
      <c r="K113" s="708"/>
      <c r="L113" s="2164"/>
      <c r="M113" s="2164"/>
      <c r="N113" s="2164"/>
    </row>
    <row r="114" spans="1:14" s="8" customFormat="1" x14ac:dyDescent="0.2">
      <c r="A114" s="2271" t="s">
        <v>193</v>
      </c>
      <c r="B114" s="2272"/>
      <c r="C114" s="2272"/>
      <c r="D114" s="2272"/>
      <c r="E114" s="2272"/>
      <c r="F114" s="2272"/>
      <c r="G114" s="2273"/>
      <c r="H114" s="957">
        <f ca="1">SUMIF(G12:H102,"sb(p)",H12:H102)</f>
        <v>0</v>
      </c>
      <c r="I114" s="958">
        <f>SUMIF(G13:G102,"SB(P)",I13:I102)</f>
        <v>0</v>
      </c>
      <c r="J114" s="959">
        <f>SUMIF(G13:G102,"SB(P)",J13:J102)</f>
        <v>54796.107506950881</v>
      </c>
      <c r="K114" s="145"/>
      <c r="L114" s="671"/>
      <c r="M114" s="671"/>
      <c r="N114" s="671"/>
    </row>
    <row r="115" spans="1:14" x14ac:dyDescent="0.2">
      <c r="A115" s="2279" t="s">
        <v>33</v>
      </c>
      <c r="B115" s="2280"/>
      <c r="C115" s="2280"/>
      <c r="D115" s="2280"/>
      <c r="E115" s="2280"/>
      <c r="F115" s="2280"/>
      <c r="G115" s="2281"/>
      <c r="H115" s="951">
        <f>SUM(H116:H117)</f>
        <v>245626.73772011121</v>
      </c>
      <c r="I115" s="960">
        <f>SUM(I116:I117)</f>
        <v>167313.48470806301</v>
      </c>
      <c r="J115" s="960">
        <f>SUM(J116:J117)</f>
        <v>345777.34012974973</v>
      </c>
      <c r="K115" s="71"/>
      <c r="L115" s="2163"/>
      <c r="M115" s="2163"/>
      <c r="N115" s="2163"/>
    </row>
    <row r="116" spans="1:14" x14ac:dyDescent="0.2">
      <c r="A116" s="2175" t="s">
        <v>23</v>
      </c>
      <c r="B116" s="2176"/>
      <c r="C116" s="2176"/>
      <c r="D116" s="2176"/>
      <c r="E116" s="2176"/>
      <c r="F116" s="2176"/>
      <c r="G116" s="2177"/>
      <c r="H116" s="953">
        <f>SUMIF(G12:G102,"es",H12:H102)</f>
        <v>188774.328081557</v>
      </c>
      <c r="I116" s="954">
        <f>SUMIF(G13:G102,"es",I13:I102)</f>
        <v>103597.08063021315</v>
      </c>
      <c r="J116" s="954">
        <f>SUMIF(G13:G102,"es",J13:J102)</f>
        <v>297121.17701575533</v>
      </c>
      <c r="K116" s="145"/>
      <c r="L116" s="2164"/>
      <c r="M116" s="2164"/>
      <c r="N116" s="2164"/>
    </row>
    <row r="117" spans="1:14" x14ac:dyDescent="0.2">
      <c r="A117" s="2175" t="s">
        <v>24</v>
      </c>
      <c r="B117" s="2176"/>
      <c r="C117" s="2176"/>
      <c r="D117" s="2176"/>
      <c r="E117" s="2176"/>
      <c r="F117" s="2176"/>
      <c r="G117" s="2177"/>
      <c r="H117" s="953">
        <f>SUMIF(G12:G102,"lrvb",H12:H102)</f>
        <v>56852.409638554214</v>
      </c>
      <c r="I117" s="954">
        <f>SUMIF(G13:G102,"lrvb",I13:I102)</f>
        <v>63716.404077849867</v>
      </c>
      <c r="J117" s="954">
        <f>SUMIF(G13:G102,"lrvb",J13:J102)</f>
        <v>48656.163113994437</v>
      </c>
      <c r="K117" s="145"/>
      <c r="L117" s="2164"/>
      <c r="M117" s="2164"/>
      <c r="N117" s="2164"/>
    </row>
    <row r="118" spans="1:14" ht="13.5" thickBot="1" x14ac:dyDescent="0.25">
      <c r="A118" s="2285" t="s">
        <v>16</v>
      </c>
      <c r="B118" s="2286"/>
      <c r="C118" s="2286"/>
      <c r="D118" s="2286"/>
      <c r="E118" s="2286"/>
      <c r="F118" s="2286"/>
      <c r="G118" s="2287"/>
      <c r="H118" s="885">
        <f ca="1">H115+H110</f>
        <v>4050422.8452270622</v>
      </c>
      <c r="I118" s="884">
        <f>I115+I110</f>
        <v>3888583.1788693238</v>
      </c>
      <c r="J118" s="884">
        <f>J115+J110</f>
        <v>3929882.9935125113</v>
      </c>
      <c r="K118" s="71"/>
      <c r="L118" s="2163"/>
      <c r="M118" s="2163"/>
      <c r="N118" s="2163"/>
    </row>
    <row r="119" spans="1:14" x14ac:dyDescent="0.2">
      <c r="A119" s="47"/>
      <c r="B119" s="47"/>
      <c r="C119" s="47"/>
      <c r="D119" s="47"/>
      <c r="K119" s="72"/>
      <c r="L119" s="2164"/>
      <c r="M119" s="2164"/>
      <c r="N119" s="2164"/>
    </row>
    <row r="120" spans="1:14" x14ac:dyDescent="0.2">
      <c r="L120" s="2161"/>
      <c r="M120" s="2161"/>
      <c r="N120" s="2161"/>
    </row>
    <row r="121" spans="1:14" x14ac:dyDescent="0.2">
      <c r="K121" s="10"/>
      <c r="L121" s="656"/>
      <c r="M121" s="656"/>
      <c r="N121" s="656"/>
    </row>
    <row r="122" spans="1:14" x14ac:dyDescent="0.2">
      <c r="A122" s="1"/>
      <c r="B122" s="1"/>
      <c r="C122" s="1"/>
      <c r="D122" s="1"/>
      <c r="E122" s="1"/>
      <c r="F122" s="1"/>
      <c r="G122" s="1"/>
      <c r="H122" s="962"/>
      <c r="I122" s="868"/>
      <c r="J122" s="868"/>
      <c r="K122" s="51"/>
      <c r="L122" s="657"/>
      <c r="M122" s="657"/>
      <c r="N122" s="657"/>
    </row>
    <row r="123" spans="1:14" x14ac:dyDescent="0.2">
      <c r="A123" s="1"/>
      <c r="B123" s="1"/>
      <c r="C123" s="1"/>
      <c r="D123" s="1"/>
      <c r="E123" s="1"/>
      <c r="F123" s="1"/>
      <c r="G123" s="1"/>
      <c r="H123" s="962"/>
      <c r="I123" s="868"/>
      <c r="J123" s="868"/>
      <c r="K123" s="49"/>
      <c r="L123" s="657"/>
      <c r="M123" s="657"/>
      <c r="N123" s="657"/>
    </row>
    <row r="124" spans="1:14" x14ac:dyDescent="0.2">
      <c r="A124" s="1"/>
      <c r="B124" s="1"/>
      <c r="C124" s="1"/>
      <c r="D124" s="1"/>
      <c r="E124" s="1"/>
      <c r="F124" s="1"/>
      <c r="G124" s="1"/>
      <c r="H124" s="962"/>
      <c r="I124" s="868"/>
      <c r="J124" s="868"/>
      <c r="K124" s="49"/>
      <c r="L124" s="657"/>
      <c r="M124" s="657"/>
      <c r="N124" s="657"/>
    </row>
    <row r="125" spans="1:14" x14ac:dyDescent="0.2">
      <c r="A125" s="1"/>
      <c r="B125" s="1"/>
      <c r="C125" s="1"/>
      <c r="D125" s="1"/>
      <c r="E125" s="1"/>
      <c r="F125" s="1"/>
      <c r="G125" s="1"/>
      <c r="H125" s="962"/>
      <c r="I125" s="868"/>
      <c r="J125" s="868"/>
      <c r="K125" s="49"/>
      <c r="L125" s="657"/>
      <c r="M125" s="657"/>
      <c r="N125" s="657"/>
    </row>
    <row r="134" spans="11:11" s="1" customFormat="1" x14ac:dyDescent="0.2">
      <c r="K134" s="859"/>
    </row>
  </sheetData>
  <mergeCells count="130">
    <mergeCell ref="A1:N1"/>
    <mergeCell ref="A2:N2"/>
    <mergeCell ref="A3:N3"/>
    <mergeCell ref="M4:N4"/>
    <mergeCell ref="A5:A7"/>
    <mergeCell ref="B5:B7"/>
    <mergeCell ref="C5:C7"/>
    <mergeCell ref="D5:D7"/>
    <mergeCell ref="E5:E7"/>
    <mergeCell ref="I5:I7"/>
    <mergeCell ref="J5:J7"/>
    <mergeCell ref="K5:N5"/>
    <mergeCell ref="A9:N9"/>
    <mergeCell ref="B10:N10"/>
    <mergeCell ref="C11:N11"/>
    <mergeCell ref="D17:D18"/>
    <mergeCell ref="K17:K18"/>
    <mergeCell ref="E12:E13"/>
    <mergeCell ref="C29:G29"/>
    <mergeCell ref="K29:N29"/>
    <mergeCell ref="K6:K7"/>
    <mergeCell ref="L6:N6"/>
    <mergeCell ref="A8:N8"/>
    <mergeCell ref="F5:F7"/>
    <mergeCell ref="G5:G7"/>
    <mergeCell ref="D19:D20"/>
    <mergeCell ref="E19:E20"/>
    <mergeCell ref="F19:F20"/>
    <mergeCell ref="D21:D22"/>
    <mergeCell ref="E21:E22"/>
    <mergeCell ref="C30:N30"/>
    <mergeCell ref="D31:D32"/>
    <mergeCell ref="D33:D35"/>
    <mergeCell ref="K21:K22"/>
    <mergeCell ref="L21:L22"/>
    <mergeCell ref="M21:M22"/>
    <mergeCell ref="N21:N22"/>
    <mergeCell ref="D25:D26"/>
    <mergeCell ref="D27:D28"/>
    <mergeCell ref="K25:K26"/>
    <mergeCell ref="K33:K36"/>
    <mergeCell ref="L33:L36"/>
    <mergeCell ref="M33:M36"/>
    <mergeCell ref="N33:N36"/>
    <mergeCell ref="E31:E36"/>
    <mergeCell ref="F21:F22"/>
    <mergeCell ref="D50:D52"/>
    <mergeCell ref="K50:K52"/>
    <mergeCell ref="K56:K57"/>
    <mergeCell ref="D36:D37"/>
    <mergeCell ref="D38:D39"/>
    <mergeCell ref="D40:D42"/>
    <mergeCell ref="D43:D45"/>
    <mergeCell ref="D46:D47"/>
    <mergeCell ref="D48:D49"/>
    <mergeCell ref="D53:D55"/>
    <mergeCell ref="E52:E56"/>
    <mergeCell ref="D56:D58"/>
    <mergeCell ref="M56:M57"/>
    <mergeCell ref="E72:E75"/>
    <mergeCell ref="F72:F75"/>
    <mergeCell ref="K72:K73"/>
    <mergeCell ref="K74:K75"/>
    <mergeCell ref="N56:N57"/>
    <mergeCell ref="D63:D64"/>
    <mergeCell ref="L56:L57"/>
    <mergeCell ref="E63:E64"/>
    <mergeCell ref="D65:D68"/>
    <mergeCell ref="K65:K68"/>
    <mergeCell ref="D69:D71"/>
    <mergeCell ref="E69:E71"/>
    <mergeCell ref="F69:F71"/>
    <mergeCell ref="K69:K71"/>
    <mergeCell ref="D59:D60"/>
    <mergeCell ref="D80:D81"/>
    <mergeCell ref="E80:E81"/>
    <mergeCell ref="F80:F81"/>
    <mergeCell ref="D82:D83"/>
    <mergeCell ref="E82:E83"/>
    <mergeCell ref="F82:F83"/>
    <mergeCell ref="K82:K83"/>
    <mergeCell ref="E76:G76"/>
    <mergeCell ref="D72:D76"/>
    <mergeCell ref="K100:K101"/>
    <mergeCell ref="L109:N109"/>
    <mergeCell ref="K104:N104"/>
    <mergeCell ref="C85:G85"/>
    <mergeCell ref="K85:N85"/>
    <mergeCell ref="C86:N86"/>
    <mergeCell ref="D89:D90"/>
    <mergeCell ref="D92:D93"/>
    <mergeCell ref="D102:D103"/>
    <mergeCell ref="E102:E103"/>
    <mergeCell ref="F102:F103"/>
    <mergeCell ref="C104:G104"/>
    <mergeCell ref="E87:E90"/>
    <mergeCell ref="L119:N119"/>
    <mergeCell ref="L120:N120"/>
    <mergeCell ref="A117:G117"/>
    <mergeCell ref="L117:N117"/>
    <mergeCell ref="A118:G118"/>
    <mergeCell ref="L118:N118"/>
    <mergeCell ref="A115:G115"/>
    <mergeCell ref="L115:N115"/>
    <mergeCell ref="A116:G116"/>
    <mergeCell ref="L116:N116"/>
    <mergeCell ref="A111:G111"/>
    <mergeCell ref="L111:N111"/>
    <mergeCell ref="A108:J108"/>
    <mergeCell ref="A109:G109"/>
    <mergeCell ref="H5:H7"/>
    <mergeCell ref="L113:N113"/>
    <mergeCell ref="A114:G114"/>
    <mergeCell ref="B105:G105"/>
    <mergeCell ref="K105:N105"/>
    <mergeCell ref="B106:G106"/>
    <mergeCell ref="K106:N106"/>
    <mergeCell ref="A112:G112"/>
    <mergeCell ref="A113:G113"/>
    <mergeCell ref="A110:G110"/>
    <mergeCell ref="L110:N110"/>
    <mergeCell ref="E98:E101"/>
    <mergeCell ref="F98:F101"/>
    <mergeCell ref="D100:D101"/>
    <mergeCell ref="F94:F97"/>
    <mergeCell ref="D96:D97"/>
    <mergeCell ref="E96:E97"/>
    <mergeCell ref="K96:K97"/>
    <mergeCell ref="D77:D78"/>
    <mergeCell ref="K77:K78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5" orientation="portrait" r:id="rId1"/>
  <rowBreaks count="2" manualBreakCount="2">
    <brk id="49" max="13" man="1"/>
    <brk id="9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115" customWidth="1"/>
    <col min="2" max="2" width="60.7109375" style="115" customWidth="1"/>
    <col min="3" max="16384" width="9.140625" style="115"/>
  </cols>
  <sheetData>
    <row r="1" spans="1:2" x14ac:dyDescent="0.25">
      <c r="A1" s="2319" t="s">
        <v>57</v>
      </c>
      <c r="B1" s="2319"/>
    </row>
    <row r="2" spans="1:2" ht="31.5" x14ac:dyDescent="0.25">
      <c r="A2" s="116" t="s">
        <v>5</v>
      </c>
      <c r="B2" s="117" t="s">
        <v>58</v>
      </c>
    </row>
    <row r="3" spans="1:2" x14ac:dyDescent="0.25">
      <c r="A3" s="116">
        <v>1</v>
      </c>
      <c r="B3" s="117" t="s">
        <v>59</v>
      </c>
    </row>
    <row r="4" spans="1:2" x14ac:dyDescent="0.25">
      <c r="A4" s="116">
        <v>2</v>
      </c>
      <c r="B4" s="117" t="s">
        <v>60</v>
      </c>
    </row>
    <row r="5" spans="1:2" x14ac:dyDescent="0.25">
      <c r="A5" s="116">
        <v>3</v>
      </c>
      <c r="B5" s="117" t="s">
        <v>61</v>
      </c>
    </row>
    <row r="6" spans="1:2" x14ac:dyDescent="0.25">
      <c r="A6" s="116">
        <v>4</v>
      </c>
      <c r="B6" s="117" t="s">
        <v>62</v>
      </c>
    </row>
    <row r="7" spans="1:2" x14ac:dyDescent="0.25">
      <c r="A7" s="116">
        <v>5</v>
      </c>
      <c r="B7" s="117" t="s">
        <v>63</v>
      </c>
    </row>
    <row r="8" spans="1:2" x14ac:dyDescent="0.25">
      <c r="A8" s="116">
        <v>6</v>
      </c>
      <c r="B8" s="117" t="s">
        <v>64</v>
      </c>
    </row>
    <row r="9" spans="1:2" ht="15.75" customHeight="1" x14ac:dyDescent="0.25"/>
    <row r="10" spans="1:2" ht="15.75" customHeight="1" x14ac:dyDescent="0.25">
      <c r="A10" s="2320" t="s">
        <v>65</v>
      </c>
      <c r="B10" s="2320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5"/>
  <sheetViews>
    <sheetView zoomScaleNormal="100" workbookViewId="0">
      <selection sqref="A1:Q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6" customWidth="1"/>
    <col min="6" max="6" width="2.7109375" style="41" customWidth="1"/>
    <col min="7" max="7" width="8.5703125" style="6" customWidth="1"/>
    <col min="8" max="8" width="9.85546875" style="4" customWidth="1"/>
    <col min="9" max="11" width="9.140625" style="4" hidden="1" customWidth="1"/>
    <col min="12" max="13" width="9.140625" style="4" customWidth="1"/>
    <col min="14" max="14" width="24.7109375" style="50" customWidth="1"/>
    <col min="15" max="17" width="4.5703125" style="41" customWidth="1"/>
    <col min="18" max="16384" width="9.140625" style="1"/>
  </cols>
  <sheetData>
    <row r="1" spans="1:21" s="11" customFormat="1" x14ac:dyDescent="0.2">
      <c r="A1" s="2084" t="s">
        <v>173</v>
      </c>
      <c r="B1" s="2084"/>
      <c r="C1" s="2084"/>
      <c r="D1" s="2084"/>
      <c r="E1" s="2084"/>
      <c r="F1" s="2084"/>
      <c r="G1" s="2084"/>
      <c r="H1" s="2084"/>
      <c r="I1" s="2084"/>
      <c r="J1" s="2084"/>
      <c r="K1" s="2084"/>
      <c r="L1" s="2084"/>
      <c r="M1" s="2084"/>
      <c r="N1" s="2084"/>
      <c r="O1" s="2084"/>
      <c r="P1" s="2084"/>
      <c r="Q1" s="2084"/>
    </row>
    <row r="2" spans="1:21" s="11" customFormat="1" x14ac:dyDescent="0.2">
      <c r="A2" s="2096" t="s">
        <v>68</v>
      </c>
      <c r="B2" s="2097"/>
      <c r="C2" s="2097"/>
      <c r="D2" s="2097"/>
      <c r="E2" s="2097"/>
      <c r="F2" s="2097"/>
      <c r="G2" s="2097"/>
      <c r="H2" s="2097"/>
      <c r="I2" s="2097"/>
      <c r="J2" s="2097"/>
      <c r="K2" s="2097"/>
      <c r="L2" s="2097"/>
      <c r="M2" s="2097"/>
      <c r="N2" s="2097"/>
      <c r="O2" s="2097"/>
      <c r="P2" s="2097"/>
      <c r="Q2" s="2097"/>
    </row>
    <row r="3" spans="1:21" s="11" customFormat="1" x14ac:dyDescent="0.2">
      <c r="A3" s="2084" t="s">
        <v>166</v>
      </c>
      <c r="B3" s="2104"/>
      <c r="C3" s="2104"/>
      <c r="D3" s="2104"/>
      <c r="E3" s="2104"/>
      <c r="F3" s="2104"/>
      <c r="G3" s="2104"/>
      <c r="H3" s="2104"/>
      <c r="I3" s="2104"/>
      <c r="J3" s="2104"/>
      <c r="K3" s="2104"/>
      <c r="L3" s="2104"/>
      <c r="M3" s="2104"/>
      <c r="N3" s="2104"/>
      <c r="O3" s="2104"/>
      <c r="P3" s="2104"/>
      <c r="Q3" s="2104"/>
    </row>
    <row r="4" spans="1:21" s="11" customFormat="1" ht="13.5" thickBot="1" x14ac:dyDescent="0.25">
      <c r="A4" s="8"/>
      <c r="B4" s="8"/>
      <c r="C4" s="8"/>
      <c r="D4" s="8"/>
      <c r="E4" s="832"/>
      <c r="F4" s="42"/>
      <c r="G4" s="6"/>
      <c r="H4" s="8"/>
      <c r="I4" s="8"/>
      <c r="J4" s="8"/>
      <c r="K4" s="8"/>
      <c r="L4" s="8"/>
      <c r="M4" s="8"/>
      <c r="N4" s="48"/>
      <c r="O4" s="42"/>
      <c r="P4" s="2088" t="s">
        <v>0</v>
      </c>
      <c r="Q4" s="2088"/>
    </row>
    <row r="5" spans="1:21" s="11" customFormat="1" ht="13.5" thickBot="1" x14ac:dyDescent="0.25">
      <c r="A5" s="2098" t="s">
        <v>1</v>
      </c>
      <c r="B5" s="2101" t="s">
        <v>2</v>
      </c>
      <c r="C5" s="2101" t="s">
        <v>3</v>
      </c>
      <c r="D5" s="2218" t="s">
        <v>25</v>
      </c>
      <c r="E5" s="2105" t="s">
        <v>4</v>
      </c>
      <c r="F5" s="2108" t="s">
        <v>5</v>
      </c>
      <c r="G5" s="2118" t="s">
        <v>6</v>
      </c>
      <c r="H5" s="2321" t="s">
        <v>174</v>
      </c>
      <c r="I5" s="2322"/>
      <c r="J5" s="2322"/>
      <c r="K5" s="2323"/>
      <c r="L5" s="2118" t="s">
        <v>74</v>
      </c>
      <c r="M5" s="2118" t="s">
        <v>175</v>
      </c>
      <c r="N5" s="2226" t="s">
        <v>167</v>
      </c>
      <c r="O5" s="2227"/>
      <c r="P5" s="2227"/>
      <c r="Q5" s="2228"/>
    </row>
    <row r="6" spans="1:21" s="11" customFormat="1" x14ac:dyDescent="0.2">
      <c r="A6" s="2099"/>
      <c r="B6" s="2102"/>
      <c r="C6" s="2102"/>
      <c r="D6" s="2219"/>
      <c r="E6" s="2106"/>
      <c r="F6" s="2109"/>
      <c r="G6" s="2119"/>
      <c r="H6" s="2324"/>
      <c r="I6" s="2325"/>
      <c r="J6" s="2325"/>
      <c r="K6" s="2326"/>
      <c r="L6" s="2119"/>
      <c r="M6" s="2119"/>
      <c r="N6" s="2121" t="s">
        <v>25</v>
      </c>
      <c r="O6" s="2234" t="s">
        <v>219</v>
      </c>
      <c r="P6" s="2235"/>
      <c r="Q6" s="2236"/>
    </row>
    <row r="7" spans="1:21" s="11" customFormat="1" ht="79.5" customHeight="1" thickBot="1" x14ac:dyDescent="0.25">
      <c r="A7" s="2100"/>
      <c r="B7" s="2103"/>
      <c r="C7" s="2103"/>
      <c r="D7" s="2220"/>
      <c r="E7" s="2107"/>
      <c r="F7" s="2110"/>
      <c r="G7" s="2120"/>
      <c r="H7" s="2327"/>
      <c r="I7" s="2328"/>
      <c r="J7" s="2328"/>
      <c r="K7" s="2329"/>
      <c r="L7" s="2120"/>
      <c r="M7" s="2120"/>
      <c r="N7" s="2122"/>
      <c r="O7" s="83" t="s">
        <v>52</v>
      </c>
      <c r="P7" s="81" t="s">
        <v>75</v>
      </c>
      <c r="Q7" s="82" t="s">
        <v>176</v>
      </c>
    </row>
    <row r="8" spans="1:21" ht="24.75" customHeight="1" x14ac:dyDescent="0.2">
      <c r="A8" s="2115" t="s">
        <v>30</v>
      </c>
      <c r="B8" s="2116"/>
      <c r="C8" s="2116"/>
      <c r="D8" s="2116"/>
      <c r="E8" s="2116"/>
      <c r="F8" s="2116"/>
      <c r="G8" s="2116"/>
      <c r="H8" s="2116"/>
      <c r="I8" s="2116"/>
      <c r="J8" s="2116"/>
      <c r="K8" s="2116"/>
      <c r="L8" s="2116"/>
      <c r="M8" s="2116"/>
      <c r="N8" s="2116"/>
      <c r="O8" s="2116"/>
      <c r="P8" s="2116"/>
      <c r="Q8" s="2117"/>
    </row>
    <row r="9" spans="1:21" ht="13.5" thickBot="1" x14ac:dyDescent="0.25">
      <c r="A9" s="2091" t="s">
        <v>34</v>
      </c>
      <c r="B9" s="2092"/>
      <c r="C9" s="2092"/>
      <c r="D9" s="2092"/>
      <c r="E9" s="2092"/>
      <c r="F9" s="2092"/>
      <c r="G9" s="2092"/>
      <c r="H9" s="2092"/>
      <c r="I9" s="2092"/>
      <c r="J9" s="2092"/>
      <c r="K9" s="2092"/>
      <c r="L9" s="2092"/>
      <c r="M9" s="2092"/>
      <c r="N9" s="2092"/>
      <c r="O9" s="2092"/>
      <c r="P9" s="2092"/>
      <c r="Q9" s="2093"/>
    </row>
    <row r="10" spans="1:21" ht="13.5" thickBot="1" x14ac:dyDescent="0.25">
      <c r="A10" s="13" t="s">
        <v>9</v>
      </c>
      <c r="B10" s="2237" t="s">
        <v>120</v>
      </c>
      <c r="C10" s="2237"/>
      <c r="D10" s="2237"/>
      <c r="E10" s="2237"/>
      <c r="F10" s="2237"/>
      <c r="G10" s="2237"/>
      <c r="H10" s="2237"/>
      <c r="I10" s="2237"/>
      <c r="J10" s="2237"/>
      <c r="K10" s="2237"/>
      <c r="L10" s="2237"/>
      <c r="M10" s="2237"/>
      <c r="N10" s="2237"/>
      <c r="O10" s="2237"/>
      <c r="P10" s="2237"/>
      <c r="Q10" s="2238"/>
    </row>
    <row r="11" spans="1:21" ht="13.5" thickBot="1" x14ac:dyDescent="0.25">
      <c r="A11" s="13" t="s">
        <v>9</v>
      </c>
      <c r="B11" s="14" t="s">
        <v>9</v>
      </c>
      <c r="C11" s="2231" t="s">
        <v>39</v>
      </c>
      <c r="D11" s="2231"/>
      <c r="E11" s="2231"/>
      <c r="F11" s="2231"/>
      <c r="G11" s="2231"/>
      <c r="H11" s="2231"/>
      <c r="I11" s="2231"/>
      <c r="J11" s="2231"/>
      <c r="K11" s="2231"/>
      <c r="L11" s="2231"/>
      <c r="M11" s="2231"/>
      <c r="N11" s="2231"/>
      <c r="O11" s="2232"/>
      <c r="P11" s="2232"/>
      <c r="Q11" s="2233"/>
    </row>
    <row r="12" spans="1:21" ht="25.5" x14ac:dyDescent="0.2">
      <c r="A12" s="23" t="s">
        <v>9</v>
      </c>
      <c r="B12" s="26" t="s">
        <v>9</v>
      </c>
      <c r="C12" s="22" t="s">
        <v>9</v>
      </c>
      <c r="D12" s="152" t="s">
        <v>43</v>
      </c>
      <c r="E12" s="2292" t="s">
        <v>210</v>
      </c>
      <c r="F12" s="821" t="s">
        <v>35</v>
      </c>
      <c r="G12" s="104" t="s">
        <v>12</v>
      </c>
      <c r="H12" s="686">
        <f>I12+K12</f>
        <v>770</v>
      </c>
      <c r="I12" s="132">
        <v>770</v>
      </c>
      <c r="J12" s="132"/>
      <c r="K12" s="90"/>
      <c r="L12" s="62">
        <v>840</v>
      </c>
      <c r="M12" s="57">
        <v>1030</v>
      </c>
      <c r="N12" s="150" t="s">
        <v>220</v>
      </c>
      <c r="O12" s="77">
        <v>58</v>
      </c>
      <c r="P12" s="78">
        <v>58</v>
      </c>
      <c r="Q12" s="76">
        <v>58</v>
      </c>
      <c r="U12" s="112"/>
    </row>
    <row r="13" spans="1:21" ht="25.5" x14ac:dyDescent="0.2">
      <c r="A13" s="25"/>
      <c r="B13" s="28"/>
      <c r="C13" s="19"/>
      <c r="D13" s="826" t="s">
        <v>158</v>
      </c>
      <c r="E13" s="2293"/>
      <c r="F13" s="279"/>
      <c r="G13" s="171"/>
      <c r="H13" s="441"/>
      <c r="I13" s="186"/>
      <c r="J13" s="186"/>
      <c r="K13" s="437"/>
      <c r="L13" s="493"/>
      <c r="M13" s="494"/>
      <c r="N13" s="571" t="s">
        <v>221</v>
      </c>
      <c r="O13" s="664">
        <v>2</v>
      </c>
      <c r="P13" s="572">
        <v>3</v>
      </c>
      <c r="Q13" s="573">
        <v>3</v>
      </c>
    </row>
    <row r="14" spans="1:21" ht="16.5" customHeight="1" x14ac:dyDescent="0.2">
      <c r="A14" s="25"/>
      <c r="B14" s="28"/>
      <c r="C14" s="19"/>
      <c r="D14" s="122" t="s">
        <v>76</v>
      </c>
      <c r="E14" s="156"/>
      <c r="F14" s="279"/>
      <c r="G14" s="171"/>
      <c r="H14" s="441"/>
      <c r="I14" s="134"/>
      <c r="J14" s="134"/>
      <c r="K14" s="192"/>
      <c r="L14" s="151"/>
      <c r="M14" s="146"/>
      <c r="N14" s="602"/>
      <c r="O14" s="743"/>
      <c r="P14" s="745"/>
      <c r="Q14" s="703"/>
      <c r="S14" s="112"/>
    </row>
    <row r="15" spans="1:21" ht="51" x14ac:dyDescent="0.2">
      <c r="A15" s="25"/>
      <c r="B15" s="28"/>
      <c r="C15" s="19"/>
      <c r="D15" s="662" t="s">
        <v>254</v>
      </c>
      <c r="E15" s="156"/>
      <c r="F15" s="279"/>
      <c r="G15" s="171"/>
      <c r="H15" s="441"/>
      <c r="I15" s="134"/>
      <c r="J15" s="134"/>
      <c r="K15" s="192"/>
      <c r="L15" s="151"/>
      <c r="M15" s="146"/>
      <c r="N15" s="84"/>
      <c r="O15" s="742"/>
      <c r="P15" s="121"/>
      <c r="Q15" s="199"/>
      <c r="S15" s="112"/>
    </row>
    <row r="16" spans="1:21" ht="38.25" x14ac:dyDescent="0.2">
      <c r="A16" s="25"/>
      <c r="B16" s="28"/>
      <c r="C16" s="19"/>
      <c r="D16" s="804" t="s">
        <v>205</v>
      </c>
      <c r="E16" s="156"/>
      <c r="F16" s="279"/>
      <c r="G16" s="171"/>
      <c r="H16" s="441"/>
      <c r="I16" s="515"/>
      <c r="J16" s="134"/>
      <c r="K16" s="192"/>
      <c r="L16" s="151"/>
      <c r="M16" s="146"/>
      <c r="N16" s="84"/>
      <c r="O16" s="742"/>
      <c r="P16" s="121"/>
      <c r="Q16" s="199"/>
      <c r="S16" s="112"/>
    </row>
    <row r="17" spans="1:24" x14ac:dyDescent="0.2">
      <c r="A17" s="25"/>
      <c r="B17" s="28"/>
      <c r="C17" s="19"/>
      <c r="D17" s="2190" t="s">
        <v>177</v>
      </c>
      <c r="E17" s="156"/>
      <c r="F17" s="279"/>
      <c r="G17" s="431"/>
      <c r="H17" s="688"/>
      <c r="I17" s="582"/>
      <c r="J17" s="143"/>
      <c r="K17" s="110"/>
      <c r="L17" s="625"/>
      <c r="M17" s="180"/>
      <c r="N17" s="2113"/>
      <c r="O17" s="742"/>
      <c r="P17" s="121"/>
      <c r="Q17" s="199"/>
      <c r="S17" s="112"/>
    </row>
    <row r="18" spans="1:24" ht="13.5" thickBot="1" x14ac:dyDescent="0.25">
      <c r="A18" s="25"/>
      <c r="B18" s="28"/>
      <c r="C18" s="19"/>
      <c r="D18" s="2207"/>
      <c r="E18" s="805"/>
      <c r="F18" s="280"/>
      <c r="G18" s="317" t="s">
        <v>16</v>
      </c>
      <c r="H18" s="829">
        <f>SUM(H12:H17)</f>
        <v>770</v>
      </c>
      <c r="I18" s="829">
        <f>SUM(I12:I17)</f>
        <v>770</v>
      </c>
      <c r="J18" s="829">
        <f t="shared" ref="J18:M18" si="0">SUM(J12:J17)</f>
        <v>0</v>
      </c>
      <c r="K18" s="829">
        <f t="shared" si="0"/>
        <v>0</v>
      </c>
      <c r="L18" s="829">
        <f t="shared" si="0"/>
        <v>840</v>
      </c>
      <c r="M18" s="829">
        <f t="shared" si="0"/>
        <v>1030</v>
      </c>
      <c r="N18" s="2114"/>
      <c r="O18" s="744"/>
      <c r="P18" s="287"/>
      <c r="Q18" s="644"/>
      <c r="S18" s="112"/>
    </row>
    <row r="19" spans="1:24" x14ac:dyDescent="0.2">
      <c r="A19" s="23" t="s">
        <v>9</v>
      </c>
      <c r="B19" s="26" t="s">
        <v>9</v>
      </c>
      <c r="C19" s="22" t="s">
        <v>10</v>
      </c>
      <c r="D19" s="2317" t="s">
        <v>77</v>
      </c>
      <c r="E19" s="2067"/>
      <c r="F19" s="2050" t="s">
        <v>35</v>
      </c>
      <c r="G19" s="88" t="s">
        <v>12</v>
      </c>
      <c r="H19" s="686">
        <f t="shared" ref="H19:H24" si="1">I19+K19</f>
        <v>500</v>
      </c>
      <c r="I19" s="574">
        <v>500</v>
      </c>
      <c r="J19" s="132"/>
      <c r="K19" s="90"/>
      <c r="L19" s="62">
        <v>600</v>
      </c>
      <c r="M19" s="57">
        <v>600</v>
      </c>
      <c r="N19" s="173" t="s">
        <v>222</v>
      </c>
      <c r="O19" s="833">
        <v>4</v>
      </c>
      <c r="P19" s="834">
        <v>5</v>
      </c>
      <c r="Q19" s="818">
        <v>5</v>
      </c>
    </row>
    <row r="20" spans="1:24" ht="13.5" thickBot="1" x14ac:dyDescent="0.25">
      <c r="A20" s="25"/>
      <c r="B20" s="28"/>
      <c r="C20" s="19"/>
      <c r="D20" s="2207"/>
      <c r="E20" s="2069"/>
      <c r="F20" s="2052"/>
      <c r="G20" s="317" t="s">
        <v>16</v>
      </c>
      <c r="H20" s="829">
        <f t="shared" si="1"/>
        <v>500</v>
      </c>
      <c r="I20" s="830">
        <f>SUM(I19:I19)</f>
        <v>500</v>
      </c>
      <c r="J20" s="830"/>
      <c r="K20" s="831"/>
      <c r="L20" s="319">
        <f>SUM(L19:L19)</f>
        <v>600</v>
      </c>
      <c r="M20" s="310">
        <f>SUM(M19:M19)</f>
        <v>600</v>
      </c>
      <c r="N20" s="288"/>
      <c r="O20" s="153"/>
      <c r="P20" s="287"/>
      <c r="Q20" s="285"/>
      <c r="S20" s="112"/>
    </row>
    <row r="21" spans="1:24" x14ac:dyDescent="0.2">
      <c r="A21" s="23" t="s">
        <v>9</v>
      </c>
      <c r="B21" s="26" t="s">
        <v>9</v>
      </c>
      <c r="C21" s="22" t="s">
        <v>11</v>
      </c>
      <c r="D21" s="2058" t="s">
        <v>70</v>
      </c>
      <c r="E21" s="2067"/>
      <c r="F21" s="2050" t="s">
        <v>35</v>
      </c>
      <c r="G21" s="88" t="s">
        <v>12</v>
      </c>
      <c r="H21" s="686">
        <f t="shared" si="1"/>
        <v>31.2</v>
      </c>
      <c r="I21" s="132">
        <v>31.2</v>
      </c>
      <c r="J21" s="132"/>
      <c r="K21" s="90"/>
      <c r="L21" s="64">
        <v>31.2</v>
      </c>
      <c r="M21" s="577">
        <v>31.2</v>
      </c>
      <c r="N21" s="2085" t="s">
        <v>223</v>
      </c>
      <c r="O21" s="2087">
        <v>6</v>
      </c>
      <c r="P21" s="2089">
        <v>6</v>
      </c>
      <c r="Q21" s="2259">
        <v>6</v>
      </c>
    </row>
    <row r="22" spans="1:24" ht="13.5" thickBot="1" x14ac:dyDescent="0.25">
      <c r="A22" s="25"/>
      <c r="B22" s="28"/>
      <c r="C22" s="19"/>
      <c r="D22" s="2059"/>
      <c r="E22" s="2069"/>
      <c r="F22" s="2052"/>
      <c r="G22" s="317" t="s">
        <v>16</v>
      </c>
      <c r="H22" s="829">
        <f t="shared" si="1"/>
        <v>31.2</v>
      </c>
      <c r="I22" s="830">
        <f>SUM(I21:I21)</f>
        <v>31.2</v>
      </c>
      <c r="J22" s="830"/>
      <c r="K22" s="831"/>
      <c r="L22" s="319">
        <f>SUM(L21:L21)</f>
        <v>31.2</v>
      </c>
      <c r="M22" s="310">
        <f>SUM(M21:M21)</f>
        <v>31.2</v>
      </c>
      <c r="N22" s="2086"/>
      <c r="O22" s="2088"/>
      <c r="P22" s="2090"/>
      <c r="Q22" s="2260"/>
    </row>
    <row r="23" spans="1:24" ht="25.5" x14ac:dyDescent="0.2">
      <c r="A23" s="37" t="s">
        <v>9</v>
      </c>
      <c r="B23" s="26" t="s">
        <v>9</v>
      </c>
      <c r="C23" s="22" t="s">
        <v>13</v>
      </c>
      <c r="D23" s="92" t="s">
        <v>119</v>
      </c>
      <c r="E23" s="250"/>
      <c r="F23" s="286" t="s">
        <v>35</v>
      </c>
      <c r="G23" s="271" t="s">
        <v>111</v>
      </c>
      <c r="H23" s="700">
        <f t="shared" si="1"/>
        <v>464.1</v>
      </c>
      <c r="I23" s="575">
        <v>464.1</v>
      </c>
      <c r="J23" s="819"/>
      <c r="K23" s="820"/>
      <c r="L23" s="111">
        <v>528</v>
      </c>
      <c r="M23" s="64">
        <v>528</v>
      </c>
      <c r="N23" s="841" t="s">
        <v>224</v>
      </c>
      <c r="O23" s="587">
        <v>16</v>
      </c>
      <c r="P23" s="809">
        <v>16</v>
      </c>
      <c r="Q23" s="811">
        <v>16</v>
      </c>
      <c r="V23" s="112"/>
    </row>
    <row r="24" spans="1:24" ht="38.25" x14ac:dyDescent="0.2">
      <c r="A24" s="38"/>
      <c r="B24" s="28"/>
      <c r="C24" s="19"/>
      <c r="D24" s="665" t="s">
        <v>237</v>
      </c>
      <c r="E24" s="251"/>
      <c r="F24" s="825"/>
      <c r="G24" s="599" t="s">
        <v>12</v>
      </c>
      <c r="H24" s="710">
        <f t="shared" si="1"/>
        <v>418</v>
      </c>
      <c r="I24" s="709">
        <v>418</v>
      </c>
      <c r="J24" s="138"/>
      <c r="K24" s="600"/>
      <c r="L24" s="113">
        <v>531</v>
      </c>
      <c r="M24" s="66">
        <v>531</v>
      </c>
      <c r="N24" s="841" t="s">
        <v>225</v>
      </c>
      <c r="O24" s="587">
        <v>16</v>
      </c>
      <c r="P24" s="809">
        <v>16</v>
      </c>
      <c r="Q24" s="811">
        <v>16</v>
      </c>
      <c r="S24" s="120"/>
      <c r="X24" s="112"/>
    </row>
    <row r="25" spans="1:24" x14ac:dyDescent="0.2">
      <c r="A25" s="38"/>
      <c r="B25" s="566"/>
      <c r="C25" s="19"/>
      <c r="D25" s="2135" t="s">
        <v>178</v>
      </c>
      <c r="E25" s="251"/>
      <c r="F25" s="255"/>
      <c r="G25" s="102"/>
      <c r="H25" s="711"/>
      <c r="I25" s="136"/>
      <c r="J25" s="137"/>
      <c r="K25" s="98"/>
      <c r="L25" s="615"/>
      <c r="M25" s="65"/>
      <c r="N25" s="2257" t="s">
        <v>226</v>
      </c>
      <c r="O25" s="746" t="s">
        <v>49</v>
      </c>
      <c r="P25" s="813" t="s">
        <v>49</v>
      </c>
      <c r="Q25" s="210" t="s">
        <v>49</v>
      </c>
      <c r="S25" s="588"/>
      <c r="T25" s="588"/>
      <c r="U25" s="588"/>
      <c r="V25" s="588"/>
    </row>
    <row r="26" spans="1:24" ht="28.5" customHeight="1" x14ac:dyDescent="0.2">
      <c r="A26" s="38"/>
      <c r="B26" s="566"/>
      <c r="C26" s="19"/>
      <c r="D26" s="2135"/>
      <c r="E26" s="251"/>
      <c r="F26" s="255"/>
      <c r="G26" s="102"/>
      <c r="H26" s="711"/>
      <c r="I26" s="136"/>
      <c r="J26" s="137"/>
      <c r="K26" s="98"/>
      <c r="L26" s="615"/>
      <c r="M26" s="65"/>
      <c r="N26" s="2258"/>
      <c r="O26" s="747"/>
      <c r="P26" s="814"/>
      <c r="Q26" s="737"/>
    </row>
    <row r="27" spans="1:24" x14ac:dyDescent="0.2">
      <c r="A27" s="25"/>
      <c r="B27" s="28"/>
      <c r="C27" s="19"/>
      <c r="D27" s="2190" t="s">
        <v>118</v>
      </c>
      <c r="E27" s="659"/>
      <c r="F27" s="660"/>
      <c r="G27" s="661"/>
      <c r="H27" s="712"/>
      <c r="I27" s="278"/>
      <c r="J27" s="515"/>
      <c r="K27" s="663"/>
      <c r="L27" s="749"/>
      <c r="M27" s="493"/>
      <c r="N27" s="806"/>
      <c r="O27" s="264"/>
      <c r="P27" s="810"/>
      <c r="Q27" s="812"/>
    </row>
    <row r="28" spans="1:24" ht="13.5" thickBot="1" x14ac:dyDescent="0.25">
      <c r="A28" s="39"/>
      <c r="B28" s="14"/>
      <c r="C28" s="36"/>
      <c r="D28" s="2207"/>
      <c r="E28" s="252"/>
      <c r="F28" s="256"/>
      <c r="G28" s="320" t="s">
        <v>16</v>
      </c>
      <c r="H28" s="319">
        <f>SUM(H23:H27)</f>
        <v>882.1</v>
      </c>
      <c r="I28" s="309">
        <f>SUM(I23:I27)</f>
        <v>882.1</v>
      </c>
      <c r="J28" s="309">
        <f>SUM(J24:J27)</f>
        <v>0</v>
      </c>
      <c r="K28" s="318">
        <f>SUM(K24:K27)</f>
        <v>0</v>
      </c>
      <c r="L28" s="310">
        <f>SUM(L23:L27)</f>
        <v>1059</v>
      </c>
      <c r="M28" s="319">
        <f>SUM(M23:M27)</f>
        <v>1059</v>
      </c>
      <c r="N28" s="604"/>
      <c r="O28" s="495"/>
      <c r="P28" s="605"/>
      <c r="Q28" s="748"/>
      <c r="S28" s="112"/>
    </row>
    <row r="29" spans="1:24" ht="13.5" thickBot="1" x14ac:dyDescent="0.25">
      <c r="A29" s="24" t="s">
        <v>9</v>
      </c>
      <c r="B29" s="34" t="s">
        <v>9</v>
      </c>
      <c r="C29" s="2044" t="s">
        <v>15</v>
      </c>
      <c r="D29" s="2045"/>
      <c r="E29" s="2045"/>
      <c r="F29" s="2188"/>
      <c r="G29" s="2189"/>
      <c r="H29" s="159">
        <f>I29+K29</f>
        <v>2183.3000000000002</v>
      </c>
      <c r="I29" s="17">
        <f>I28+I22+I20+I18</f>
        <v>2183.3000000000002</v>
      </c>
      <c r="J29" s="15">
        <f>J28+J22+J20+J18</f>
        <v>0</v>
      </c>
      <c r="K29" s="293">
        <f>K28+K22+K20+K18</f>
        <v>0</v>
      </c>
      <c r="L29" s="16">
        <f>L28+L22+L20+L18</f>
        <v>2530.1999999999998</v>
      </c>
      <c r="M29" s="17">
        <f>M28+M22+M20+M18</f>
        <v>2720.2</v>
      </c>
      <c r="N29" s="2062"/>
      <c r="O29" s="2063"/>
      <c r="P29" s="2063"/>
      <c r="Q29" s="2064"/>
    </row>
    <row r="30" spans="1:24" ht="13.5" thickBot="1" x14ac:dyDescent="0.25">
      <c r="A30" s="21" t="s">
        <v>9</v>
      </c>
      <c r="B30" s="27" t="s">
        <v>10</v>
      </c>
      <c r="C30" s="2184" t="s">
        <v>92</v>
      </c>
      <c r="D30" s="2185"/>
      <c r="E30" s="2185"/>
      <c r="F30" s="2185"/>
      <c r="G30" s="2140"/>
      <c r="H30" s="2140"/>
      <c r="I30" s="2140"/>
      <c r="J30" s="2140"/>
      <c r="K30" s="2140"/>
      <c r="L30" s="2140"/>
      <c r="M30" s="2140"/>
      <c r="N30" s="2140"/>
      <c r="O30" s="2140"/>
      <c r="P30" s="2140"/>
      <c r="Q30" s="2141"/>
    </row>
    <row r="31" spans="1:24" ht="25.5" x14ac:dyDescent="0.2">
      <c r="A31" s="21" t="s">
        <v>9</v>
      </c>
      <c r="B31" s="27" t="s">
        <v>10</v>
      </c>
      <c r="C31" s="22" t="s">
        <v>9</v>
      </c>
      <c r="D31" s="2314" t="s">
        <v>66</v>
      </c>
      <c r="E31" s="2315"/>
      <c r="F31" s="262">
        <v>2</v>
      </c>
      <c r="G31" s="174" t="s">
        <v>12</v>
      </c>
      <c r="H31" s="738">
        <v>9318.9</v>
      </c>
      <c r="I31" s="739">
        <f>9254.9-270.7</f>
        <v>8984.1999999999989</v>
      </c>
      <c r="J31" s="642">
        <f>5426</f>
        <v>5426</v>
      </c>
      <c r="K31" s="740">
        <v>26</v>
      </c>
      <c r="L31" s="864">
        <v>8646.2000000000007</v>
      </c>
      <c r="M31" s="63">
        <v>7792.3</v>
      </c>
      <c r="N31" s="535" t="s">
        <v>224</v>
      </c>
      <c r="O31" s="204">
        <v>1214</v>
      </c>
      <c r="P31" s="205" t="s">
        <v>211</v>
      </c>
      <c r="Q31" s="206" t="s">
        <v>211</v>
      </c>
      <c r="R31" s="588"/>
      <c r="S31" s="588"/>
      <c r="T31" s="588"/>
      <c r="U31" s="588"/>
      <c r="V31" s="750"/>
      <c r="W31" s="588"/>
    </row>
    <row r="32" spans="1:24" x14ac:dyDescent="0.2">
      <c r="A32" s="565"/>
      <c r="B32" s="566"/>
      <c r="C32" s="19"/>
      <c r="D32" s="2187"/>
      <c r="E32" s="2316"/>
      <c r="F32" s="263"/>
      <c r="G32" s="103" t="s">
        <v>28</v>
      </c>
      <c r="H32" s="619">
        <f>I32+K32</f>
        <v>1209.7</v>
      </c>
      <c r="I32" s="819">
        <v>1164.2</v>
      </c>
      <c r="J32" s="819">
        <v>16.600000000000001</v>
      </c>
      <c r="K32" s="618">
        <v>45.5</v>
      </c>
      <c r="L32" s="111">
        <v>1298.5</v>
      </c>
      <c r="M32" s="576">
        <v>1298.5</v>
      </c>
      <c r="N32" s="754" t="s">
        <v>48</v>
      </c>
      <c r="O32" s="755">
        <v>822.5</v>
      </c>
      <c r="P32" s="545" t="s">
        <v>212</v>
      </c>
      <c r="Q32" s="546" t="s">
        <v>213</v>
      </c>
      <c r="R32" s="751"/>
      <c r="S32" s="750"/>
      <c r="T32" s="750"/>
      <c r="U32" s="588"/>
      <c r="V32" s="588"/>
      <c r="W32" s="588"/>
    </row>
    <row r="33" spans="1:25" ht="12.75" customHeight="1" x14ac:dyDescent="0.2">
      <c r="A33" s="565"/>
      <c r="B33" s="566"/>
      <c r="C33" s="19"/>
      <c r="D33" s="2135" t="s">
        <v>36</v>
      </c>
      <c r="E33" s="2316"/>
      <c r="F33" s="263"/>
      <c r="G33" s="103" t="s">
        <v>20</v>
      </c>
      <c r="H33" s="619">
        <f>I33+K33</f>
        <v>33.200000000000003</v>
      </c>
      <c r="I33" s="819">
        <v>33.200000000000003</v>
      </c>
      <c r="J33" s="819"/>
      <c r="K33" s="618"/>
      <c r="L33" s="111">
        <v>220</v>
      </c>
      <c r="M33" s="576">
        <v>168</v>
      </c>
      <c r="N33" s="2239" t="s">
        <v>248</v>
      </c>
      <c r="O33" s="2241">
        <v>2</v>
      </c>
      <c r="P33" s="2243">
        <v>1</v>
      </c>
      <c r="Q33" s="2245"/>
      <c r="R33" s="588"/>
      <c r="S33" s="588"/>
      <c r="T33" s="588"/>
      <c r="U33" s="588"/>
      <c r="V33" s="588"/>
      <c r="W33" s="588"/>
    </row>
    <row r="34" spans="1:25" ht="12.75" customHeight="1" x14ac:dyDescent="0.2">
      <c r="A34" s="565"/>
      <c r="B34" s="566"/>
      <c r="C34" s="19"/>
      <c r="D34" s="2135"/>
      <c r="E34" s="2316"/>
      <c r="F34" s="263"/>
      <c r="G34" s="175" t="s">
        <v>29</v>
      </c>
      <c r="H34" s="752">
        <f>I34+K34</f>
        <v>651.79999999999995</v>
      </c>
      <c r="I34" s="540">
        <v>651.79999999999995</v>
      </c>
      <c r="J34" s="735"/>
      <c r="K34" s="736"/>
      <c r="L34" s="865">
        <v>160</v>
      </c>
      <c r="M34" s="66"/>
      <c r="N34" s="2240"/>
      <c r="O34" s="2242"/>
      <c r="P34" s="2244"/>
      <c r="Q34" s="2246"/>
      <c r="R34" s="751"/>
      <c r="S34" s="750"/>
      <c r="T34" s="750"/>
      <c r="U34" s="750"/>
      <c r="V34" s="588"/>
      <c r="W34" s="588"/>
    </row>
    <row r="35" spans="1:25" ht="12.75" customHeight="1" x14ac:dyDescent="0.2">
      <c r="A35" s="565"/>
      <c r="B35" s="566"/>
      <c r="C35" s="35"/>
      <c r="D35" s="2135"/>
      <c r="E35" s="2316"/>
      <c r="F35" s="263"/>
      <c r="G35" s="175"/>
      <c r="H35" s="752"/>
      <c r="I35" s="540"/>
      <c r="J35" s="735"/>
      <c r="K35" s="736"/>
      <c r="L35" s="865"/>
      <c r="M35" s="753"/>
      <c r="N35" s="2240"/>
      <c r="O35" s="2242"/>
      <c r="P35" s="2244"/>
      <c r="Q35" s="2246"/>
      <c r="R35" s="588"/>
      <c r="S35" s="588"/>
      <c r="T35" s="588"/>
      <c r="U35" s="588"/>
      <c r="V35" s="588"/>
      <c r="W35" s="588"/>
    </row>
    <row r="36" spans="1:25" ht="27.75" customHeight="1" x14ac:dyDescent="0.2">
      <c r="A36" s="38"/>
      <c r="B36" s="28"/>
      <c r="C36" s="19"/>
      <c r="D36" s="2135" t="s">
        <v>181</v>
      </c>
      <c r="E36" s="2316"/>
      <c r="F36" s="263"/>
      <c r="G36" s="171"/>
      <c r="H36" s="441"/>
      <c r="I36" s="186"/>
      <c r="J36" s="540"/>
      <c r="K36" s="213"/>
      <c r="L36" s="866"/>
      <c r="M36" s="214"/>
      <c r="N36" s="2240"/>
      <c r="O36" s="2242"/>
      <c r="P36" s="2244"/>
      <c r="Q36" s="2246"/>
      <c r="R36" s="588"/>
      <c r="S36" s="588"/>
      <c r="T36" s="588"/>
      <c r="U36" s="588"/>
      <c r="V36" s="588"/>
      <c r="W36" s="588"/>
    </row>
    <row r="37" spans="1:25" ht="27.75" customHeight="1" x14ac:dyDescent="0.2">
      <c r="A37" s="38"/>
      <c r="B37" s="28"/>
      <c r="C37" s="19"/>
      <c r="D37" s="2135"/>
      <c r="E37" s="123"/>
      <c r="F37" s="263"/>
      <c r="G37" s="171"/>
      <c r="H37" s="441"/>
      <c r="I37" s="212"/>
      <c r="J37" s="212"/>
      <c r="K37" s="213"/>
      <c r="L37" s="866"/>
      <c r="M37" s="214"/>
      <c r="N37" s="806"/>
      <c r="O37" s="808"/>
      <c r="P37" s="810"/>
      <c r="Q37" s="224"/>
      <c r="R37" s="588"/>
      <c r="S37" s="588"/>
      <c r="T37" s="588"/>
      <c r="U37" s="588"/>
      <c r="V37" s="588"/>
      <c r="W37" s="588"/>
    </row>
    <row r="38" spans="1:25" ht="28.5" customHeight="1" x14ac:dyDescent="0.2">
      <c r="A38" s="38"/>
      <c r="B38" s="28"/>
      <c r="C38" s="19"/>
      <c r="D38" s="2135" t="s">
        <v>256</v>
      </c>
      <c r="E38" s="123"/>
      <c r="F38" s="263"/>
      <c r="G38" s="756"/>
      <c r="H38" s="441"/>
      <c r="I38" s="515"/>
      <c r="J38" s="212"/>
      <c r="K38" s="213"/>
      <c r="L38" s="866"/>
      <c r="M38" s="214"/>
      <c r="N38" s="757"/>
      <c r="O38" s="808"/>
      <c r="P38" s="810"/>
      <c r="Q38" s="224"/>
    </row>
    <row r="39" spans="1:25" ht="42.75" customHeight="1" x14ac:dyDescent="0.2">
      <c r="A39" s="38"/>
      <c r="B39" s="28"/>
      <c r="C39" s="19"/>
      <c r="D39" s="2135"/>
      <c r="E39" s="123"/>
      <c r="F39" s="263"/>
      <c r="G39" s="661"/>
      <c r="H39" s="441"/>
      <c r="I39" s="515"/>
      <c r="J39" s="212"/>
      <c r="K39" s="213"/>
      <c r="L39" s="866"/>
      <c r="M39" s="214"/>
      <c r="N39" s="757"/>
      <c r="O39" s="808"/>
      <c r="P39" s="810"/>
      <c r="Q39" s="224"/>
    </row>
    <row r="40" spans="1:25" ht="12.75" customHeight="1" x14ac:dyDescent="0.2">
      <c r="A40" s="38"/>
      <c r="B40" s="28"/>
      <c r="C40" s="19"/>
      <c r="D40" s="2196" t="s">
        <v>37</v>
      </c>
      <c r="E40" s="123"/>
      <c r="F40" s="263"/>
      <c r="G40" s="171"/>
      <c r="H40" s="441"/>
      <c r="I40" s="212"/>
      <c r="J40" s="212"/>
      <c r="K40" s="213"/>
      <c r="L40" s="2330"/>
      <c r="M40" s="214"/>
      <c r="N40" s="806"/>
      <c r="O40" s="808"/>
      <c r="P40" s="810"/>
      <c r="Q40" s="224"/>
    </row>
    <row r="41" spans="1:25" ht="12.75" customHeight="1" x14ac:dyDescent="0.2">
      <c r="A41" s="38"/>
      <c r="B41" s="28"/>
      <c r="C41" s="19"/>
      <c r="D41" s="2196"/>
      <c r="E41" s="123"/>
      <c r="F41" s="263"/>
      <c r="G41" s="175"/>
      <c r="H41" s="441"/>
      <c r="I41" s="212"/>
      <c r="J41" s="212"/>
      <c r="K41" s="213"/>
      <c r="L41" s="2330"/>
      <c r="M41" s="214"/>
      <c r="N41" s="806"/>
      <c r="O41" s="808"/>
      <c r="P41" s="810"/>
      <c r="Q41" s="224"/>
    </row>
    <row r="42" spans="1:25" ht="12.75" customHeight="1" x14ac:dyDescent="0.2">
      <c r="A42" s="38"/>
      <c r="B42" s="28"/>
      <c r="C42" s="19"/>
      <c r="D42" s="2196"/>
      <c r="E42" s="123"/>
      <c r="F42" s="263"/>
      <c r="G42" s="175"/>
      <c r="H42" s="441"/>
      <c r="I42" s="758"/>
      <c r="J42" s="758"/>
      <c r="K42" s="759"/>
      <c r="L42" s="867"/>
      <c r="M42" s="760"/>
      <c r="N42" s="806"/>
      <c r="O42" s="808"/>
      <c r="P42" s="810"/>
      <c r="Q42" s="224"/>
    </row>
    <row r="43" spans="1:25" ht="12.75" customHeight="1" x14ac:dyDescent="0.2">
      <c r="A43" s="565"/>
      <c r="B43" s="566"/>
      <c r="C43" s="40"/>
      <c r="D43" s="2135" t="s">
        <v>238</v>
      </c>
      <c r="E43" s="123"/>
      <c r="F43" s="263"/>
      <c r="G43" s="91"/>
      <c r="H43" s="441"/>
      <c r="I43" s="186"/>
      <c r="J43" s="186"/>
      <c r="K43" s="437"/>
      <c r="L43" s="615"/>
      <c r="M43" s="65"/>
      <c r="N43" s="806"/>
      <c r="O43" s="808"/>
      <c r="P43" s="810"/>
      <c r="Q43" s="812"/>
    </row>
    <row r="44" spans="1:25" ht="12.75" customHeight="1" x14ac:dyDescent="0.2">
      <c r="A44" s="565"/>
      <c r="B44" s="566"/>
      <c r="C44" s="40"/>
      <c r="D44" s="2135"/>
      <c r="E44" s="123"/>
      <c r="F44" s="263"/>
      <c r="G44" s="91"/>
      <c r="H44" s="441"/>
      <c r="I44" s="186"/>
      <c r="J44" s="186"/>
      <c r="K44" s="437"/>
      <c r="L44" s="615"/>
      <c r="M44" s="65"/>
      <c r="N44" s="806"/>
      <c r="O44" s="808"/>
      <c r="P44" s="810"/>
      <c r="Q44" s="812"/>
      <c r="W44" s="112"/>
      <c r="Y44" s="112"/>
    </row>
    <row r="45" spans="1:25" ht="12.75" customHeight="1" x14ac:dyDescent="0.2">
      <c r="A45" s="565"/>
      <c r="B45" s="566"/>
      <c r="C45" s="19"/>
      <c r="D45" s="2135"/>
      <c r="E45" s="123"/>
      <c r="F45" s="263"/>
      <c r="G45" s="91"/>
      <c r="H45" s="441"/>
      <c r="I45" s="186"/>
      <c r="J45" s="186"/>
      <c r="K45" s="437"/>
      <c r="L45" s="615"/>
      <c r="M45" s="65"/>
      <c r="N45" s="806"/>
      <c r="O45" s="808"/>
      <c r="P45" s="810"/>
      <c r="Q45" s="812"/>
      <c r="S45" s="588"/>
      <c r="T45" s="588"/>
    </row>
    <row r="46" spans="1:25" ht="12.75" customHeight="1" x14ac:dyDescent="0.2">
      <c r="A46" s="25"/>
      <c r="B46" s="28"/>
      <c r="C46" s="19"/>
      <c r="D46" s="2135" t="s">
        <v>159</v>
      </c>
      <c r="E46" s="123"/>
      <c r="F46" s="263"/>
      <c r="G46" s="91"/>
      <c r="H46" s="441"/>
      <c r="I46" s="761"/>
      <c r="J46" s="35"/>
      <c r="K46" s="437"/>
      <c r="L46" s="615"/>
      <c r="M46" s="65"/>
      <c r="N46" s="842"/>
      <c r="O46" s="808"/>
      <c r="P46" s="810"/>
      <c r="Q46" s="812"/>
    </row>
    <row r="47" spans="1:25" ht="12.75" customHeight="1" x14ac:dyDescent="0.2">
      <c r="A47" s="25"/>
      <c r="B47" s="28"/>
      <c r="C47" s="19"/>
      <c r="D47" s="2135"/>
      <c r="E47" s="123"/>
      <c r="F47" s="263"/>
      <c r="G47" s="91"/>
      <c r="H47" s="441"/>
      <c r="I47" s="186"/>
      <c r="J47" s="186"/>
      <c r="K47" s="437"/>
      <c r="L47" s="615"/>
      <c r="M47" s="65"/>
      <c r="N47" s="842"/>
      <c r="O47" s="808"/>
      <c r="P47" s="810"/>
      <c r="Q47" s="812"/>
      <c r="U47" s="112"/>
    </row>
    <row r="48" spans="1:25" ht="40.5" customHeight="1" x14ac:dyDescent="0.2">
      <c r="A48" s="25"/>
      <c r="B48" s="28"/>
      <c r="C48" s="19"/>
      <c r="D48" s="2135" t="s">
        <v>239</v>
      </c>
      <c r="E48" s="123"/>
      <c r="F48" s="263"/>
      <c r="G48" s="91"/>
      <c r="H48" s="441"/>
      <c r="I48" s="186"/>
      <c r="J48" s="186"/>
      <c r="K48" s="437"/>
      <c r="L48" s="615"/>
      <c r="M48" s="65"/>
      <c r="N48" s="806"/>
      <c r="O48" s="845"/>
      <c r="P48" s="810"/>
      <c r="Q48" s="703"/>
      <c r="S48" s="112"/>
      <c r="U48" s="112"/>
    </row>
    <row r="49" spans="1:23" ht="25.5" customHeight="1" x14ac:dyDescent="0.2">
      <c r="A49" s="846"/>
      <c r="B49" s="847"/>
      <c r="C49" s="606"/>
      <c r="D49" s="2313"/>
      <c r="E49" s="603"/>
      <c r="F49" s="607"/>
      <c r="G49" s="114"/>
      <c r="H49" s="688"/>
      <c r="I49" s="582"/>
      <c r="J49" s="296"/>
      <c r="K49" s="297"/>
      <c r="L49" s="803"/>
      <c r="M49" s="424"/>
      <c r="N49" s="584"/>
      <c r="O49" s="580"/>
      <c r="P49" s="581"/>
      <c r="Q49" s="585"/>
      <c r="R49" s="588"/>
      <c r="S49" s="588"/>
      <c r="U49" s="112"/>
    </row>
    <row r="50" spans="1:23" x14ac:dyDescent="0.2">
      <c r="A50" s="25"/>
      <c r="B50" s="28"/>
      <c r="C50" s="19"/>
      <c r="D50" s="2135" t="s">
        <v>257</v>
      </c>
      <c r="E50" s="123"/>
      <c r="F50" s="263"/>
      <c r="G50" s="661"/>
      <c r="H50" s="454"/>
      <c r="I50" s="515"/>
      <c r="J50" s="186"/>
      <c r="K50" s="437"/>
      <c r="L50" s="615"/>
      <c r="M50" s="65"/>
      <c r="N50" s="2312"/>
      <c r="O50" s="808"/>
      <c r="P50" s="810"/>
      <c r="Q50" s="224"/>
      <c r="U50" s="112"/>
    </row>
    <row r="51" spans="1:23" x14ac:dyDescent="0.2">
      <c r="A51" s="25"/>
      <c r="B51" s="28"/>
      <c r="C51" s="19"/>
      <c r="D51" s="2135"/>
      <c r="E51" s="123"/>
      <c r="F51" s="263"/>
      <c r="G51" s="661"/>
      <c r="H51" s="454"/>
      <c r="I51" s="515"/>
      <c r="J51" s="186"/>
      <c r="K51" s="437"/>
      <c r="L51" s="615"/>
      <c r="M51" s="65"/>
      <c r="N51" s="2312"/>
      <c r="O51" s="808"/>
      <c r="P51" s="810"/>
      <c r="Q51" s="224"/>
      <c r="U51" s="112"/>
    </row>
    <row r="52" spans="1:23" ht="26.25" customHeight="1" x14ac:dyDescent="0.2">
      <c r="A52" s="25"/>
      <c r="B52" s="28"/>
      <c r="C52" s="19"/>
      <c r="D52" s="2135"/>
      <c r="E52" s="2307" t="s">
        <v>214</v>
      </c>
      <c r="F52" s="263"/>
      <c r="G52" s="661"/>
      <c r="H52" s="441"/>
      <c r="I52" s="515"/>
      <c r="J52" s="186"/>
      <c r="K52" s="437"/>
      <c r="L52" s="615"/>
      <c r="M52" s="65"/>
      <c r="N52" s="2312"/>
      <c r="O52" s="808"/>
      <c r="P52" s="810"/>
      <c r="Q52" s="224"/>
    </row>
    <row r="53" spans="1:23" x14ac:dyDescent="0.2">
      <c r="A53" s="38"/>
      <c r="B53" s="28"/>
      <c r="C53" s="19"/>
      <c r="D53" s="2135" t="s">
        <v>110</v>
      </c>
      <c r="E53" s="2307"/>
      <c r="F53" s="263"/>
      <c r="G53" s="91"/>
      <c r="H53" s="441"/>
      <c r="I53" s="761"/>
      <c r="J53" s="761"/>
      <c r="K53" s="437"/>
      <c r="L53" s="615"/>
      <c r="M53" s="65"/>
      <c r="N53" s="806"/>
      <c r="O53" s="808"/>
      <c r="P53" s="810"/>
      <c r="Q53" s="224"/>
      <c r="W53" s="112"/>
    </row>
    <row r="54" spans="1:23" x14ac:dyDescent="0.2">
      <c r="A54" s="38"/>
      <c r="B54" s="28"/>
      <c r="C54" s="19"/>
      <c r="D54" s="2135"/>
      <c r="E54" s="2307"/>
      <c r="F54" s="263"/>
      <c r="G54" s="91"/>
      <c r="H54" s="441"/>
      <c r="I54" s="186"/>
      <c r="J54" s="186"/>
      <c r="K54" s="437"/>
      <c r="L54" s="615"/>
      <c r="M54" s="65"/>
      <c r="N54" s="806"/>
      <c r="O54" s="808"/>
      <c r="P54" s="810"/>
      <c r="Q54" s="224"/>
      <c r="S54" s="112"/>
      <c r="W54" s="112"/>
    </row>
    <row r="55" spans="1:23" x14ac:dyDescent="0.2">
      <c r="A55" s="38"/>
      <c r="B55" s="28"/>
      <c r="C55" s="19"/>
      <c r="D55" s="2135"/>
      <c r="E55" s="2307"/>
      <c r="F55" s="263"/>
      <c r="G55" s="175"/>
      <c r="H55" s="441"/>
      <c r="I55" s="186"/>
      <c r="J55" s="186"/>
      <c r="K55" s="437"/>
      <c r="L55" s="615"/>
      <c r="M55" s="65"/>
      <c r="N55" s="835"/>
      <c r="O55" s="808"/>
      <c r="P55" s="810"/>
      <c r="Q55" s="224"/>
      <c r="S55" s="112"/>
    </row>
    <row r="56" spans="1:23" ht="12.75" customHeight="1" x14ac:dyDescent="0.2">
      <c r="A56" s="38"/>
      <c r="B56" s="28"/>
      <c r="C56" s="19"/>
      <c r="D56" s="2135" t="s">
        <v>38</v>
      </c>
      <c r="E56" s="2307"/>
      <c r="F56" s="263"/>
      <c r="G56" s="91"/>
      <c r="H56" s="441"/>
      <c r="I56" s="186"/>
      <c r="J56" s="186"/>
      <c r="K56" s="437"/>
      <c r="L56" s="615"/>
      <c r="M56" s="65"/>
      <c r="N56" s="2312"/>
      <c r="O56" s="2306"/>
      <c r="P56" s="2302"/>
      <c r="Q56" s="2304"/>
    </row>
    <row r="57" spans="1:23" x14ac:dyDescent="0.2">
      <c r="A57" s="38"/>
      <c r="B57" s="28"/>
      <c r="C57" s="19"/>
      <c r="D57" s="2135"/>
      <c r="E57" s="123"/>
      <c r="F57" s="263"/>
      <c r="G57" s="91"/>
      <c r="H57" s="441"/>
      <c r="I57" s="186"/>
      <c r="J57" s="186"/>
      <c r="K57" s="437"/>
      <c r="L57" s="615"/>
      <c r="M57" s="65"/>
      <c r="N57" s="2312"/>
      <c r="O57" s="2306"/>
      <c r="P57" s="2302"/>
      <c r="Q57" s="2304"/>
    </row>
    <row r="58" spans="1:23" x14ac:dyDescent="0.2">
      <c r="A58" s="38"/>
      <c r="B58" s="28"/>
      <c r="C58" s="19"/>
      <c r="D58" s="2135"/>
      <c r="E58" s="123"/>
      <c r="F58" s="263"/>
      <c r="G58" s="91"/>
      <c r="H58" s="441"/>
      <c r="I58" s="440"/>
      <c r="J58" s="440"/>
      <c r="K58" s="494"/>
      <c r="L58" s="615"/>
      <c r="M58" s="65"/>
      <c r="N58" s="860"/>
      <c r="O58" s="862"/>
      <c r="P58" s="863"/>
      <c r="Q58" s="861"/>
    </row>
    <row r="59" spans="1:23" ht="19.5" customHeight="1" x14ac:dyDescent="0.2">
      <c r="A59" s="38"/>
      <c r="B59" s="28"/>
      <c r="C59" s="19"/>
      <c r="D59" s="2135" t="s">
        <v>202</v>
      </c>
      <c r="E59" s="123"/>
      <c r="F59" s="263"/>
      <c r="G59" s="91"/>
      <c r="H59" s="441"/>
      <c r="I59" s="440"/>
      <c r="J59" s="440"/>
      <c r="K59" s="494"/>
      <c r="L59" s="615"/>
      <c r="M59" s="65"/>
      <c r="N59" s="860" t="s">
        <v>203</v>
      </c>
      <c r="O59" s="862">
        <v>7</v>
      </c>
      <c r="P59" s="863">
        <v>7</v>
      </c>
      <c r="Q59" s="861">
        <v>7</v>
      </c>
      <c r="S59" s="868"/>
    </row>
    <row r="60" spans="1:23" ht="13.5" thickBot="1" x14ac:dyDescent="0.25">
      <c r="A60" s="38"/>
      <c r="B60" s="28"/>
      <c r="C60" s="19"/>
      <c r="D60" s="2059"/>
      <c r="E60" s="123"/>
      <c r="F60" s="263"/>
      <c r="G60" s="764" t="s">
        <v>16</v>
      </c>
      <c r="H60" s="829">
        <f>SUM(H31:H57)-270.7</f>
        <v>10942.9</v>
      </c>
      <c r="I60" s="829">
        <f t="shared" ref="I60:M60" si="2">SUM(I31:I57)</f>
        <v>10833.4</v>
      </c>
      <c r="J60" s="829">
        <f t="shared" si="2"/>
        <v>5442.6</v>
      </c>
      <c r="K60" s="829">
        <f t="shared" si="2"/>
        <v>71.5</v>
      </c>
      <c r="L60" s="365">
        <f>SUM(L31:L57)</f>
        <v>10324.700000000001</v>
      </c>
      <c r="M60" s="319">
        <f t="shared" si="2"/>
        <v>9258.7999999999993</v>
      </c>
      <c r="N60" s="643"/>
      <c r="O60" s="845"/>
      <c r="P60" s="843"/>
      <c r="Q60" s="844"/>
      <c r="S60" s="868"/>
    </row>
    <row r="61" spans="1:23" ht="38.25" x14ac:dyDescent="0.2">
      <c r="A61" s="21" t="s">
        <v>9</v>
      </c>
      <c r="B61" s="27" t="s">
        <v>10</v>
      </c>
      <c r="C61" s="22" t="s">
        <v>10</v>
      </c>
      <c r="D61" s="567" t="s">
        <v>67</v>
      </c>
      <c r="E61" s="568"/>
      <c r="F61" s="821"/>
      <c r="G61" s="104"/>
      <c r="H61" s="686"/>
      <c r="I61" s="132"/>
      <c r="J61" s="132"/>
      <c r="K61" s="90"/>
      <c r="L61" s="62"/>
      <c r="M61" s="57"/>
      <c r="N61" s="621"/>
      <c r="O61" s="622"/>
      <c r="P61" s="107"/>
      <c r="Q61" s="108"/>
    </row>
    <row r="62" spans="1:23" ht="38.25" x14ac:dyDescent="0.2">
      <c r="A62" s="565"/>
      <c r="B62" s="566"/>
      <c r="C62" s="19"/>
      <c r="D62" s="265" t="s">
        <v>115</v>
      </c>
      <c r="E62" s="763"/>
      <c r="F62" s="827"/>
      <c r="G62" s="91"/>
      <c r="H62" s="454"/>
      <c r="I62" s="134"/>
      <c r="J62" s="146"/>
      <c r="K62" s="192"/>
      <c r="L62" s="151"/>
      <c r="M62" s="146"/>
      <c r="N62" s="623"/>
      <c r="O62" s="443"/>
      <c r="P62" s="80"/>
      <c r="Q62" s="79"/>
      <c r="S62" s="112"/>
    </row>
    <row r="63" spans="1:23" ht="25.5" x14ac:dyDescent="0.2">
      <c r="A63" s="565"/>
      <c r="B63" s="566"/>
      <c r="C63" s="19"/>
      <c r="D63" s="2206" t="s">
        <v>206</v>
      </c>
      <c r="E63" s="2307" t="s">
        <v>108</v>
      </c>
      <c r="F63" s="617" t="s">
        <v>35</v>
      </c>
      <c r="G63" s="103" t="s">
        <v>12</v>
      </c>
      <c r="H63" s="619">
        <f>I63+K63</f>
        <v>20</v>
      </c>
      <c r="I63" s="135">
        <v>20</v>
      </c>
      <c r="J63" s="586"/>
      <c r="K63" s="100"/>
      <c r="L63" s="570"/>
      <c r="M63" s="624"/>
      <c r="N63" s="765" t="s">
        <v>228</v>
      </c>
      <c r="O63" s="807">
        <v>1</v>
      </c>
      <c r="P63" s="837"/>
      <c r="Q63" s="633"/>
    </row>
    <row r="64" spans="1:23" x14ac:dyDescent="0.2">
      <c r="A64" s="609"/>
      <c r="B64" s="566"/>
      <c r="C64" s="44"/>
      <c r="D64" s="2305"/>
      <c r="E64" s="2308"/>
      <c r="F64" s="637"/>
      <c r="G64" s="338" t="s">
        <v>16</v>
      </c>
      <c r="H64" s="339">
        <f>SUM(H63:H63)</f>
        <v>20</v>
      </c>
      <c r="I64" s="342">
        <f>SUM(I63:I63)</f>
        <v>20</v>
      </c>
      <c r="J64" s="336"/>
      <c r="K64" s="773"/>
      <c r="L64" s="340"/>
      <c r="M64" s="336"/>
      <c r="N64" s="774"/>
      <c r="O64" s="775"/>
      <c r="P64" s="838"/>
      <c r="Q64" s="776"/>
      <c r="S64" s="112"/>
      <c r="V64" s="112"/>
    </row>
    <row r="65" spans="1:23" ht="60" x14ac:dyDescent="0.2">
      <c r="A65" s="609"/>
      <c r="B65" s="566"/>
      <c r="C65" s="44"/>
      <c r="D65" s="2206" t="s">
        <v>201</v>
      </c>
      <c r="E65" s="658"/>
      <c r="F65" s="617" t="s">
        <v>191</v>
      </c>
      <c r="G65" s="612" t="s">
        <v>12</v>
      </c>
      <c r="H65" s="620">
        <f>I65+K65</f>
        <v>36.299999999999997</v>
      </c>
      <c r="I65" s="291"/>
      <c r="J65" s="578"/>
      <c r="K65" s="611">
        <v>36.299999999999997</v>
      </c>
      <c r="L65" s="626"/>
      <c r="M65" s="610"/>
      <c r="N65" s="2309" t="s">
        <v>195</v>
      </c>
      <c r="O65" s="627"/>
      <c r="P65" s="628">
        <v>1</v>
      </c>
      <c r="Q65" s="629" t="s">
        <v>196</v>
      </c>
      <c r="S65" s="112"/>
    </row>
    <row r="66" spans="1:23" x14ac:dyDescent="0.2">
      <c r="A66" s="609"/>
      <c r="B66" s="566"/>
      <c r="C66" s="44"/>
      <c r="D66" s="2190"/>
      <c r="E66" s="1"/>
      <c r="F66" s="827"/>
      <c r="G66" s="612" t="s">
        <v>29</v>
      </c>
      <c r="H66" s="620"/>
      <c r="I66" s="291"/>
      <c r="J66" s="578"/>
      <c r="K66" s="611"/>
      <c r="L66" s="613">
        <v>148.69999999999999</v>
      </c>
      <c r="M66" s="578">
        <v>634.9</v>
      </c>
      <c r="N66" s="2310"/>
      <c r="O66" s="648"/>
      <c r="P66" s="649"/>
      <c r="Q66" s="630"/>
      <c r="S66" s="112"/>
    </row>
    <row r="67" spans="1:23" x14ac:dyDescent="0.2">
      <c r="A67" s="609"/>
      <c r="B67" s="566"/>
      <c r="C67" s="44"/>
      <c r="D67" s="2190"/>
      <c r="E67" s="1"/>
      <c r="F67" s="827"/>
      <c r="G67" s="612" t="s">
        <v>194</v>
      </c>
      <c r="H67" s="620"/>
      <c r="I67" s="291"/>
      <c r="J67" s="578"/>
      <c r="K67" s="611"/>
      <c r="L67" s="613"/>
      <c r="M67" s="578">
        <v>120.2</v>
      </c>
      <c r="N67" s="2310"/>
      <c r="O67" s="648"/>
      <c r="P67" s="649"/>
      <c r="Q67" s="630">
        <v>30</v>
      </c>
      <c r="S67" s="112"/>
    </row>
    <row r="68" spans="1:23" x14ac:dyDescent="0.2">
      <c r="A68" s="609"/>
      <c r="B68" s="566"/>
      <c r="C68" s="44"/>
      <c r="D68" s="2305"/>
      <c r="E68" s="614"/>
      <c r="F68" s="827"/>
      <c r="G68" s="328" t="s">
        <v>16</v>
      </c>
      <c r="H68" s="329">
        <f>SUM(H65)</f>
        <v>36.299999999999997</v>
      </c>
      <c r="I68" s="323"/>
      <c r="J68" s="327"/>
      <c r="K68" s="330">
        <f>SUM(K65)</f>
        <v>36.299999999999997</v>
      </c>
      <c r="L68" s="589">
        <f>SUM(L66:L67)</f>
        <v>148.69999999999999</v>
      </c>
      <c r="M68" s="327">
        <f>SUM(M66:M67)</f>
        <v>755.1</v>
      </c>
      <c r="N68" s="2311"/>
      <c r="O68" s="648"/>
      <c r="P68" s="650"/>
      <c r="Q68" s="630"/>
      <c r="S68" s="112"/>
    </row>
    <row r="69" spans="1:23" x14ac:dyDescent="0.2">
      <c r="A69" s="565"/>
      <c r="B69" s="566"/>
      <c r="C69" s="19"/>
      <c r="D69" s="2206" t="s">
        <v>244</v>
      </c>
      <c r="E69" s="2068"/>
      <c r="F69" s="2303"/>
      <c r="G69" s="101" t="s">
        <v>12</v>
      </c>
      <c r="H69" s="687">
        <f>I69+K69</f>
        <v>15</v>
      </c>
      <c r="I69" s="141"/>
      <c r="J69" s="141"/>
      <c r="K69" s="177">
        <v>15</v>
      </c>
      <c r="L69" s="178">
        <v>50</v>
      </c>
      <c r="M69" s="59">
        <v>50</v>
      </c>
      <c r="N69" s="2309" t="s">
        <v>197</v>
      </c>
      <c r="O69" s="639"/>
      <c r="P69" s="640"/>
      <c r="Q69" s="641">
        <v>1</v>
      </c>
      <c r="S69" s="112"/>
    </row>
    <row r="70" spans="1:23" x14ac:dyDescent="0.2">
      <c r="A70" s="565"/>
      <c r="B70" s="566"/>
      <c r="C70" s="19"/>
      <c r="D70" s="2190"/>
      <c r="E70" s="2068"/>
      <c r="F70" s="2303"/>
      <c r="G70" s="91"/>
      <c r="H70" s="689"/>
      <c r="I70" s="137"/>
      <c r="J70" s="146"/>
      <c r="K70" s="192"/>
      <c r="L70" s="151"/>
      <c r="M70" s="60"/>
      <c r="N70" s="2310"/>
      <c r="O70" s="808"/>
      <c r="P70" s="810"/>
      <c r="Q70" s="631"/>
      <c r="S70" s="112"/>
    </row>
    <row r="71" spans="1:23" ht="26.25" customHeight="1" x14ac:dyDescent="0.2">
      <c r="A71" s="29"/>
      <c r="B71" s="32"/>
      <c r="C71" s="44"/>
      <c r="D71" s="2190"/>
      <c r="E71" s="2068"/>
      <c r="F71" s="2303"/>
      <c r="G71" s="328" t="s">
        <v>16</v>
      </c>
      <c r="H71" s="329">
        <f>SUM(H69:H70)</f>
        <v>15</v>
      </c>
      <c r="I71" s="323"/>
      <c r="J71" s="327"/>
      <c r="K71" s="330">
        <f>SUM(K69:K70)</f>
        <v>15</v>
      </c>
      <c r="L71" s="589">
        <f>SUM(L69:L70)</f>
        <v>50</v>
      </c>
      <c r="M71" s="327">
        <f>SUM(M69:M70)</f>
        <v>50</v>
      </c>
      <c r="N71" s="2311"/>
      <c r="O71" s="651"/>
      <c r="P71" s="581"/>
      <c r="Q71" s="839"/>
      <c r="S71" s="112"/>
    </row>
    <row r="72" spans="1:23" x14ac:dyDescent="0.2">
      <c r="A72" s="565"/>
      <c r="B72" s="566"/>
      <c r="C72" s="19"/>
      <c r="D72" s="2299" t="s">
        <v>198</v>
      </c>
      <c r="E72" s="2068"/>
      <c r="F72" s="2303"/>
      <c r="G72" s="101" t="s">
        <v>12</v>
      </c>
      <c r="H72" s="687">
        <f>I72+K72</f>
        <v>31</v>
      </c>
      <c r="I72" s="141"/>
      <c r="J72" s="141"/>
      <c r="K72" s="177">
        <v>31</v>
      </c>
      <c r="L72" s="178"/>
      <c r="M72" s="59"/>
      <c r="N72" s="2257" t="s">
        <v>199</v>
      </c>
      <c r="O72" s="627"/>
      <c r="P72" s="628">
        <v>1</v>
      </c>
      <c r="Q72" s="632"/>
      <c r="S72" s="112"/>
    </row>
    <row r="73" spans="1:23" x14ac:dyDescent="0.2">
      <c r="A73" s="565"/>
      <c r="B73" s="566"/>
      <c r="C73" s="19"/>
      <c r="D73" s="2300"/>
      <c r="E73" s="2068"/>
      <c r="F73" s="2303"/>
      <c r="G73" s="101" t="s">
        <v>29</v>
      </c>
      <c r="H73" s="690"/>
      <c r="I73" s="138"/>
      <c r="J73" s="149"/>
      <c r="K73" s="177"/>
      <c r="L73" s="178">
        <v>49</v>
      </c>
      <c r="M73" s="59">
        <v>391</v>
      </c>
      <c r="N73" s="2258"/>
      <c r="O73" s="808"/>
      <c r="P73" s="810"/>
      <c r="Q73" s="631"/>
      <c r="R73" s="75"/>
    </row>
    <row r="74" spans="1:23" x14ac:dyDescent="0.2">
      <c r="A74" s="29"/>
      <c r="B74" s="32"/>
      <c r="C74" s="44"/>
      <c r="D74" s="2300"/>
      <c r="E74" s="2068"/>
      <c r="F74" s="2303"/>
      <c r="G74" s="616" t="s">
        <v>194</v>
      </c>
      <c r="H74" s="619"/>
      <c r="I74" s="135"/>
      <c r="J74" s="135"/>
      <c r="K74" s="100"/>
      <c r="L74" s="570"/>
      <c r="M74" s="624">
        <v>69</v>
      </c>
      <c r="N74" s="2257" t="s">
        <v>200</v>
      </c>
      <c r="O74" s="807"/>
      <c r="P74" s="809"/>
      <c r="Q74" s="633">
        <v>50</v>
      </c>
    </row>
    <row r="75" spans="1:23" x14ac:dyDescent="0.2">
      <c r="A75" s="29"/>
      <c r="B75" s="32"/>
      <c r="C75" s="44"/>
      <c r="D75" s="2300"/>
      <c r="E75" s="2191"/>
      <c r="F75" s="2303"/>
      <c r="G75" s="328" t="s">
        <v>16</v>
      </c>
      <c r="H75" s="329">
        <f>SUM(H72:H74)</f>
        <v>31</v>
      </c>
      <c r="I75" s="323"/>
      <c r="J75" s="327"/>
      <c r="K75" s="330">
        <f>SUM(K72:K74)</f>
        <v>31</v>
      </c>
      <c r="L75" s="589">
        <f>SUM(L72:L74)</f>
        <v>49</v>
      </c>
      <c r="M75" s="327">
        <f>SUM(M73:M74)</f>
        <v>460</v>
      </c>
      <c r="N75" s="2258"/>
      <c r="O75" s="772"/>
      <c r="P75" s="810"/>
      <c r="Q75" s="631"/>
      <c r="S75" s="112"/>
    </row>
    <row r="76" spans="1:23" ht="13.5" thickBot="1" x14ac:dyDescent="0.25">
      <c r="A76" s="569"/>
      <c r="B76" s="33"/>
      <c r="C76" s="45"/>
      <c r="D76" s="2301"/>
      <c r="E76" s="2296" t="s">
        <v>215</v>
      </c>
      <c r="F76" s="2297"/>
      <c r="G76" s="2298"/>
      <c r="H76" s="365">
        <f>H64+H71+H75+H68</f>
        <v>102.3</v>
      </c>
      <c r="I76" s="830">
        <f>I64+I71+I75+I68</f>
        <v>20</v>
      </c>
      <c r="J76" s="309">
        <f t="shared" ref="J76:M76" si="3">J64+J71+J75+J68</f>
        <v>0</v>
      </c>
      <c r="K76" s="310">
        <f>K64+K71+K75+K68</f>
        <v>82.3</v>
      </c>
      <c r="L76" s="365">
        <f>L64+L71+L75+L68</f>
        <v>247.7</v>
      </c>
      <c r="M76" s="365">
        <f t="shared" si="3"/>
        <v>1265.0999999999999</v>
      </c>
      <c r="N76" s="771"/>
      <c r="O76" s="768"/>
      <c r="P76" s="769"/>
      <c r="Q76" s="770"/>
      <c r="S76" s="112"/>
    </row>
    <row r="77" spans="1:23" x14ac:dyDescent="0.2">
      <c r="A77" s="21" t="s">
        <v>9</v>
      </c>
      <c r="B77" s="27" t="s">
        <v>10</v>
      </c>
      <c r="C77" s="22" t="s">
        <v>11</v>
      </c>
      <c r="D77" s="2282" t="s">
        <v>55</v>
      </c>
      <c r="E77" s="783"/>
      <c r="F77" s="823">
        <v>6</v>
      </c>
      <c r="G77" s="104" t="s">
        <v>12</v>
      </c>
      <c r="H77" s="777">
        <f>I77+K77</f>
        <v>493.7</v>
      </c>
      <c r="I77" s="778">
        <v>20</v>
      </c>
      <c r="J77" s="131"/>
      <c r="K77" s="61">
        <v>473.7</v>
      </c>
      <c r="L77" s="62">
        <v>108.9</v>
      </c>
      <c r="M77" s="57"/>
      <c r="N77" s="2284" t="s">
        <v>253</v>
      </c>
      <c r="O77" s="106">
        <v>3</v>
      </c>
      <c r="P77" s="107">
        <v>1</v>
      </c>
      <c r="Q77" s="108"/>
      <c r="R77" s="588"/>
      <c r="S77" s="588"/>
      <c r="T77" s="588"/>
      <c r="U77" s="588"/>
    </row>
    <row r="78" spans="1:23" ht="26.25" customHeight="1" x14ac:dyDescent="0.2">
      <c r="A78" s="565"/>
      <c r="B78" s="566"/>
      <c r="C78" s="19"/>
      <c r="D78" s="2283"/>
      <c r="E78" s="784"/>
      <c r="F78" s="824"/>
      <c r="G78" s="101" t="s">
        <v>20</v>
      </c>
      <c r="H78" s="620">
        <f>I78+K78</f>
        <v>163.1</v>
      </c>
      <c r="I78" s="141"/>
      <c r="J78" s="140"/>
      <c r="K78" s="59">
        <v>163.1</v>
      </c>
      <c r="L78" s="178"/>
      <c r="M78" s="59"/>
      <c r="N78" s="2113"/>
      <c r="O78" s="444"/>
      <c r="P78" s="80"/>
      <c r="Q78" s="79"/>
      <c r="R78" s="588"/>
      <c r="S78" s="588"/>
      <c r="T78" s="588"/>
      <c r="U78" s="588"/>
    </row>
    <row r="79" spans="1:23" ht="38.25" x14ac:dyDescent="0.2">
      <c r="A79" s="565"/>
      <c r="B79" s="566"/>
      <c r="C79" s="19"/>
      <c r="D79" s="804" t="s">
        <v>204</v>
      </c>
      <c r="E79" s="784"/>
      <c r="F79" s="498"/>
      <c r="G79" s="541"/>
      <c r="H79" s="454"/>
      <c r="I79" s="134"/>
      <c r="J79" s="133"/>
      <c r="K79" s="60"/>
      <c r="L79" s="151"/>
      <c r="M79" s="146"/>
      <c r="N79" s="822"/>
      <c r="O79" s="779"/>
      <c r="P79" s="80"/>
      <c r="Q79" s="631"/>
    </row>
    <row r="80" spans="1:23" x14ac:dyDescent="0.2">
      <c r="A80" s="565"/>
      <c r="B80" s="566"/>
      <c r="C80" s="19"/>
      <c r="D80" s="2190" t="s">
        <v>182</v>
      </c>
      <c r="E80" s="2295"/>
      <c r="F80" s="2051"/>
      <c r="G80" s="91"/>
      <c r="H80" s="454"/>
      <c r="I80" s="134"/>
      <c r="J80" s="133"/>
      <c r="K80" s="60"/>
      <c r="L80" s="151"/>
      <c r="M80" s="60"/>
      <c r="N80" s="84"/>
      <c r="O80" s="762"/>
      <c r="P80" s="780"/>
      <c r="Q80" s="79"/>
      <c r="S80" s="112"/>
      <c r="W80" s="112"/>
    </row>
    <row r="81" spans="1:23" ht="53.25" customHeight="1" x14ac:dyDescent="0.2">
      <c r="A81" s="565"/>
      <c r="B81" s="566"/>
      <c r="C81" s="19"/>
      <c r="D81" s="2190"/>
      <c r="E81" s="2295"/>
      <c r="F81" s="2051"/>
      <c r="G81" s="541"/>
      <c r="H81" s="454"/>
      <c r="I81" s="134"/>
      <c r="J81" s="133"/>
      <c r="K81" s="60"/>
      <c r="L81" s="151"/>
      <c r="M81" s="60"/>
      <c r="N81" s="822"/>
      <c r="O81" s="264"/>
      <c r="P81" s="810"/>
      <c r="Q81" s="631"/>
      <c r="U81" s="112"/>
    </row>
    <row r="82" spans="1:23" x14ac:dyDescent="0.2">
      <c r="A82" s="565"/>
      <c r="B82" s="566"/>
      <c r="C82" s="19"/>
      <c r="D82" s="2190" t="s">
        <v>241</v>
      </c>
      <c r="E82" s="2295"/>
      <c r="F82" s="2051"/>
      <c r="G82" s="91"/>
      <c r="H82" s="454"/>
      <c r="I82" s="515"/>
      <c r="J82" s="133"/>
      <c r="K82" s="60"/>
      <c r="L82" s="151"/>
      <c r="M82" s="60"/>
      <c r="N82" s="2113"/>
      <c r="O82" s="762"/>
      <c r="P82" s="780"/>
      <c r="Q82" s="79"/>
      <c r="S82" s="112"/>
    </row>
    <row r="83" spans="1:23" ht="38.25" customHeight="1" x14ac:dyDescent="0.2">
      <c r="A83" s="565"/>
      <c r="B83" s="566"/>
      <c r="C83" s="19"/>
      <c r="D83" s="2190"/>
      <c r="E83" s="2295"/>
      <c r="F83" s="2051"/>
      <c r="G83" s="541"/>
      <c r="H83" s="454"/>
      <c r="I83" s="134"/>
      <c r="J83" s="133"/>
      <c r="K83" s="60"/>
      <c r="L83" s="151"/>
      <c r="M83" s="60"/>
      <c r="N83" s="2113"/>
      <c r="O83" s="264"/>
      <c r="P83" s="810"/>
      <c r="Q83" s="631"/>
      <c r="S83" s="112"/>
      <c r="W83" s="112"/>
    </row>
    <row r="84" spans="1:23" ht="26.25" thickBot="1" x14ac:dyDescent="0.25">
      <c r="A84" s="24"/>
      <c r="B84" s="14"/>
      <c r="C84" s="45"/>
      <c r="D84" s="804" t="s">
        <v>216</v>
      </c>
      <c r="E84" s="785"/>
      <c r="F84" s="786"/>
      <c r="G84" s="320" t="s">
        <v>16</v>
      </c>
      <c r="H84" s="829">
        <f>SUM(H77:H83)</f>
        <v>656.8</v>
      </c>
      <c r="I84" s="829">
        <f t="shared" ref="I84:L84" si="4">SUM(I77:I83)</f>
        <v>20</v>
      </c>
      <c r="J84" s="829">
        <f t="shared" si="4"/>
        <v>0</v>
      </c>
      <c r="K84" s="829">
        <f t="shared" si="4"/>
        <v>636.79999999999995</v>
      </c>
      <c r="L84" s="829">
        <f t="shared" si="4"/>
        <v>108.9</v>
      </c>
      <c r="M84" s="829"/>
      <c r="N84" s="781"/>
      <c r="O84" s="782"/>
      <c r="P84" s="766"/>
      <c r="Q84" s="767"/>
    </row>
    <row r="85" spans="1:23" ht="13.5" thickBot="1" x14ac:dyDescent="0.25">
      <c r="A85" s="30" t="s">
        <v>9</v>
      </c>
      <c r="B85" s="33" t="s">
        <v>10</v>
      </c>
      <c r="C85" s="2288" t="s">
        <v>15</v>
      </c>
      <c r="D85" s="2188"/>
      <c r="E85" s="2188"/>
      <c r="F85" s="2188"/>
      <c r="G85" s="2189"/>
      <c r="H85" s="20">
        <f>H84+H76+H60</f>
        <v>11702</v>
      </c>
      <c r="I85" s="20">
        <f t="shared" ref="I85:K85" si="5">I84+I76</f>
        <v>40</v>
      </c>
      <c r="J85" s="20">
        <f t="shared" si="5"/>
        <v>0</v>
      </c>
      <c r="K85" s="20">
        <f t="shared" si="5"/>
        <v>719.09999999999991</v>
      </c>
      <c r="L85" s="20">
        <f>L84+L76+L60</f>
        <v>10681.300000000001</v>
      </c>
      <c r="M85" s="20">
        <f>M84+M76+M60</f>
        <v>10523.9</v>
      </c>
      <c r="N85" s="2062"/>
      <c r="O85" s="2063"/>
      <c r="P85" s="2063"/>
      <c r="Q85" s="2064"/>
    </row>
    <row r="86" spans="1:23" ht="13.5" thickBot="1" x14ac:dyDescent="0.25">
      <c r="A86" s="18" t="s">
        <v>9</v>
      </c>
      <c r="B86" s="154" t="s">
        <v>11</v>
      </c>
      <c r="C86" s="2139" t="s">
        <v>153</v>
      </c>
      <c r="D86" s="2140"/>
      <c r="E86" s="2140"/>
      <c r="F86" s="2140"/>
      <c r="G86" s="2140"/>
      <c r="H86" s="2140"/>
      <c r="I86" s="2140"/>
      <c r="J86" s="2140"/>
      <c r="K86" s="2140"/>
      <c r="L86" s="2140"/>
      <c r="M86" s="2140"/>
      <c r="N86" s="2140"/>
      <c r="O86" s="2140"/>
      <c r="P86" s="2140"/>
      <c r="Q86" s="2141"/>
    </row>
    <row r="87" spans="1:23" ht="38.25" x14ac:dyDescent="0.2">
      <c r="A87" s="21" t="s">
        <v>9</v>
      </c>
      <c r="B87" s="27" t="s">
        <v>11</v>
      </c>
      <c r="C87" s="22" t="s">
        <v>9</v>
      </c>
      <c r="D87" s="457" t="s">
        <v>78</v>
      </c>
      <c r="E87" s="2292" t="s">
        <v>217</v>
      </c>
      <c r="F87" s="823">
        <v>2</v>
      </c>
      <c r="G87" s="787" t="s">
        <v>12</v>
      </c>
      <c r="H87" s="788">
        <v>60</v>
      </c>
      <c r="I87" s="789">
        <v>60</v>
      </c>
      <c r="J87" s="57"/>
      <c r="K87" s="90"/>
      <c r="L87" s="62">
        <v>120</v>
      </c>
      <c r="M87" s="62">
        <v>180</v>
      </c>
      <c r="N87" s="225"/>
      <c r="O87" s="106"/>
      <c r="P87" s="107"/>
      <c r="Q87" s="108"/>
    </row>
    <row r="88" spans="1:23" ht="51" x14ac:dyDescent="0.2">
      <c r="A88" s="565"/>
      <c r="B88" s="566"/>
      <c r="C88" s="19"/>
      <c r="D88" s="593" t="s">
        <v>113</v>
      </c>
      <c r="E88" s="2293"/>
      <c r="F88" s="824"/>
      <c r="G88" s="590"/>
      <c r="H88" s="699"/>
      <c r="I88" s="694"/>
      <c r="J88" s="466"/>
      <c r="K88" s="467"/>
      <c r="L88" s="471"/>
      <c r="M88" s="471"/>
      <c r="N88" s="594" t="s">
        <v>229</v>
      </c>
      <c r="O88" s="226">
        <v>1</v>
      </c>
      <c r="P88" s="227">
        <v>1</v>
      </c>
      <c r="Q88" s="228">
        <v>1</v>
      </c>
      <c r="R88" s="75"/>
    </row>
    <row r="89" spans="1:23" ht="25.5" x14ac:dyDescent="0.2">
      <c r="A89" s="565"/>
      <c r="B89" s="566"/>
      <c r="C89" s="19"/>
      <c r="D89" s="2289" t="s">
        <v>183</v>
      </c>
      <c r="E89" s="2293"/>
      <c r="F89" s="824"/>
      <c r="G89" s="590"/>
      <c r="H89" s="699"/>
      <c r="I89" s="694"/>
      <c r="J89" s="466"/>
      <c r="K89" s="479"/>
      <c r="L89" s="595"/>
      <c r="M89" s="595"/>
      <c r="N89" s="794" t="s">
        <v>230</v>
      </c>
      <c r="O89" s="791"/>
      <c r="P89" s="792">
        <v>1</v>
      </c>
      <c r="Q89" s="793">
        <v>1</v>
      </c>
    </row>
    <row r="90" spans="1:23" x14ac:dyDescent="0.2">
      <c r="A90" s="636"/>
      <c r="B90" s="635"/>
      <c r="C90" s="606"/>
      <c r="D90" s="2290"/>
      <c r="E90" s="2294"/>
      <c r="F90" s="850"/>
      <c r="G90" s="851"/>
      <c r="H90" s="852"/>
      <c r="I90" s="853"/>
      <c r="J90" s="592"/>
      <c r="K90" s="853"/>
      <c r="L90" s="854"/>
      <c r="M90" s="854"/>
      <c r="N90" s="855" t="s">
        <v>231</v>
      </c>
      <c r="O90" s="856">
        <v>1</v>
      </c>
      <c r="P90" s="857">
        <v>1</v>
      </c>
      <c r="Q90" s="858">
        <v>1</v>
      </c>
      <c r="S90" s="112"/>
    </row>
    <row r="91" spans="1:23" ht="51" x14ac:dyDescent="0.2">
      <c r="A91" s="565"/>
      <c r="B91" s="566"/>
      <c r="C91" s="19"/>
      <c r="D91" s="840" t="s">
        <v>242</v>
      </c>
      <c r="E91" s="848"/>
      <c r="F91" s="824"/>
      <c r="G91" s="590"/>
      <c r="H91" s="699"/>
      <c r="I91" s="694"/>
      <c r="J91" s="466"/>
      <c r="K91" s="479"/>
      <c r="L91" s="471"/>
      <c r="M91" s="471"/>
      <c r="N91" s="795" t="s">
        <v>232</v>
      </c>
      <c r="O91" s="226"/>
      <c r="P91" s="227">
        <v>2</v>
      </c>
      <c r="Q91" s="228">
        <v>4</v>
      </c>
      <c r="S91" s="112"/>
    </row>
    <row r="92" spans="1:23" x14ac:dyDescent="0.2">
      <c r="A92" s="565"/>
      <c r="B92" s="566"/>
      <c r="C92" s="19"/>
      <c r="D92" s="2289" t="s">
        <v>81</v>
      </c>
      <c r="E92" s="848"/>
      <c r="F92" s="824"/>
      <c r="G92" s="692"/>
      <c r="H92" s="702"/>
      <c r="I92" s="697"/>
      <c r="J92" s="276"/>
      <c r="K92" s="790"/>
      <c r="L92" s="462"/>
      <c r="M92" s="462"/>
      <c r="N92" s="608"/>
      <c r="O92" s="483"/>
      <c r="P92" s="227"/>
      <c r="Q92" s="228"/>
    </row>
    <row r="93" spans="1:23" ht="40.5" customHeight="1" thickBot="1" x14ac:dyDescent="0.25">
      <c r="A93" s="565"/>
      <c r="B93" s="566"/>
      <c r="C93" s="44"/>
      <c r="D93" s="2291"/>
      <c r="E93" s="849"/>
      <c r="F93" s="406"/>
      <c r="G93" s="591" t="s">
        <v>16</v>
      </c>
      <c r="H93" s="359">
        <f>SUM(H87:H89)</f>
        <v>60</v>
      </c>
      <c r="I93" s="638">
        <f>SUM(I87:I89)</f>
        <v>60</v>
      </c>
      <c r="J93" s="346"/>
      <c r="K93" s="358"/>
      <c r="L93" s="359">
        <f>SUM(L87:L92)</f>
        <v>120</v>
      </c>
      <c r="M93" s="359">
        <f>SUM(M87:M92)</f>
        <v>180</v>
      </c>
      <c r="N93" s="1"/>
      <c r="O93" s="652"/>
      <c r="P93" s="653"/>
      <c r="Q93" s="654"/>
    </row>
    <row r="94" spans="1:23" ht="51" x14ac:dyDescent="0.2">
      <c r="A94" s="21" t="s">
        <v>9</v>
      </c>
      <c r="B94" s="27" t="s">
        <v>11</v>
      </c>
      <c r="C94" s="22" t="s">
        <v>10</v>
      </c>
      <c r="D94" s="796" t="s">
        <v>89</v>
      </c>
      <c r="E94" s="485"/>
      <c r="F94" s="2148">
        <v>2</v>
      </c>
      <c r="G94" s="787" t="s">
        <v>12</v>
      </c>
      <c r="H94" s="797"/>
      <c r="I94" s="695"/>
      <c r="J94" s="194"/>
      <c r="K94" s="596"/>
      <c r="L94" s="196">
        <v>30</v>
      </c>
      <c r="M94" s="196">
        <v>70</v>
      </c>
      <c r="N94" s="225"/>
      <c r="O94" s="106"/>
      <c r="P94" s="107"/>
      <c r="Q94" s="108"/>
    </row>
    <row r="95" spans="1:23" ht="38.25" x14ac:dyDescent="0.2">
      <c r="A95" s="25"/>
      <c r="B95" s="28"/>
      <c r="C95" s="19"/>
      <c r="D95" s="122" t="s">
        <v>185</v>
      </c>
      <c r="E95" s="798" t="s">
        <v>109</v>
      </c>
      <c r="F95" s="2149"/>
      <c r="G95" s="428"/>
      <c r="H95" s="712"/>
      <c r="I95" s="799"/>
      <c r="J95" s="134"/>
      <c r="K95" s="147"/>
      <c r="L95" s="65"/>
      <c r="M95" s="800"/>
      <c r="N95" s="84" t="s">
        <v>220</v>
      </c>
      <c r="O95" s="264"/>
      <c r="P95" s="810">
        <v>2</v>
      </c>
      <c r="Q95" s="844">
        <v>3</v>
      </c>
      <c r="R95" s="187"/>
      <c r="S95" s="112"/>
      <c r="U95" s="112"/>
    </row>
    <row r="96" spans="1:23" x14ac:dyDescent="0.2">
      <c r="A96" s="565"/>
      <c r="B96" s="566"/>
      <c r="C96" s="19"/>
      <c r="D96" s="2135" t="s">
        <v>186</v>
      </c>
      <c r="E96" s="2066" t="s">
        <v>91</v>
      </c>
      <c r="F96" s="2149"/>
      <c r="G96" s="692"/>
      <c r="H96" s="701"/>
      <c r="I96" s="696"/>
      <c r="J96" s="143"/>
      <c r="K96" s="144"/>
      <c r="L96" s="424"/>
      <c r="M96" s="424"/>
      <c r="N96" s="2042" t="s">
        <v>233</v>
      </c>
      <c r="O96" s="490"/>
      <c r="P96" s="488">
        <v>1</v>
      </c>
      <c r="Q96" s="489">
        <v>1</v>
      </c>
      <c r="R96" s="187"/>
    </row>
    <row r="97" spans="1:19" ht="13.5" thickBot="1" x14ac:dyDescent="0.25">
      <c r="A97" s="24"/>
      <c r="B97" s="14"/>
      <c r="C97" s="45"/>
      <c r="D97" s="2059"/>
      <c r="E97" s="2167"/>
      <c r="F97" s="2150"/>
      <c r="G97" s="591" t="s">
        <v>16</v>
      </c>
      <c r="H97" s="319"/>
      <c r="I97" s="309"/>
      <c r="J97" s="830"/>
      <c r="K97" s="311"/>
      <c r="L97" s="365">
        <f>SUM(L94:L96)</f>
        <v>30</v>
      </c>
      <c r="M97" s="365">
        <f>SUM(M94:M96)</f>
        <v>70</v>
      </c>
      <c r="N97" s="2043"/>
      <c r="O97" s="231"/>
      <c r="P97" s="816"/>
      <c r="Q97" s="817"/>
      <c r="R97" s="187"/>
    </row>
    <row r="98" spans="1:19" ht="25.5" x14ac:dyDescent="0.2">
      <c r="A98" s="21" t="s">
        <v>9</v>
      </c>
      <c r="B98" s="27" t="s">
        <v>11</v>
      </c>
      <c r="C98" s="22" t="s">
        <v>11</v>
      </c>
      <c r="D98" s="457" t="s">
        <v>96</v>
      </c>
      <c r="E98" s="2067" t="s">
        <v>100</v>
      </c>
      <c r="F98" s="2050" t="s">
        <v>35</v>
      </c>
      <c r="G98" s="787" t="s">
        <v>12</v>
      </c>
      <c r="H98" s="698"/>
      <c r="I98" s="693"/>
      <c r="J98" s="158"/>
      <c r="K98" s="485"/>
      <c r="L98" s="801">
        <v>25</v>
      </c>
      <c r="M98" s="801">
        <v>35</v>
      </c>
      <c r="N98" s="634"/>
      <c r="O98" s="229"/>
      <c r="P98" s="211"/>
      <c r="Q98" s="230"/>
    </row>
    <row r="99" spans="1:19" x14ac:dyDescent="0.2">
      <c r="A99" s="565"/>
      <c r="B99" s="566"/>
      <c r="C99" s="19"/>
      <c r="D99" s="826" t="s">
        <v>243</v>
      </c>
      <c r="E99" s="2068"/>
      <c r="F99" s="2051"/>
      <c r="G99" s="590"/>
      <c r="H99" s="712"/>
      <c r="I99" s="440"/>
      <c r="J99" s="157"/>
      <c r="K99" s="486"/>
      <c r="L99" s="615"/>
      <c r="M99" s="65"/>
      <c r="N99" s="597" t="s">
        <v>234</v>
      </c>
      <c r="O99" s="490"/>
      <c r="P99" s="488">
        <v>3</v>
      </c>
      <c r="Q99" s="489">
        <v>4</v>
      </c>
    </row>
    <row r="100" spans="1:19" x14ac:dyDescent="0.2">
      <c r="A100" s="565"/>
      <c r="B100" s="566"/>
      <c r="C100" s="19"/>
      <c r="D100" s="2135" t="s">
        <v>97</v>
      </c>
      <c r="E100" s="2068"/>
      <c r="F100" s="2051"/>
      <c r="G100" s="692"/>
      <c r="H100" s="701"/>
      <c r="I100" s="802"/>
      <c r="J100" s="296"/>
      <c r="K100" s="297"/>
      <c r="L100" s="803"/>
      <c r="M100" s="741"/>
      <c r="N100" s="2042" t="s">
        <v>220</v>
      </c>
      <c r="O100" s="490"/>
      <c r="P100" s="488">
        <v>2</v>
      </c>
      <c r="Q100" s="489">
        <v>3</v>
      </c>
    </row>
    <row r="101" spans="1:19" ht="13.5" thickBot="1" x14ac:dyDescent="0.25">
      <c r="A101" s="24"/>
      <c r="B101" s="14"/>
      <c r="C101" s="45"/>
      <c r="D101" s="2059"/>
      <c r="E101" s="2069"/>
      <c r="F101" s="2052"/>
      <c r="G101" s="591" t="s">
        <v>16</v>
      </c>
      <c r="H101" s="319"/>
      <c r="I101" s="309"/>
      <c r="J101" s="830"/>
      <c r="K101" s="831"/>
      <c r="L101" s="365">
        <f>SUM(L98:L100)</f>
        <v>25</v>
      </c>
      <c r="M101" s="319">
        <f>SUM(M98:M100)</f>
        <v>35</v>
      </c>
      <c r="N101" s="2043"/>
      <c r="O101" s="815"/>
      <c r="P101" s="816"/>
      <c r="Q101" s="817"/>
      <c r="S101" s="112"/>
    </row>
    <row r="102" spans="1:19" x14ac:dyDescent="0.2">
      <c r="A102" s="21" t="s">
        <v>9</v>
      </c>
      <c r="B102" s="27" t="s">
        <v>11</v>
      </c>
      <c r="C102" s="22" t="s">
        <v>13</v>
      </c>
      <c r="D102" s="2058" t="s">
        <v>188</v>
      </c>
      <c r="E102" s="2166" t="s">
        <v>94</v>
      </c>
      <c r="F102" s="2070" t="s">
        <v>35</v>
      </c>
      <c r="G102" s="691" t="s">
        <v>12</v>
      </c>
      <c r="H102" s="702">
        <f>I102+K102</f>
        <v>40</v>
      </c>
      <c r="I102" s="697">
        <v>40</v>
      </c>
      <c r="J102" s="276"/>
      <c r="K102" s="277"/>
      <c r="L102" s="64">
        <v>40</v>
      </c>
      <c r="M102" s="64">
        <v>40</v>
      </c>
      <c r="N102" s="583" t="s">
        <v>235</v>
      </c>
      <c r="O102" s="579">
        <v>4</v>
      </c>
      <c r="P102" s="211">
        <v>10</v>
      </c>
      <c r="Q102" s="230">
        <v>10</v>
      </c>
      <c r="R102" s="187"/>
    </row>
    <row r="103" spans="1:19" ht="42.75" customHeight="1" thickBot="1" x14ac:dyDescent="0.25">
      <c r="A103" s="24"/>
      <c r="B103" s="14"/>
      <c r="C103" s="45"/>
      <c r="D103" s="2059"/>
      <c r="E103" s="2167"/>
      <c r="F103" s="2071"/>
      <c r="G103" s="591" t="s">
        <v>16</v>
      </c>
      <c r="H103" s="359">
        <f>H102</f>
        <v>40</v>
      </c>
      <c r="I103" s="638">
        <f t="shared" ref="I103" si="6">I102</f>
        <v>40</v>
      </c>
      <c r="J103" s="346"/>
      <c r="K103" s="358"/>
      <c r="L103" s="365">
        <f t="shared" ref="L103:M103" si="7">L102</f>
        <v>40</v>
      </c>
      <c r="M103" s="319">
        <f t="shared" si="7"/>
        <v>40</v>
      </c>
      <c r="N103" s="598"/>
      <c r="O103" s="815"/>
      <c r="P103" s="816"/>
      <c r="Q103" s="817"/>
      <c r="R103" s="187"/>
    </row>
    <row r="104" spans="1:19" ht="13.5" thickBot="1" x14ac:dyDescent="0.25">
      <c r="A104" s="30" t="s">
        <v>9</v>
      </c>
      <c r="B104" s="33" t="s">
        <v>11</v>
      </c>
      <c r="C104" s="2288" t="s">
        <v>15</v>
      </c>
      <c r="D104" s="2188"/>
      <c r="E104" s="2188"/>
      <c r="F104" s="2188"/>
      <c r="G104" s="2189"/>
      <c r="H104" s="160">
        <f t="shared" ref="H104:K104" si="8">H103+H97+H93+H101</f>
        <v>100</v>
      </c>
      <c r="I104" s="168">
        <f>I103+I97+I93+I101</f>
        <v>100</v>
      </c>
      <c r="J104" s="163">
        <f t="shared" si="8"/>
        <v>0</v>
      </c>
      <c r="K104" s="167">
        <f t="shared" si="8"/>
        <v>0</v>
      </c>
      <c r="L104" s="160">
        <f>L103+L97+L93+L101</f>
        <v>215</v>
      </c>
      <c r="M104" s="160">
        <f>M103+M97+M93+M101</f>
        <v>325</v>
      </c>
      <c r="N104" s="2062"/>
      <c r="O104" s="2063"/>
      <c r="P104" s="2063"/>
      <c r="Q104" s="2064"/>
    </row>
    <row r="105" spans="1:19" ht="13.5" thickBot="1" x14ac:dyDescent="0.25">
      <c r="A105" s="13" t="s">
        <v>9</v>
      </c>
      <c r="B105" s="2274" t="s">
        <v>17</v>
      </c>
      <c r="C105" s="2168"/>
      <c r="D105" s="2168"/>
      <c r="E105" s="2168"/>
      <c r="F105" s="2168"/>
      <c r="G105" s="2169"/>
      <c r="H105" s="129">
        <f>H104+H85+H29</f>
        <v>13985.3</v>
      </c>
      <c r="I105" s="166">
        <f>I104+I85+I29</f>
        <v>2323.3000000000002</v>
      </c>
      <c r="J105" s="164">
        <f>J104+J85+J29</f>
        <v>0</v>
      </c>
      <c r="K105" s="129">
        <f>K104+K85+K29</f>
        <v>719.09999999999991</v>
      </c>
      <c r="L105" s="129">
        <f>L85+L29+L104</f>
        <v>13426.5</v>
      </c>
      <c r="M105" s="129">
        <f>M85+M29+M104</f>
        <v>13569.099999999999</v>
      </c>
      <c r="N105" s="2142"/>
      <c r="O105" s="2143"/>
      <c r="P105" s="2143"/>
      <c r="Q105" s="2144"/>
    </row>
    <row r="106" spans="1:19" ht="13.5" thickBot="1" x14ac:dyDescent="0.25">
      <c r="A106" s="31" t="s">
        <v>14</v>
      </c>
      <c r="B106" s="2275" t="s">
        <v>95</v>
      </c>
      <c r="C106" s="2173"/>
      <c r="D106" s="2173"/>
      <c r="E106" s="2173"/>
      <c r="F106" s="2173"/>
      <c r="G106" s="2174"/>
      <c r="H106" s="242">
        <f t="shared" ref="H106:L106" si="9">H105</f>
        <v>13985.3</v>
      </c>
      <c r="I106" s="243">
        <f t="shared" si="9"/>
        <v>2323.3000000000002</v>
      </c>
      <c r="J106" s="245">
        <f t="shared" si="9"/>
        <v>0</v>
      </c>
      <c r="K106" s="242">
        <f t="shared" si="9"/>
        <v>719.09999999999991</v>
      </c>
      <c r="L106" s="248">
        <f t="shared" si="9"/>
        <v>13426.5</v>
      </c>
      <c r="M106" s="245">
        <f>M105</f>
        <v>13569.099999999999</v>
      </c>
      <c r="N106" s="2079"/>
      <c r="O106" s="2080"/>
      <c r="P106" s="2080"/>
      <c r="Q106" s="2081"/>
      <c r="S106" s="868"/>
    </row>
    <row r="107" spans="1:19" x14ac:dyDescent="0.2">
      <c r="A107" s="705"/>
      <c r="B107" s="706"/>
      <c r="C107" s="706"/>
      <c r="D107" s="706"/>
      <c r="E107" s="706"/>
      <c r="F107" s="706"/>
      <c r="G107" s="706"/>
      <c r="H107" s="707"/>
      <c r="I107" s="707"/>
      <c r="J107" s="707"/>
      <c r="K107" s="707"/>
      <c r="L107" s="707"/>
      <c r="M107" s="707"/>
      <c r="N107" s="704"/>
      <c r="O107" s="704"/>
      <c r="P107" s="704"/>
      <c r="Q107" s="704"/>
    </row>
    <row r="108" spans="1:19" ht="13.5" thickBot="1" x14ac:dyDescent="0.25">
      <c r="A108" s="2264" t="s">
        <v>21</v>
      </c>
      <c r="B108" s="2264"/>
      <c r="C108" s="2264"/>
      <c r="D108" s="2264"/>
      <c r="E108" s="2264"/>
      <c r="F108" s="2264"/>
      <c r="G108" s="2264"/>
      <c r="H108" s="2264"/>
      <c r="I108" s="2264"/>
      <c r="J108" s="2264"/>
      <c r="K108" s="2264"/>
      <c r="L108" s="2264"/>
      <c r="M108" s="2264"/>
      <c r="N108" s="249"/>
      <c r="O108" s="655"/>
      <c r="P108" s="655"/>
      <c r="Q108" s="655"/>
    </row>
    <row r="109" spans="1:19" ht="38.25" x14ac:dyDescent="0.2">
      <c r="A109" s="2265" t="s">
        <v>19</v>
      </c>
      <c r="B109" s="2266"/>
      <c r="C109" s="2266"/>
      <c r="D109" s="2266"/>
      <c r="E109" s="2266"/>
      <c r="F109" s="2266"/>
      <c r="G109" s="2267"/>
      <c r="H109" s="2331" t="s">
        <v>207</v>
      </c>
      <c r="I109" s="2332"/>
      <c r="J109" s="2332"/>
      <c r="K109" s="2333"/>
      <c r="L109" s="713" t="s">
        <v>208</v>
      </c>
      <c r="M109" s="713" t="s">
        <v>209</v>
      </c>
      <c r="N109" s="70"/>
      <c r="O109" s="2165"/>
      <c r="P109" s="2165"/>
      <c r="Q109" s="2165"/>
    </row>
    <row r="110" spans="1:19" x14ac:dyDescent="0.2">
      <c r="A110" s="2279" t="s">
        <v>32</v>
      </c>
      <c r="B110" s="2280"/>
      <c r="C110" s="2280"/>
      <c r="D110" s="2280"/>
      <c r="E110" s="2280"/>
      <c r="F110" s="2280"/>
      <c r="G110" s="2281"/>
      <c r="H110" s="2158">
        <f>SUM(H111:K113)</f>
        <v>13137.2</v>
      </c>
      <c r="I110" s="2159"/>
      <c r="J110" s="2159"/>
      <c r="K110" s="2160"/>
      <c r="L110" s="54">
        <f>SUM(L111:L114)</f>
        <v>12848.800000000001</v>
      </c>
      <c r="M110" s="54">
        <f>SUM(M111:M114)</f>
        <v>12375.2</v>
      </c>
      <c r="N110" s="71"/>
      <c r="O110" s="2163"/>
      <c r="P110" s="2163"/>
      <c r="Q110" s="2163"/>
    </row>
    <row r="111" spans="1:19" x14ac:dyDescent="0.2">
      <c r="A111" s="2175" t="s">
        <v>22</v>
      </c>
      <c r="B111" s="2176"/>
      <c r="C111" s="2176"/>
      <c r="D111" s="2176"/>
      <c r="E111" s="2176"/>
      <c r="F111" s="2176"/>
      <c r="G111" s="2177"/>
      <c r="H111" s="2129">
        <f>SUMIF(G12:G102,"sb",H12:H102)-270.7</f>
        <v>11463.4</v>
      </c>
      <c r="I111" s="2130"/>
      <c r="J111" s="2130"/>
      <c r="K111" s="2131"/>
      <c r="L111" s="67">
        <f>SUMIF(G12:G102,"sb",L12:L102)</f>
        <v>11022.300000000001</v>
      </c>
      <c r="M111" s="67">
        <f>SUMIF(G12:G102,"sb",M12:M102)</f>
        <v>10359.5</v>
      </c>
      <c r="N111" s="145"/>
      <c r="O111" s="2164"/>
      <c r="P111" s="2164"/>
      <c r="Q111" s="2164"/>
    </row>
    <row r="112" spans="1:19" x14ac:dyDescent="0.2">
      <c r="A112" s="2175" t="s">
        <v>112</v>
      </c>
      <c r="B112" s="2176"/>
      <c r="C112" s="2176"/>
      <c r="D112" s="2176"/>
      <c r="E112" s="2176"/>
      <c r="F112" s="2176"/>
      <c r="G112" s="2177"/>
      <c r="H112" s="2136">
        <f>SUMIF(G13:G102,"sb(vr)",H13:H102)</f>
        <v>464.1</v>
      </c>
      <c r="I112" s="2137"/>
      <c r="J112" s="2137"/>
      <c r="K112" s="2138"/>
      <c r="L112" s="67">
        <f>SUMIF(G13:G102,"sb(vr)",L13:L102)</f>
        <v>528</v>
      </c>
      <c r="M112" s="67">
        <f>SUMIF(G13:G102,"sb(vr)",M13:M102)</f>
        <v>528</v>
      </c>
      <c r="N112" s="588"/>
      <c r="O112" s="828"/>
      <c r="P112" s="828"/>
      <c r="Q112" s="828"/>
    </row>
    <row r="113" spans="1:17" x14ac:dyDescent="0.2">
      <c r="A113" s="2276" t="s">
        <v>31</v>
      </c>
      <c r="B113" s="2277"/>
      <c r="C113" s="2277"/>
      <c r="D113" s="2277"/>
      <c r="E113" s="2277"/>
      <c r="F113" s="2277"/>
      <c r="G113" s="2278"/>
      <c r="H113" s="2145">
        <f>SUMIF(G13:G102,"sb(sp)",H13:H102)-H39</f>
        <v>1209.7</v>
      </c>
      <c r="I113" s="2146"/>
      <c r="J113" s="2146"/>
      <c r="K113" s="2147"/>
      <c r="L113" s="68">
        <f>SUMIF(G13:G102,"sb(sp)",L13:L102)</f>
        <v>1298.5</v>
      </c>
      <c r="M113" s="68">
        <f>SUMIF(G13:G102,"SB(SP)",M13:M102)</f>
        <v>1298.5</v>
      </c>
      <c r="N113" s="708"/>
      <c r="O113" s="2164"/>
      <c r="P113" s="2164"/>
      <c r="Q113" s="2164"/>
    </row>
    <row r="114" spans="1:17" s="8" customFormat="1" x14ac:dyDescent="0.2">
      <c r="A114" s="2271" t="s">
        <v>193</v>
      </c>
      <c r="B114" s="2272"/>
      <c r="C114" s="2272"/>
      <c r="D114" s="2272"/>
      <c r="E114" s="2272"/>
      <c r="F114" s="2272"/>
      <c r="G114" s="2273"/>
      <c r="H114" s="2334">
        <f>SUMIF(G13:G102,"SB(P)",H13:H102)</f>
        <v>0</v>
      </c>
      <c r="I114" s="2335"/>
      <c r="J114" s="2335"/>
      <c r="K114" s="2336"/>
      <c r="L114" s="601">
        <f>SUMIF(G13:G102,"SB(P)",L13:L102)</f>
        <v>0</v>
      </c>
      <c r="M114" s="836">
        <f>SUMIF(G13:G102,"SB(P)",M13:M102)</f>
        <v>189.2</v>
      </c>
      <c r="N114" s="145"/>
      <c r="O114" s="828"/>
      <c r="P114" s="828"/>
      <c r="Q114" s="828"/>
    </row>
    <row r="115" spans="1:17" x14ac:dyDescent="0.2">
      <c r="A115" s="2279" t="s">
        <v>33</v>
      </c>
      <c r="B115" s="2280"/>
      <c r="C115" s="2280"/>
      <c r="D115" s="2280"/>
      <c r="E115" s="2280"/>
      <c r="F115" s="2280"/>
      <c r="G115" s="2281"/>
      <c r="H115" s="2170">
        <f>SUM(H116:K117)</f>
        <v>848.09999999999991</v>
      </c>
      <c r="I115" s="2171"/>
      <c r="J115" s="2171"/>
      <c r="K115" s="2172"/>
      <c r="L115" s="69">
        <f>SUM(L116:L117)</f>
        <v>577.70000000000005</v>
      </c>
      <c r="M115" s="69">
        <f>SUM(M116:M117)</f>
        <v>1193.9000000000001</v>
      </c>
      <c r="N115" s="71"/>
      <c r="O115" s="2163"/>
      <c r="P115" s="2163"/>
      <c r="Q115" s="2163"/>
    </row>
    <row r="116" spans="1:17" x14ac:dyDescent="0.2">
      <c r="A116" s="2175" t="s">
        <v>23</v>
      </c>
      <c r="B116" s="2176"/>
      <c r="C116" s="2176"/>
      <c r="D116" s="2176"/>
      <c r="E116" s="2176"/>
      <c r="F116" s="2176"/>
      <c r="G116" s="2177"/>
      <c r="H116" s="2129">
        <f>SUMIF(G13:G102,"es",H13:H102)</f>
        <v>651.79999999999995</v>
      </c>
      <c r="I116" s="2130"/>
      <c r="J116" s="2130"/>
      <c r="K116" s="2131"/>
      <c r="L116" s="67">
        <f>SUMIF(G13:G102,"es",L13:L102)</f>
        <v>357.7</v>
      </c>
      <c r="M116" s="67">
        <f>SUMIF(G13:G102,"es",M13:M102)</f>
        <v>1025.9000000000001</v>
      </c>
      <c r="N116" s="145"/>
      <c r="O116" s="2164"/>
      <c r="P116" s="2164"/>
      <c r="Q116" s="2164"/>
    </row>
    <row r="117" spans="1:17" x14ac:dyDescent="0.2">
      <c r="A117" s="2175" t="s">
        <v>24</v>
      </c>
      <c r="B117" s="2176"/>
      <c r="C117" s="2176"/>
      <c r="D117" s="2176"/>
      <c r="E117" s="2176"/>
      <c r="F117" s="2176"/>
      <c r="G117" s="2177"/>
      <c r="H117" s="2129">
        <f>SUMIF(G13:G102,"lrvb",H13:H102)</f>
        <v>196.3</v>
      </c>
      <c r="I117" s="2130"/>
      <c r="J117" s="2130"/>
      <c r="K117" s="2131"/>
      <c r="L117" s="67">
        <f>SUMIF(G13:G102,"lrvb",L13:L102)</f>
        <v>220</v>
      </c>
      <c r="M117" s="67">
        <f>SUMIF(G13:G102,"lrvb",M13:M102)</f>
        <v>168</v>
      </c>
      <c r="N117" s="145"/>
      <c r="O117" s="2164"/>
      <c r="P117" s="2164"/>
      <c r="Q117" s="2164"/>
    </row>
    <row r="118" spans="1:17" ht="13.5" thickBot="1" x14ac:dyDescent="0.25">
      <c r="A118" s="2285" t="s">
        <v>16</v>
      </c>
      <c r="B118" s="2286"/>
      <c r="C118" s="2286"/>
      <c r="D118" s="2286"/>
      <c r="E118" s="2286"/>
      <c r="F118" s="2286"/>
      <c r="G118" s="2287"/>
      <c r="H118" s="2123">
        <f>H115+H110</f>
        <v>13985.300000000001</v>
      </c>
      <c r="I118" s="2124"/>
      <c r="J118" s="2124"/>
      <c r="K118" s="2125"/>
      <c r="L118" s="319">
        <f>L115+L110</f>
        <v>13426.500000000002</v>
      </c>
      <c r="M118" s="319">
        <f>M115+M110</f>
        <v>13569.1</v>
      </c>
      <c r="N118" s="71"/>
      <c r="O118" s="2163"/>
      <c r="P118" s="2163"/>
      <c r="Q118" s="2163"/>
    </row>
    <row r="119" spans="1:17" x14ac:dyDescent="0.2">
      <c r="A119" s="47"/>
      <c r="B119" s="47"/>
      <c r="C119" s="47"/>
      <c r="D119" s="47"/>
      <c r="I119" s="130"/>
      <c r="L119" s="130"/>
      <c r="M119" s="130"/>
      <c r="N119" s="72"/>
      <c r="O119" s="2164"/>
      <c r="P119" s="2164"/>
      <c r="Q119" s="2164"/>
    </row>
    <row r="120" spans="1:17" x14ac:dyDescent="0.2">
      <c r="H120" s="7"/>
      <c r="I120" s="130"/>
      <c r="L120" s="130"/>
      <c r="M120" s="130"/>
      <c r="O120" s="2161"/>
      <c r="P120" s="2161"/>
      <c r="Q120" s="2161"/>
    </row>
    <row r="121" spans="1:17" x14ac:dyDescent="0.2">
      <c r="I121" s="130"/>
      <c r="N121" s="10"/>
      <c r="O121" s="656"/>
      <c r="P121" s="656"/>
      <c r="Q121" s="656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588"/>
      <c r="J122" s="1"/>
      <c r="K122" s="1"/>
      <c r="L122" s="1"/>
      <c r="M122" s="1"/>
      <c r="N122" s="51"/>
      <c r="O122" s="657"/>
      <c r="P122" s="657"/>
      <c r="Q122" s="657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9"/>
      <c r="O123" s="657"/>
      <c r="P123" s="657"/>
      <c r="Q123" s="657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9"/>
      <c r="O124" s="657"/>
      <c r="P124" s="657"/>
      <c r="Q124" s="657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9"/>
      <c r="O125" s="657"/>
      <c r="P125" s="657"/>
      <c r="Q125" s="657"/>
    </row>
  </sheetData>
  <mergeCells count="141">
    <mergeCell ref="O119:Q119"/>
    <mergeCell ref="O120:Q120"/>
    <mergeCell ref="A117:G117"/>
    <mergeCell ref="H117:K117"/>
    <mergeCell ref="O117:Q117"/>
    <mergeCell ref="A118:G118"/>
    <mergeCell ref="H118:K118"/>
    <mergeCell ref="O118:Q118"/>
    <mergeCell ref="A115:G115"/>
    <mergeCell ref="H115:K115"/>
    <mergeCell ref="O115:Q115"/>
    <mergeCell ref="A116:G116"/>
    <mergeCell ref="H116:K116"/>
    <mergeCell ref="O116:Q116"/>
    <mergeCell ref="A112:G112"/>
    <mergeCell ref="H112:K112"/>
    <mergeCell ref="A113:G113"/>
    <mergeCell ref="H113:K113"/>
    <mergeCell ref="O113:Q113"/>
    <mergeCell ref="A114:G114"/>
    <mergeCell ref="H114:K114"/>
    <mergeCell ref="A110:G110"/>
    <mergeCell ref="H110:K110"/>
    <mergeCell ref="O110:Q110"/>
    <mergeCell ref="A111:G111"/>
    <mergeCell ref="H111:K111"/>
    <mergeCell ref="O111:Q111"/>
    <mergeCell ref="B106:G106"/>
    <mergeCell ref="N106:Q106"/>
    <mergeCell ref="A108:M108"/>
    <mergeCell ref="A109:G109"/>
    <mergeCell ref="H109:K109"/>
    <mergeCell ref="O109:Q109"/>
    <mergeCell ref="D102:D103"/>
    <mergeCell ref="E102:E103"/>
    <mergeCell ref="F102:F103"/>
    <mergeCell ref="C104:G104"/>
    <mergeCell ref="N104:Q104"/>
    <mergeCell ref="B105:G105"/>
    <mergeCell ref="N105:Q105"/>
    <mergeCell ref="F94:F97"/>
    <mergeCell ref="D96:D97"/>
    <mergeCell ref="E96:E97"/>
    <mergeCell ref="N96:N97"/>
    <mergeCell ref="E98:E101"/>
    <mergeCell ref="F98:F101"/>
    <mergeCell ref="D100:D101"/>
    <mergeCell ref="N100:N101"/>
    <mergeCell ref="C85:G85"/>
    <mergeCell ref="N85:Q85"/>
    <mergeCell ref="C86:Q86"/>
    <mergeCell ref="E87:E90"/>
    <mergeCell ref="D89:D90"/>
    <mergeCell ref="D92:D93"/>
    <mergeCell ref="D77:D78"/>
    <mergeCell ref="N77:N78"/>
    <mergeCell ref="D80:D81"/>
    <mergeCell ref="E80:E81"/>
    <mergeCell ref="F80:F81"/>
    <mergeCell ref="D82:D83"/>
    <mergeCell ref="E82:E83"/>
    <mergeCell ref="F82:F83"/>
    <mergeCell ref="N82:N83"/>
    <mergeCell ref="D72:D76"/>
    <mergeCell ref="E72:E75"/>
    <mergeCell ref="F72:F75"/>
    <mergeCell ref="N72:N73"/>
    <mergeCell ref="N74:N75"/>
    <mergeCell ref="E76:G76"/>
    <mergeCell ref="D65:D68"/>
    <mergeCell ref="N65:N68"/>
    <mergeCell ref="D69:D71"/>
    <mergeCell ref="E69:E71"/>
    <mergeCell ref="F69:F71"/>
    <mergeCell ref="N69:N71"/>
    <mergeCell ref="O56:O57"/>
    <mergeCell ref="P56:P57"/>
    <mergeCell ref="Q56:Q57"/>
    <mergeCell ref="D63:D64"/>
    <mergeCell ref="E63:E64"/>
    <mergeCell ref="D48:D49"/>
    <mergeCell ref="D50:D52"/>
    <mergeCell ref="N50:N52"/>
    <mergeCell ref="E52:E56"/>
    <mergeCell ref="D53:D55"/>
    <mergeCell ref="N56:N57"/>
    <mergeCell ref="D56:D58"/>
    <mergeCell ref="D59:D60"/>
    <mergeCell ref="Q33:Q36"/>
    <mergeCell ref="D36:D37"/>
    <mergeCell ref="D38:D39"/>
    <mergeCell ref="D40:D42"/>
    <mergeCell ref="D43:D45"/>
    <mergeCell ref="D46:D47"/>
    <mergeCell ref="D27:D28"/>
    <mergeCell ref="C29:G29"/>
    <mergeCell ref="N29:Q29"/>
    <mergeCell ref="C30:Q30"/>
    <mergeCell ref="D31:D32"/>
    <mergeCell ref="E31:E36"/>
    <mergeCell ref="D33:D35"/>
    <mergeCell ref="N33:N36"/>
    <mergeCell ref="O33:O36"/>
    <mergeCell ref="P33:P36"/>
    <mergeCell ref="L40:L41"/>
    <mergeCell ref="N21:N22"/>
    <mergeCell ref="O21:O22"/>
    <mergeCell ref="P21:P22"/>
    <mergeCell ref="Q21:Q22"/>
    <mergeCell ref="D25:D26"/>
    <mergeCell ref="N25:N26"/>
    <mergeCell ref="D19:D20"/>
    <mergeCell ref="E19:E20"/>
    <mergeCell ref="F19:F20"/>
    <mergeCell ref="D21:D22"/>
    <mergeCell ref="E21:E22"/>
    <mergeCell ref="F21:F22"/>
    <mergeCell ref="A8:Q8"/>
    <mergeCell ref="A9:Q9"/>
    <mergeCell ref="B10:Q10"/>
    <mergeCell ref="C11:Q11"/>
    <mergeCell ref="E12:E13"/>
    <mergeCell ref="D17:D18"/>
    <mergeCell ref="N17:N18"/>
    <mergeCell ref="G5:G7"/>
    <mergeCell ref="H5:K7"/>
    <mergeCell ref="L5:L7"/>
    <mergeCell ref="M5:M7"/>
    <mergeCell ref="N5:Q5"/>
    <mergeCell ref="N6:N7"/>
    <mergeCell ref="O6:Q6"/>
    <mergeCell ref="A1:Q1"/>
    <mergeCell ref="A2:Q2"/>
    <mergeCell ref="A3:Q3"/>
    <mergeCell ref="P4:Q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0"/>
  <sheetViews>
    <sheetView tabSelected="1" zoomScaleNormal="100" zoomScaleSheetLayoutView="70" workbookViewId="0">
      <selection activeCell="G17" sqref="G17"/>
    </sheetView>
  </sheetViews>
  <sheetFormatPr defaultColWidth="9.140625" defaultRowHeight="12.75" x14ac:dyDescent="0.2"/>
  <cols>
    <col min="1" max="1" width="2.28515625" style="961" customWidth="1"/>
    <col min="2" max="2" width="2.42578125" style="961" customWidth="1"/>
    <col min="3" max="3" width="2.5703125" style="961" customWidth="1"/>
    <col min="4" max="4" width="26.42578125" style="961" customWidth="1"/>
    <col min="5" max="5" width="3.5703125" style="1719" customWidth="1"/>
    <col min="6" max="6" width="2.7109375" style="1719" customWidth="1"/>
    <col min="7" max="7" width="7.28515625" style="1719" customWidth="1"/>
    <col min="8" max="8" width="9.5703125" style="1818" customWidth="1"/>
    <col min="9" max="9" width="10.85546875" style="1818" customWidth="1"/>
    <col min="10" max="10" width="10.5703125" style="1818" customWidth="1"/>
    <col min="11" max="11" width="24.140625" style="1253" customWidth="1"/>
    <col min="12" max="12" width="5.28515625" style="1719" customWidth="1"/>
    <col min="13" max="14" width="4.85546875" style="1719" customWidth="1"/>
    <col min="15" max="16384" width="9.140625" style="961"/>
  </cols>
  <sheetData>
    <row r="1" spans="1:19" s="2033" customFormat="1" ht="15.75" x14ac:dyDescent="0.2">
      <c r="A1" s="2337" t="s">
        <v>337</v>
      </c>
      <c r="B1" s="2337"/>
      <c r="C1" s="2337"/>
      <c r="D1" s="2337"/>
      <c r="E1" s="2337"/>
      <c r="F1" s="2337"/>
      <c r="G1" s="2337"/>
      <c r="H1" s="2337"/>
      <c r="I1" s="2337"/>
      <c r="J1" s="2337"/>
      <c r="K1" s="2337"/>
      <c r="L1" s="2337"/>
      <c r="M1" s="2337"/>
      <c r="N1" s="2337"/>
    </row>
    <row r="2" spans="1:19" s="2033" customFormat="1" ht="15.75" x14ac:dyDescent="0.2">
      <c r="A2" s="2338" t="s">
        <v>68</v>
      </c>
      <c r="B2" s="2339"/>
      <c r="C2" s="2339"/>
      <c r="D2" s="2339"/>
      <c r="E2" s="2339"/>
      <c r="F2" s="2339"/>
      <c r="G2" s="2339"/>
      <c r="H2" s="2339"/>
      <c r="I2" s="2339"/>
      <c r="J2" s="2339"/>
      <c r="K2" s="2339"/>
      <c r="L2" s="2339"/>
      <c r="M2" s="2339"/>
      <c r="N2" s="2339"/>
    </row>
    <row r="3" spans="1:19" s="2033" customFormat="1" ht="15.75" x14ac:dyDescent="0.2">
      <c r="A3" s="2337" t="s">
        <v>166</v>
      </c>
      <c r="B3" s="2340"/>
      <c r="C3" s="2340"/>
      <c r="D3" s="2340"/>
      <c r="E3" s="2340"/>
      <c r="F3" s="2340"/>
      <c r="G3" s="2340"/>
      <c r="H3" s="2340"/>
      <c r="I3" s="2340"/>
      <c r="J3" s="2340"/>
      <c r="K3" s="2340"/>
      <c r="L3" s="2340"/>
      <c r="M3" s="2340"/>
      <c r="N3" s="2340"/>
    </row>
    <row r="4" spans="1:19" s="987" customFormat="1" ht="13.5" thickBot="1" x14ac:dyDescent="0.25">
      <c r="A4" s="870"/>
      <c r="B4" s="870"/>
      <c r="C4" s="870"/>
      <c r="D4" s="870"/>
      <c r="E4" s="1967"/>
      <c r="F4" s="1967"/>
      <c r="G4" s="1719"/>
      <c r="H4" s="1727"/>
      <c r="I4" s="1727"/>
      <c r="J4" s="1727"/>
      <c r="K4" s="988"/>
      <c r="L4" s="1967"/>
      <c r="M4" s="2341" t="s">
        <v>331</v>
      </c>
      <c r="N4" s="2341"/>
    </row>
    <row r="5" spans="1:19" s="987" customFormat="1" ht="13.5" customHeight="1" thickBot="1" x14ac:dyDescent="0.25">
      <c r="A5" s="2342" t="s">
        <v>1</v>
      </c>
      <c r="B5" s="2345" t="s">
        <v>2</v>
      </c>
      <c r="C5" s="2345" t="s">
        <v>3</v>
      </c>
      <c r="D5" s="2348" t="s">
        <v>25</v>
      </c>
      <c r="E5" s="2351" t="s">
        <v>4</v>
      </c>
      <c r="F5" s="2376" t="s">
        <v>5</v>
      </c>
      <c r="G5" s="2268" t="s">
        <v>6</v>
      </c>
      <c r="H5" s="2370" t="s">
        <v>332</v>
      </c>
      <c r="I5" s="2370" t="s">
        <v>175</v>
      </c>
      <c r="J5" s="2370" t="s">
        <v>338</v>
      </c>
      <c r="K5" s="2373" t="s">
        <v>167</v>
      </c>
      <c r="L5" s="2374"/>
      <c r="M5" s="2374"/>
      <c r="N5" s="2375"/>
    </row>
    <row r="6" spans="1:19" s="987" customFormat="1" ht="12.75" customHeight="1" x14ac:dyDescent="0.2">
      <c r="A6" s="2343"/>
      <c r="B6" s="2346"/>
      <c r="C6" s="2346"/>
      <c r="D6" s="2349"/>
      <c r="E6" s="2352"/>
      <c r="F6" s="2377"/>
      <c r="G6" s="2269"/>
      <c r="H6" s="2371"/>
      <c r="I6" s="2371"/>
      <c r="J6" s="2371"/>
      <c r="K6" s="2354" t="s">
        <v>25</v>
      </c>
      <c r="L6" s="2356" t="s">
        <v>219</v>
      </c>
      <c r="M6" s="2357"/>
      <c r="N6" s="2358"/>
    </row>
    <row r="7" spans="1:19" s="987" customFormat="1" ht="123.75" customHeight="1" thickBot="1" x14ac:dyDescent="0.25">
      <c r="A7" s="2344"/>
      <c r="B7" s="2347"/>
      <c r="C7" s="2347"/>
      <c r="D7" s="2350"/>
      <c r="E7" s="2353"/>
      <c r="F7" s="2378"/>
      <c r="G7" s="2270"/>
      <c r="H7" s="2372"/>
      <c r="I7" s="2372"/>
      <c r="J7" s="2372"/>
      <c r="K7" s="2355"/>
      <c r="L7" s="1276" t="s">
        <v>75</v>
      </c>
      <c r="M7" s="1277" t="s">
        <v>176</v>
      </c>
      <c r="N7" s="1278" t="s">
        <v>298</v>
      </c>
    </row>
    <row r="8" spans="1:19" ht="18.75" customHeight="1" x14ac:dyDescent="0.2">
      <c r="A8" s="2359" t="s">
        <v>30</v>
      </c>
      <c r="B8" s="2360"/>
      <c r="C8" s="2360"/>
      <c r="D8" s="2360"/>
      <c r="E8" s="2360"/>
      <c r="F8" s="2360"/>
      <c r="G8" s="2360"/>
      <c r="H8" s="2360"/>
      <c r="I8" s="2360"/>
      <c r="J8" s="2360"/>
      <c r="K8" s="2360"/>
      <c r="L8" s="2360"/>
      <c r="M8" s="2360"/>
      <c r="N8" s="2361"/>
    </row>
    <row r="9" spans="1:19" ht="13.5" thickBot="1" x14ac:dyDescent="0.25">
      <c r="A9" s="2362" t="s">
        <v>34</v>
      </c>
      <c r="B9" s="2363"/>
      <c r="C9" s="2363"/>
      <c r="D9" s="2363"/>
      <c r="E9" s="2363"/>
      <c r="F9" s="2363"/>
      <c r="G9" s="2363"/>
      <c r="H9" s="2363"/>
      <c r="I9" s="2363"/>
      <c r="J9" s="2363"/>
      <c r="K9" s="2363"/>
      <c r="L9" s="2363"/>
      <c r="M9" s="2363"/>
      <c r="N9" s="2364"/>
    </row>
    <row r="10" spans="1:19" ht="13.5" thickBot="1" x14ac:dyDescent="0.25">
      <c r="A10" s="991" t="s">
        <v>9</v>
      </c>
      <c r="B10" s="2365" t="s">
        <v>120</v>
      </c>
      <c r="C10" s="2365"/>
      <c r="D10" s="2365"/>
      <c r="E10" s="2365"/>
      <c r="F10" s="2365"/>
      <c r="G10" s="2365"/>
      <c r="H10" s="2365"/>
      <c r="I10" s="2365"/>
      <c r="J10" s="2365"/>
      <c r="K10" s="2365"/>
      <c r="L10" s="2365"/>
      <c r="M10" s="2365"/>
      <c r="N10" s="2366"/>
    </row>
    <row r="11" spans="1:19" ht="13.5" thickBot="1" x14ac:dyDescent="0.25">
      <c r="A11" s="991" t="s">
        <v>9</v>
      </c>
      <c r="B11" s="992" t="s">
        <v>9</v>
      </c>
      <c r="C11" s="2367" t="s">
        <v>39</v>
      </c>
      <c r="D11" s="2367"/>
      <c r="E11" s="2367"/>
      <c r="F11" s="2367"/>
      <c r="G11" s="2367"/>
      <c r="H11" s="2367"/>
      <c r="I11" s="2367"/>
      <c r="J11" s="2367"/>
      <c r="K11" s="2367"/>
      <c r="L11" s="2368"/>
      <c r="M11" s="2368"/>
      <c r="N11" s="2369"/>
    </row>
    <row r="12" spans="1:19" ht="25.5" customHeight="1" x14ac:dyDescent="0.2">
      <c r="A12" s="1315" t="s">
        <v>9</v>
      </c>
      <c r="B12" s="993" t="s">
        <v>9</v>
      </c>
      <c r="C12" s="994" t="s">
        <v>9</v>
      </c>
      <c r="D12" s="995" t="s">
        <v>43</v>
      </c>
      <c r="E12" s="996"/>
      <c r="F12" s="1973" t="s">
        <v>35</v>
      </c>
      <c r="G12" s="1010" t="s">
        <v>12</v>
      </c>
      <c r="H12" s="1825">
        <v>294</v>
      </c>
      <c r="I12" s="1730">
        <v>565</v>
      </c>
      <c r="J12" s="1731">
        <v>909</v>
      </c>
      <c r="K12" s="1317" t="s">
        <v>315</v>
      </c>
      <c r="L12" s="1318">
        <v>5</v>
      </c>
      <c r="M12" s="1004">
        <v>10</v>
      </c>
      <c r="N12" s="1319">
        <v>15</v>
      </c>
    </row>
    <row r="13" spans="1:19" x14ac:dyDescent="0.2">
      <c r="A13" s="1005"/>
      <c r="B13" s="1006"/>
      <c r="C13" s="1007"/>
      <c r="D13" s="2379" t="s">
        <v>158</v>
      </c>
      <c r="E13" s="1292"/>
      <c r="F13" s="1974"/>
      <c r="G13" s="1090" t="s">
        <v>111</v>
      </c>
      <c r="H13" s="1733">
        <v>145.6</v>
      </c>
      <c r="I13" s="1732">
        <v>180</v>
      </c>
      <c r="J13" s="1760">
        <v>200</v>
      </c>
      <c r="K13" s="2385" t="s">
        <v>220</v>
      </c>
      <c r="L13" s="2467">
        <v>5</v>
      </c>
      <c r="M13" s="2469">
        <v>6</v>
      </c>
      <c r="N13" s="2471">
        <v>5</v>
      </c>
    </row>
    <row r="14" spans="1:19" ht="15.75" customHeight="1" x14ac:dyDescent="0.2">
      <c r="A14" s="1005"/>
      <c r="B14" s="1006"/>
      <c r="C14" s="1007"/>
      <c r="D14" s="2381"/>
      <c r="E14" s="1292"/>
      <c r="F14" s="1009"/>
      <c r="G14" s="906"/>
      <c r="H14" s="1750"/>
      <c r="I14" s="1820"/>
      <c r="J14" s="1821"/>
      <c r="K14" s="2466"/>
      <c r="L14" s="2468"/>
      <c r="M14" s="2470"/>
      <c r="N14" s="2472"/>
    </row>
    <row r="15" spans="1:19" ht="54.75" customHeight="1" x14ac:dyDescent="0.2">
      <c r="A15" s="1005"/>
      <c r="B15" s="1006"/>
      <c r="C15" s="1007"/>
      <c r="D15" s="1011" t="s">
        <v>270</v>
      </c>
      <c r="E15" s="1292"/>
      <c r="F15" s="1009"/>
      <c r="G15" s="906"/>
      <c r="H15" s="1750"/>
      <c r="I15" s="1758"/>
      <c r="J15" s="1789"/>
      <c r="K15" s="1325" t="s">
        <v>221</v>
      </c>
      <c r="L15" s="1326">
        <v>3</v>
      </c>
      <c r="M15" s="1982">
        <v>8</v>
      </c>
      <c r="N15" s="1983">
        <v>16</v>
      </c>
      <c r="P15" s="1013"/>
      <c r="S15" s="1013"/>
    </row>
    <row r="16" spans="1:19" ht="42.75" customHeight="1" x14ac:dyDescent="0.2">
      <c r="A16" s="1005"/>
      <c r="B16" s="1006"/>
      <c r="C16" s="1007"/>
      <c r="D16" s="1329" t="s">
        <v>271</v>
      </c>
      <c r="E16" s="1292"/>
      <c r="F16" s="1009"/>
      <c r="G16" s="906"/>
      <c r="H16" s="1750"/>
      <c r="I16" s="1758"/>
      <c r="J16" s="1789"/>
      <c r="K16" s="1325" t="s">
        <v>220</v>
      </c>
      <c r="L16" s="1326">
        <v>10</v>
      </c>
      <c r="M16" s="1982">
        <v>13</v>
      </c>
      <c r="N16" s="1983">
        <v>21</v>
      </c>
      <c r="P16" s="1013"/>
    </row>
    <row r="17" spans="1:19" ht="42" customHeight="1" x14ac:dyDescent="0.2">
      <c r="A17" s="1005"/>
      <c r="B17" s="1006"/>
      <c r="C17" s="1007"/>
      <c r="D17" s="1970" t="s">
        <v>205</v>
      </c>
      <c r="E17" s="1292"/>
      <c r="F17" s="1009"/>
      <c r="G17" s="906"/>
      <c r="H17" s="1822"/>
      <c r="I17" s="1758"/>
      <c r="J17" s="1789"/>
      <c r="K17" s="1325" t="s">
        <v>220</v>
      </c>
      <c r="L17" s="1330">
        <v>50</v>
      </c>
      <c r="M17" s="1331">
        <v>80</v>
      </c>
      <c r="N17" s="1332">
        <v>120</v>
      </c>
      <c r="P17" s="1013"/>
    </row>
    <row r="18" spans="1:19" x14ac:dyDescent="0.2">
      <c r="A18" s="1005"/>
      <c r="B18" s="1006"/>
      <c r="C18" s="1007"/>
      <c r="D18" s="2382" t="s">
        <v>177</v>
      </c>
      <c r="E18" s="1292"/>
      <c r="F18" s="1009"/>
      <c r="G18" s="906"/>
      <c r="H18" s="1822"/>
      <c r="I18" s="1758"/>
      <c r="J18" s="1789"/>
      <c r="K18" s="1325" t="s">
        <v>273</v>
      </c>
      <c r="L18" s="1981">
        <v>1</v>
      </c>
      <c r="M18" s="1982">
        <v>1</v>
      </c>
      <c r="N18" s="1983">
        <v>1</v>
      </c>
      <c r="P18" s="1013"/>
    </row>
    <row r="19" spans="1:19" ht="25.5" x14ac:dyDescent="0.2">
      <c r="A19" s="1005"/>
      <c r="B19" s="1006"/>
      <c r="C19" s="1007"/>
      <c r="D19" s="2383"/>
      <c r="E19" s="1292"/>
      <c r="F19" s="1009"/>
      <c r="G19" s="906"/>
      <c r="H19" s="1823"/>
      <c r="I19" s="1758"/>
      <c r="J19" s="1789"/>
      <c r="K19" s="1039" t="s">
        <v>272</v>
      </c>
      <c r="L19" s="1330">
        <v>4</v>
      </c>
      <c r="M19" s="1331">
        <v>7</v>
      </c>
      <c r="N19" s="1332">
        <v>11</v>
      </c>
      <c r="P19" s="1013"/>
    </row>
    <row r="20" spans="1:19" x14ac:dyDescent="0.2">
      <c r="A20" s="1005"/>
      <c r="B20" s="1006"/>
      <c r="C20" s="1007"/>
      <c r="D20" s="2382" t="s">
        <v>274</v>
      </c>
      <c r="E20" s="1292"/>
      <c r="F20" s="1009"/>
      <c r="G20" s="906"/>
      <c r="H20" s="1823"/>
      <c r="I20" s="1758"/>
      <c r="J20" s="1759"/>
      <c r="K20" s="2385" t="s">
        <v>220</v>
      </c>
      <c r="L20" s="1335">
        <v>6</v>
      </c>
      <c r="M20" s="1270">
        <v>20</v>
      </c>
      <c r="N20" s="1336">
        <v>29</v>
      </c>
      <c r="P20" s="1013"/>
    </row>
    <row r="21" spans="1:19" ht="13.5" thickBot="1" x14ac:dyDescent="0.25">
      <c r="A21" s="1005"/>
      <c r="B21" s="1006"/>
      <c r="C21" s="1007"/>
      <c r="D21" s="2384"/>
      <c r="E21" s="1337"/>
      <c r="F21" s="1294"/>
      <c r="G21" s="1338" t="s">
        <v>16</v>
      </c>
      <c r="H21" s="1826">
        <f>SUM(H12:H20)</f>
        <v>439.6</v>
      </c>
      <c r="I21" s="1826">
        <f>SUM(I12:I20)</f>
        <v>745</v>
      </c>
      <c r="J21" s="1826">
        <f>SUM(J12:J20)</f>
        <v>1109</v>
      </c>
      <c r="K21" s="2386"/>
      <c r="L21" s="1339"/>
      <c r="M21" s="1289"/>
      <c r="N21" s="1340"/>
      <c r="P21" s="1013"/>
    </row>
    <row r="22" spans="1:19" ht="21.75" customHeight="1" x14ac:dyDescent="0.2">
      <c r="A22" s="1315" t="s">
        <v>9</v>
      </c>
      <c r="B22" s="993" t="s">
        <v>9</v>
      </c>
      <c r="C22" s="994" t="s">
        <v>10</v>
      </c>
      <c r="D22" s="2387" t="s">
        <v>77</v>
      </c>
      <c r="E22" s="2388"/>
      <c r="F22" s="2390" t="s">
        <v>35</v>
      </c>
      <c r="G22" s="1341" t="s">
        <v>12</v>
      </c>
      <c r="H22" s="1736">
        <v>140</v>
      </c>
      <c r="I22" s="1728">
        <v>160</v>
      </c>
      <c r="J22" s="1729">
        <v>200</v>
      </c>
      <c r="K22" s="1291" t="s">
        <v>222</v>
      </c>
      <c r="L22" s="1988">
        <v>4</v>
      </c>
      <c r="M22" s="1021">
        <v>4</v>
      </c>
      <c r="N22" s="1022">
        <v>5</v>
      </c>
    </row>
    <row r="23" spans="1:19" ht="13.5" thickBot="1" x14ac:dyDescent="0.25">
      <c r="A23" s="1005"/>
      <c r="B23" s="1006"/>
      <c r="C23" s="1007"/>
      <c r="D23" s="2384"/>
      <c r="E23" s="2389"/>
      <c r="F23" s="2391"/>
      <c r="G23" s="1338" t="s">
        <v>16</v>
      </c>
      <c r="H23" s="1826">
        <f>SUM(H22)</f>
        <v>140</v>
      </c>
      <c r="I23" s="1735">
        <f>SUM(I22:I22)</f>
        <v>160</v>
      </c>
      <c r="J23" s="1734">
        <f>SUM(J22:J22)</f>
        <v>200</v>
      </c>
      <c r="K23" s="1343"/>
      <c r="L23" s="1344"/>
      <c r="M23" s="1289"/>
      <c r="N23" s="1345"/>
      <c r="P23" s="1013"/>
    </row>
    <row r="24" spans="1:19" ht="12.75" customHeight="1" x14ac:dyDescent="0.2">
      <c r="A24" s="1315" t="s">
        <v>9</v>
      </c>
      <c r="B24" s="993" t="s">
        <v>9</v>
      </c>
      <c r="C24" s="994" t="s">
        <v>11</v>
      </c>
      <c r="D24" s="2405" t="s">
        <v>288</v>
      </c>
      <c r="E24" s="2388"/>
      <c r="F24" s="2390" t="s">
        <v>35</v>
      </c>
      <c r="G24" s="1341" t="s">
        <v>12</v>
      </c>
      <c r="H24" s="1737">
        <v>46</v>
      </c>
      <c r="I24" s="1738">
        <v>80</v>
      </c>
      <c r="J24" s="1824">
        <v>140</v>
      </c>
      <c r="K24" s="2409" t="s">
        <v>275</v>
      </c>
      <c r="L24" s="1122">
        <v>4</v>
      </c>
      <c r="M24" s="1021">
        <v>5</v>
      </c>
      <c r="N24" s="1272">
        <v>11</v>
      </c>
      <c r="P24" s="1480"/>
      <c r="Q24" s="656"/>
      <c r="R24" s="656"/>
      <c r="S24" s="656"/>
    </row>
    <row r="25" spans="1:19" x14ac:dyDescent="0.2">
      <c r="A25" s="1005"/>
      <c r="B25" s="1006"/>
      <c r="C25" s="1007"/>
      <c r="D25" s="2379"/>
      <c r="E25" s="2407"/>
      <c r="F25" s="2408"/>
      <c r="G25" s="1819"/>
      <c r="H25" s="1761"/>
      <c r="I25" s="1754"/>
      <c r="J25" s="1756"/>
      <c r="K25" s="2410"/>
      <c r="L25" s="1604"/>
      <c r="M25" s="1108"/>
      <c r="N25" s="1273"/>
      <c r="P25" s="1480"/>
      <c r="Q25" s="656"/>
      <c r="R25" s="656"/>
      <c r="S25" s="656"/>
    </row>
    <row r="26" spans="1:19" ht="39" thickBot="1" x14ac:dyDescent="0.25">
      <c r="A26" s="1519"/>
      <c r="B26" s="1520"/>
      <c r="C26" s="1521"/>
      <c r="D26" s="2406"/>
      <c r="E26" s="2389"/>
      <c r="F26" s="2391"/>
      <c r="G26" s="1338" t="s">
        <v>16</v>
      </c>
      <c r="H26" s="1826">
        <f>SUM(H24:H25)</f>
        <v>46</v>
      </c>
      <c r="I26" s="1735">
        <f>SUM(I24:I24)</f>
        <v>80</v>
      </c>
      <c r="J26" s="1734">
        <f>SUM(J24:J24)</f>
        <v>140</v>
      </c>
      <c r="K26" s="1481" t="s">
        <v>347</v>
      </c>
      <c r="L26" s="1522">
        <v>4</v>
      </c>
      <c r="M26" s="1523">
        <v>8</v>
      </c>
      <c r="N26" s="1524">
        <v>12</v>
      </c>
      <c r="P26" s="1480"/>
      <c r="Q26" s="656"/>
      <c r="R26" s="656"/>
      <c r="S26" s="656"/>
    </row>
    <row r="27" spans="1:19" ht="29.25" customHeight="1" x14ac:dyDescent="0.2">
      <c r="A27" s="1830" t="s">
        <v>9</v>
      </c>
      <c r="B27" s="993" t="s">
        <v>9</v>
      </c>
      <c r="C27" s="994" t="s">
        <v>13</v>
      </c>
      <c r="D27" s="995" t="s">
        <v>119</v>
      </c>
      <c r="E27" s="996"/>
      <c r="F27" s="1831" t="s">
        <v>35</v>
      </c>
      <c r="G27" s="1832" t="s">
        <v>12</v>
      </c>
      <c r="H27" s="1833">
        <v>221.2</v>
      </c>
      <c r="I27" s="1738">
        <v>235</v>
      </c>
      <c r="J27" s="1834">
        <v>433</v>
      </c>
      <c r="K27" s="1835"/>
      <c r="L27" s="1836"/>
      <c r="M27" s="1180"/>
      <c r="N27" s="1837"/>
    </row>
    <row r="28" spans="1:19" ht="28.5" customHeight="1" x14ac:dyDescent="0.2">
      <c r="A28" s="1005"/>
      <c r="B28" s="1006"/>
      <c r="C28" s="1007"/>
      <c r="D28" s="2379" t="s">
        <v>178</v>
      </c>
      <c r="E28" s="1292"/>
      <c r="F28" s="1349"/>
      <c r="G28" s="1350"/>
      <c r="H28" s="1740"/>
      <c r="I28" s="1741"/>
      <c r="J28" s="1742"/>
      <c r="K28" s="1990" t="s">
        <v>121</v>
      </c>
      <c r="L28" s="1354" t="s">
        <v>49</v>
      </c>
      <c r="M28" s="1993" t="s">
        <v>49</v>
      </c>
      <c r="N28" s="1355" t="s">
        <v>49</v>
      </c>
      <c r="Q28" s="1013"/>
    </row>
    <row r="29" spans="1:19" ht="32.25" customHeight="1" x14ac:dyDescent="0.2">
      <c r="A29" s="1005"/>
      <c r="B29" s="1006"/>
      <c r="C29" s="1007"/>
      <c r="D29" s="2379"/>
      <c r="E29" s="1292"/>
      <c r="F29" s="1349"/>
      <c r="G29" s="1350"/>
      <c r="H29" s="1740"/>
      <c r="I29" s="1741"/>
      <c r="J29" s="1742"/>
      <c r="K29" s="1990" t="s">
        <v>249</v>
      </c>
      <c r="L29" s="1354">
        <v>5</v>
      </c>
      <c r="M29" s="1993">
        <v>7</v>
      </c>
      <c r="N29" s="1355" t="s">
        <v>179</v>
      </c>
    </row>
    <row r="30" spans="1:19" ht="28.5" customHeight="1" x14ac:dyDescent="0.2">
      <c r="A30" s="1005"/>
      <c r="B30" s="1006"/>
      <c r="C30" s="1007"/>
      <c r="D30" s="1030"/>
      <c r="E30" s="1292"/>
      <c r="F30" s="1349"/>
      <c r="G30" s="894"/>
      <c r="H30" s="1740"/>
      <c r="I30" s="1741"/>
      <c r="J30" s="1743"/>
      <c r="K30" s="1170" t="s">
        <v>348</v>
      </c>
      <c r="L30" s="1040">
        <v>9</v>
      </c>
      <c r="M30" s="1034">
        <v>10</v>
      </c>
      <c r="N30" s="983">
        <v>10</v>
      </c>
    </row>
    <row r="31" spans="1:19" ht="106.5" customHeight="1" x14ac:dyDescent="0.2">
      <c r="A31" s="1005"/>
      <c r="B31" s="1006"/>
      <c r="C31" s="1007"/>
      <c r="D31" s="1329" t="s">
        <v>276</v>
      </c>
      <c r="E31" s="1526"/>
      <c r="F31" s="1527"/>
      <c r="G31" s="1116"/>
      <c r="H31" s="1733"/>
      <c r="I31" s="1744"/>
      <c r="J31" s="1745"/>
      <c r="K31" s="1591" t="s">
        <v>277</v>
      </c>
      <c r="L31" s="972">
        <v>11</v>
      </c>
      <c r="M31" s="1268">
        <v>11</v>
      </c>
      <c r="N31" s="973">
        <v>22</v>
      </c>
      <c r="R31" s="1013"/>
      <c r="S31" s="1013"/>
    </row>
    <row r="32" spans="1:19" ht="26.25" thickBot="1" x14ac:dyDescent="0.25">
      <c r="A32" s="1047"/>
      <c r="B32" s="992"/>
      <c r="C32" s="1048"/>
      <c r="D32" s="1049"/>
      <c r="E32" s="1050"/>
      <c r="F32" s="1052"/>
      <c r="G32" s="897" t="s">
        <v>16</v>
      </c>
      <c r="H32" s="1746">
        <f>SUM(H27:H31)</f>
        <v>221.2</v>
      </c>
      <c r="I32" s="1746">
        <f t="shared" ref="I32:J32" si="0">SUM(I27:I31)</f>
        <v>235</v>
      </c>
      <c r="J32" s="1746">
        <f t="shared" si="0"/>
        <v>433</v>
      </c>
      <c r="K32" s="1529" t="s">
        <v>278</v>
      </c>
      <c r="L32" s="1530" t="s">
        <v>42</v>
      </c>
      <c r="M32" s="1531" t="s">
        <v>42</v>
      </c>
      <c r="N32" s="1054" t="s">
        <v>42</v>
      </c>
      <c r="P32" s="1013"/>
    </row>
    <row r="33" spans="1:20" ht="13.5" thickBot="1" x14ac:dyDescent="0.25">
      <c r="A33" s="1055" t="s">
        <v>9</v>
      </c>
      <c r="B33" s="1056" t="s">
        <v>9</v>
      </c>
      <c r="C33" s="2392" t="s">
        <v>15</v>
      </c>
      <c r="D33" s="2393"/>
      <c r="E33" s="2393"/>
      <c r="F33" s="2394"/>
      <c r="G33" s="2395"/>
      <c r="H33" s="1747">
        <f>H32+H26+H23+H21</f>
        <v>846.8</v>
      </c>
      <c r="I33" s="1749">
        <f>I32+I26+I23+I21</f>
        <v>1220</v>
      </c>
      <c r="J33" s="1748">
        <f>J32+J26+J23+J21</f>
        <v>1882</v>
      </c>
      <c r="K33" s="2396"/>
      <c r="L33" s="2397"/>
      <c r="M33" s="2397"/>
      <c r="N33" s="2398"/>
    </row>
    <row r="34" spans="1:20" ht="13.5" thickBot="1" x14ac:dyDescent="0.25">
      <c r="A34" s="1061" t="s">
        <v>9</v>
      </c>
      <c r="B34" s="1062" t="s">
        <v>10</v>
      </c>
      <c r="C34" s="2399" t="s">
        <v>92</v>
      </c>
      <c r="D34" s="2400"/>
      <c r="E34" s="2400"/>
      <c r="F34" s="2400"/>
      <c r="G34" s="2401"/>
      <c r="H34" s="2401"/>
      <c r="I34" s="2401"/>
      <c r="J34" s="2401"/>
      <c r="K34" s="2401"/>
      <c r="L34" s="2401"/>
      <c r="M34" s="2401"/>
      <c r="N34" s="2402"/>
    </row>
    <row r="35" spans="1:20" ht="15.75" customHeight="1" x14ac:dyDescent="0.2">
      <c r="A35" s="1061" t="s">
        <v>9</v>
      </c>
      <c r="B35" s="1062" t="s">
        <v>10</v>
      </c>
      <c r="C35" s="994" t="s">
        <v>9</v>
      </c>
      <c r="D35" s="2403" t="s">
        <v>66</v>
      </c>
      <c r="E35" s="1063"/>
      <c r="F35" s="1973">
        <v>2</v>
      </c>
      <c r="G35" s="1065" t="s">
        <v>12</v>
      </c>
      <c r="H35" s="1739">
        <v>3187.3</v>
      </c>
      <c r="I35" s="1739">
        <f>3554.3-20</f>
        <v>3534.3</v>
      </c>
      <c r="J35" s="1739">
        <f>3497.6-20</f>
        <v>3477.6</v>
      </c>
      <c r="K35" s="1946" t="s">
        <v>48</v>
      </c>
      <c r="L35" s="1072">
        <v>976</v>
      </c>
      <c r="M35" s="1073">
        <v>1084</v>
      </c>
      <c r="N35" s="1074">
        <v>1136</v>
      </c>
    </row>
    <row r="36" spans="1:20" ht="15.75" customHeight="1" x14ac:dyDescent="0.2">
      <c r="A36" s="1680"/>
      <c r="B36" s="1681"/>
      <c r="C36" s="1690"/>
      <c r="D36" s="2404"/>
      <c r="E36" s="1947"/>
      <c r="F36" s="1102"/>
      <c r="G36" s="1077" t="s">
        <v>28</v>
      </c>
      <c r="H36" s="1948">
        <v>372.7</v>
      </c>
      <c r="I36" s="1949">
        <v>380</v>
      </c>
      <c r="J36" s="1949">
        <v>378.5</v>
      </c>
      <c r="K36" s="1849" t="s">
        <v>224</v>
      </c>
      <c r="L36" s="1950">
        <v>1251</v>
      </c>
      <c r="M36" s="1034">
        <v>1360</v>
      </c>
      <c r="N36" s="1035">
        <v>1467</v>
      </c>
      <c r="O36" s="1013"/>
    </row>
    <row r="37" spans="1:20" ht="30" customHeight="1" x14ac:dyDescent="0.2">
      <c r="A37" s="1075"/>
      <c r="B37" s="1032"/>
      <c r="C37" s="1007"/>
      <c r="D37" s="2379" t="s">
        <v>306</v>
      </c>
      <c r="E37" s="1030"/>
      <c r="F37" s="1009"/>
      <c r="G37" s="1279"/>
      <c r="H37" s="1838"/>
      <c r="I37" s="1838"/>
      <c r="J37" s="1820"/>
      <c r="K37" s="1107" t="s">
        <v>340</v>
      </c>
      <c r="L37" s="1992">
        <v>700</v>
      </c>
      <c r="M37" s="1993">
        <v>770</v>
      </c>
      <c r="N37" s="1991">
        <v>805</v>
      </c>
    </row>
    <row r="38" spans="1:20" ht="41.25" customHeight="1" x14ac:dyDescent="0.2">
      <c r="A38" s="1075"/>
      <c r="B38" s="1032"/>
      <c r="C38" s="1007"/>
      <c r="D38" s="2379"/>
      <c r="E38" s="1030"/>
      <c r="F38" s="1009"/>
      <c r="G38" s="1279"/>
      <c r="H38" s="1838"/>
      <c r="I38" s="1741"/>
      <c r="J38" s="1741"/>
      <c r="K38" s="1111" t="s">
        <v>362</v>
      </c>
      <c r="L38" s="972">
        <v>2</v>
      </c>
      <c r="M38" s="1268"/>
      <c r="N38" s="1081"/>
      <c r="O38" s="1013"/>
      <c r="P38" s="1013"/>
      <c r="Q38" s="1013"/>
      <c r="S38" s="1013"/>
    </row>
    <row r="39" spans="1:20" ht="27.75" customHeight="1" x14ac:dyDescent="0.2">
      <c r="A39" s="1075"/>
      <c r="B39" s="1032"/>
      <c r="C39" s="1084"/>
      <c r="D39" s="2380" t="s">
        <v>303</v>
      </c>
      <c r="E39" s="1030"/>
      <c r="F39" s="1009"/>
      <c r="G39" s="1279"/>
      <c r="H39" s="1839"/>
      <c r="I39" s="1840"/>
      <c r="J39" s="1840"/>
      <c r="K39" s="1110" t="s">
        <v>341</v>
      </c>
      <c r="L39" s="981">
        <v>9</v>
      </c>
      <c r="M39" s="982">
        <v>9</v>
      </c>
      <c r="N39" s="1485">
        <v>9</v>
      </c>
      <c r="O39" s="1013"/>
    </row>
    <row r="40" spans="1:20" ht="25.5" customHeight="1" x14ac:dyDescent="0.2">
      <c r="A40" s="1075"/>
      <c r="B40" s="1032"/>
      <c r="C40" s="1084"/>
      <c r="D40" s="2381"/>
      <c r="E40" s="1030"/>
      <c r="F40" s="1009"/>
      <c r="G40" s="1279"/>
      <c r="H40" s="1839"/>
      <c r="I40" s="1840"/>
      <c r="J40" s="1840"/>
      <c r="K40" s="2417" t="s">
        <v>248</v>
      </c>
      <c r="L40" s="1117">
        <v>2</v>
      </c>
      <c r="M40" s="1097">
        <v>2</v>
      </c>
      <c r="N40" s="1129">
        <v>1</v>
      </c>
    </row>
    <row r="41" spans="1:20" ht="20.25" customHeight="1" x14ac:dyDescent="0.2">
      <c r="A41" s="1029"/>
      <c r="B41" s="1006"/>
      <c r="C41" s="1007"/>
      <c r="D41" s="2414" t="s">
        <v>37</v>
      </c>
      <c r="E41" s="1030"/>
      <c r="F41" s="1009"/>
      <c r="G41" s="906"/>
      <c r="H41" s="1750"/>
      <c r="I41" s="1751"/>
      <c r="J41" s="1841"/>
      <c r="K41" s="2418"/>
      <c r="L41" s="1117"/>
      <c r="M41" s="1118"/>
      <c r="N41" s="1842"/>
    </row>
    <row r="42" spans="1:20" ht="20.25" customHeight="1" x14ac:dyDescent="0.2">
      <c r="A42" s="1029"/>
      <c r="B42" s="1006"/>
      <c r="C42" s="1007"/>
      <c r="D42" s="2415"/>
      <c r="E42" s="1030"/>
      <c r="F42" s="1009"/>
      <c r="G42" s="894"/>
      <c r="H42" s="1750"/>
      <c r="I42" s="1751"/>
      <c r="J42" s="1752"/>
      <c r="K42" s="2418"/>
      <c r="L42" s="1117"/>
      <c r="M42" s="1118"/>
      <c r="N42" s="1842"/>
    </row>
    <row r="43" spans="1:20" x14ac:dyDescent="0.2">
      <c r="A43" s="1075"/>
      <c r="B43" s="1032"/>
      <c r="C43" s="1100"/>
      <c r="D43" s="2380" t="s">
        <v>313</v>
      </c>
      <c r="E43" s="1030"/>
      <c r="F43" s="1009"/>
      <c r="G43" s="1279"/>
      <c r="H43" s="1822"/>
      <c r="I43" s="1741"/>
      <c r="J43" s="1741"/>
      <c r="K43" s="1845"/>
      <c r="L43" s="1843"/>
      <c r="M43" s="1097"/>
      <c r="N43" s="1098"/>
    </row>
    <row r="44" spans="1:20" x14ac:dyDescent="0.2">
      <c r="A44" s="1075"/>
      <c r="B44" s="1032"/>
      <c r="C44" s="1100"/>
      <c r="D44" s="2379"/>
      <c r="E44" s="1030"/>
      <c r="F44" s="1009"/>
      <c r="G44" s="1279"/>
      <c r="H44" s="1750"/>
      <c r="I44" s="1741"/>
      <c r="J44" s="1741"/>
      <c r="K44" s="1013"/>
      <c r="L44" s="1135"/>
      <c r="M44" s="1084"/>
      <c r="N44" s="1851"/>
      <c r="Q44" s="1013"/>
      <c r="T44" s="1013"/>
    </row>
    <row r="45" spans="1:20" x14ac:dyDescent="0.2">
      <c r="A45" s="1075"/>
      <c r="B45" s="1032"/>
      <c r="C45" s="1007"/>
      <c r="D45" s="2379"/>
      <c r="E45" s="1030"/>
      <c r="F45" s="1009"/>
      <c r="G45" s="1279"/>
      <c r="H45" s="1750"/>
      <c r="I45" s="1741"/>
      <c r="J45" s="1742"/>
      <c r="K45" s="1845"/>
      <c r="L45" s="1843"/>
      <c r="M45" s="1097"/>
      <c r="N45" s="1098"/>
    </row>
    <row r="46" spans="1:20" ht="25.5" x14ac:dyDescent="0.2">
      <c r="A46" s="1075"/>
      <c r="B46" s="1032"/>
      <c r="C46" s="1007"/>
      <c r="D46" s="1971" t="s">
        <v>363</v>
      </c>
      <c r="E46" s="1030"/>
      <c r="F46" s="1009"/>
      <c r="G46" s="1279"/>
      <c r="H46" s="1750"/>
      <c r="I46" s="1741"/>
      <c r="J46" s="1742"/>
      <c r="K46" s="1845"/>
      <c r="L46" s="1843"/>
      <c r="M46" s="1097"/>
      <c r="N46" s="1098"/>
    </row>
    <row r="47" spans="1:20" ht="41.25" customHeight="1" x14ac:dyDescent="0.2">
      <c r="A47" s="1005"/>
      <c r="B47" s="1006"/>
      <c r="C47" s="1007"/>
      <c r="D47" s="1011" t="s">
        <v>314</v>
      </c>
      <c r="E47" s="1030"/>
      <c r="F47" s="1009"/>
      <c r="G47" s="1279"/>
      <c r="H47" s="1750"/>
      <c r="I47" s="1741"/>
      <c r="J47" s="1742"/>
      <c r="K47" s="1845"/>
      <c r="L47" s="1117"/>
      <c r="M47" s="1118"/>
      <c r="N47" s="1846"/>
      <c r="Q47" s="1013"/>
    </row>
    <row r="48" spans="1:20" ht="43.5" customHeight="1" x14ac:dyDescent="0.2">
      <c r="A48" s="1005"/>
      <c r="B48" s="1006"/>
      <c r="C48" s="1007"/>
      <c r="D48" s="1968" t="s">
        <v>346</v>
      </c>
      <c r="E48" s="1030"/>
      <c r="F48" s="1009"/>
      <c r="G48" s="1279"/>
      <c r="H48" s="1750"/>
      <c r="I48" s="1741"/>
      <c r="J48" s="1743"/>
      <c r="K48" s="1845"/>
      <c r="L48" s="1847"/>
      <c r="M48" s="1118"/>
      <c r="N48" s="1848"/>
      <c r="P48" s="1013"/>
    </row>
    <row r="49" spans="1:20" ht="76.5" x14ac:dyDescent="0.2">
      <c r="A49" s="1005"/>
      <c r="B49" s="1006"/>
      <c r="C49" s="1007"/>
      <c r="D49" s="1969" t="s">
        <v>304</v>
      </c>
      <c r="E49" s="1030"/>
      <c r="F49" s="1009"/>
      <c r="G49" s="1279"/>
      <c r="H49" s="1750"/>
      <c r="I49" s="1741"/>
      <c r="J49" s="1743"/>
      <c r="K49" s="1845"/>
      <c r="L49" s="1847"/>
      <c r="M49" s="1118"/>
      <c r="N49" s="1848"/>
      <c r="P49" s="1013"/>
      <c r="Q49" s="1013"/>
      <c r="R49" s="1013"/>
      <c r="T49" s="1013"/>
    </row>
    <row r="50" spans="1:20" ht="52.5" customHeight="1" x14ac:dyDescent="0.2">
      <c r="A50" s="1029"/>
      <c r="B50" s="1006"/>
      <c r="C50" s="1007"/>
      <c r="D50" s="1011" t="s">
        <v>334</v>
      </c>
      <c r="E50" s="1987" t="s">
        <v>333</v>
      </c>
      <c r="F50" s="1009"/>
      <c r="G50" s="1279"/>
      <c r="H50" s="1750"/>
      <c r="I50" s="1741"/>
      <c r="J50" s="1741"/>
      <c r="K50" s="1013"/>
      <c r="L50" s="1135"/>
      <c r="M50" s="1084"/>
      <c r="N50" s="1851"/>
      <c r="R50" s="1013"/>
      <c r="T50" s="1013"/>
    </row>
    <row r="51" spans="1:20" x14ac:dyDescent="0.2">
      <c r="A51" s="1029"/>
      <c r="B51" s="1006"/>
      <c r="C51" s="1007"/>
      <c r="D51" s="2411" t="s">
        <v>364</v>
      </c>
      <c r="E51" s="1292"/>
      <c r="F51" s="1009"/>
      <c r="G51" s="1279"/>
      <c r="H51" s="1750"/>
      <c r="I51" s="1741"/>
      <c r="J51" s="1742"/>
      <c r="K51" s="2416"/>
      <c r="L51" s="1120"/>
      <c r="M51" s="1118"/>
      <c r="N51" s="1129"/>
    </row>
    <row r="52" spans="1:20" x14ac:dyDescent="0.2">
      <c r="A52" s="1029"/>
      <c r="B52" s="1006"/>
      <c r="C52" s="1007"/>
      <c r="D52" s="2411"/>
      <c r="E52" s="1292"/>
      <c r="F52" s="1009"/>
      <c r="G52" s="1279"/>
      <c r="H52" s="1750"/>
      <c r="I52" s="1741"/>
      <c r="J52" s="1742"/>
      <c r="K52" s="2416"/>
      <c r="L52" s="1120"/>
      <c r="M52" s="1118"/>
      <c r="N52" s="1129"/>
    </row>
    <row r="53" spans="1:20" ht="27" customHeight="1" x14ac:dyDescent="0.2">
      <c r="A53" s="1029"/>
      <c r="B53" s="1006"/>
      <c r="C53" s="1007"/>
      <c r="D53" s="2380" t="s">
        <v>38</v>
      </c>
      <c r="E53" s="1030"/>
      <c r="F53" s="1009"/>
      <c r="G53" s="940"/>
      <c r="H53" s="1753"/>
      <c r="I53" s="1754"/>
      <c r="J53" s="1755"/>
      <c r="K53" s="1975"/>
      <c r="L53" s="1847"/>
      <c r="M53" s="1041"/>
      <c r="N53" s="1098"/>
    </row>
    <row r="54" spans="1:20" ht="13.5" thickBot="1" x14ac:dyDescent="0.25">
      <c r="A54" s="1055"/>
      <c r="B54" s="992"/>
      <c r="C54" s="1654"/>
      <c r="D54" s="2406"/>
      <c r="E54" s="1123"/>
      <c r="F54" s="1294"/>
      <c r="G54" s="897" t="s">
        <v>16</v>
      </c>
      <c r="H54" s="1746">
        <f t="shared" ref="H54:J54" si="1">SUM(H35:H53)</f>
        <v>3560</v>
      </c>
      <c r="I54" s="1746">
        <f t="shared" si="1"/>
        <v>3914.3</v>
      </c>
      <c r="J54" s="1746">
        <f t="shared" si="1"/>
        <v>3856.1</v>
      </c>
      <c r="K54" s="1850"/>
      <c r="L54" s="1091"/>
      <c r="M54" s="1092"/>
      <c r="N54" s="1482"/>
    </row>
    <row r="55" spans="1:20" ht="38.25" x14ac:dyDescent="0.2">
      <c r="A55" s="1061" t="s">
        <v>9</v>
      </c>
      <c r="B55" s="1062" t="s">
        <v>10</v>
      </c>
      <c r="C55" s="1852" t="s">
        <v>10</v>
      </c>
      <c r="D55" s="1124" t="s">
        <v>67</v>
      </c>
      <c r="E55" s="1125"/>
      <c r="F55" s="1973"/>
      <c r="G55" s="997"/>
      <c r="H55" s="1285"/>
      <c r="I55" s="1728"/>
      <c r="J55" s="1729"/>
      <c r="K55" s="1260"/>
      <c r="L55" s="1184"/>
      <c r="M55" s="1073"/>
      <c r="N55" s="1074"/>
      <c r="S55" s="1013"/>
    </row>
    <row r="56" spans="1:20" ht="38.25" x14ac:dyDescent="0.2">
      <c r="A56" s="1075"/>
      <c r="B56" s="1032"/>
      <c r="C56" s="1100"/>
      <c r="D56" s="1127" t="s">
        <v>115</v>
      </c>
      <c r="E56" s="2407" t="s">
        <v>108</v>
      </c>
      <c r="F56" s="1974" t="s">
        <v>35</v>
      </c>
      <c r="G56" s="1279" t="s">
        <v>12</v>
      </c>
      <c r="H56" s="1757">
        <v>2.9</v>
      </c>
      <c r="I56" s="1758">
        <v>50</v>
      </c>
      <c r="J56" s="1789">
        <v>86</v>
      </c>
      <c r="K56" s="1261"/>
      <c r="L56" s="878"/>
      <c r="M56" s="1097"/>
      <c r="N56" s="1129"/>
      <c r="P56" s="1013"/>
    </row>
    <row r="57" spans="1:20" x14ac:dyDescent="0.2">
      <c r="A57" s="1075"/>
      <c r="B57" s="1032"/>
      <c r="C57" s="1100"/>
      <c r="D57" s="2382" t="s">
        <v>355</v>
      </c>
      <c r="E57" s="2407"/>
      <c r="F57" s="1009"/>
      <c r="G57" s="1279"/>
      <c r="H57" s="1787"/>
      <c r="I57" s="1758"/>
      <c r="J57" s="1789"/>
      <c r="K57" s="1625" t="s">
        <v>323</v>
      </c>
      <c r="L57" s="981">
        <v>1</v>
      </c>
      <c r="M57" s="1034"/>
      <c r="N57" s="1035"/>
    </row>
    <row r="58" spans="1:20" ht="30.75" customHeight="1" x14ac:dyDescent="0.2">
      <c r="A58" s="1075"/>
      <c r="B58" s="1032"/>
      <c r="C58" s="1100"/>
      <c r="D58" s="2383"/>
      <c r="E58" s="1286"/>
      <c r="F58" s="1009"/>
      <c r="G58" s="1279"/>
      <c r="H58" s="1757"/>
      <c r="I58" s="1758"/>
      <c r="J58" s="1789"/>
      <c r="K58" s="1625" t="s">
        <v>316</v>
      </c>
      <c r="L58" s="981"/>
      <c r="M58" s="1034">
        <v>15</v>
      </c>
      <c r="N58" s="1035">
        <v>85</v>
      </c>
      <c r="T58" s="1013"/>
    </row>
    <row r="59" spans="1:20" ht="27" customHeight="1" x14ac:dyDescent="0.2">
      <c r="A59" s="1075"/>
      <c r="B59" s="1032"/>
      <c r="C59" s="1100"/>
      <c r="D59" s="2382" t="s">
        <v>356</v>
      </c>
      <c r="E59" s="1286"/>
      <c r="F59" s="1009"/>
      <c r="G59" s="940"/>
      <c r="H59" s="1761"/>
      <c r="I59" s="1762"/>
      <c r="J59" s="1763"/>
      <c r="K59" s="1262" t="s">
        <v>279</v>
      </c>
      <c r="L59" s="1171"/>
      <c r="M59" s="1097"/>
      <c r="N59" s="1129">
        <v>1</v>
      </c>
    </row>
    <row r="60" spans="1:20" ht="13.5" thickBot="1" x14ac:dyDescent="0.25">
      <c r="A60" s="1136"/>
      <c r="B60" s="1137"/>
      <c r="C60" s="1853"/>
      <c r="D60" s="2384"/>
      <c r="E60" s="1857"/>
      <c r="F60" s="1294"/>
      <c r="G60" s="897" t="s">
        <v>16</v>
      </c>
      <c r="H60" s="1826">
        <f>SUM(H56:H59)</f>
        <v>2.9</v>
      </c>
      <c r="I60" s="1826">
        <f t="shared" ref="I60:J60" si="2">SUM(I56:I59)</f>
        <v>50</v>
      </c>
      <c r="J60" s="1826">
        <f t="shared" si="2"/>
        <v>86</v>
      </c>
      <c r="K60" s="1343"/>
      <c r="L60" s="1858"/>
      <c r="M60" s="1844"/>
      <c r="N60" s="1859"/>
      <c r="P60" s="1013"/>
    </row>
    <row r="61" spans="1:20" ht="27" customHeight="1" x14ac:dyDescent="0.2">
      <c r="A61" s="1360"/>
      <c r="B61" s="1032"/>
      <c r="C61" s="1132"/>
      <c r="D61" s="2411" t="s">
        <v>357</v>
      </c>
      <c r="E61" s="1084"/>
      <c r="F61" s="1974" t="s">
        <v>191</v>
      </c>
      <c r="G61" s="1475" t="s">
        <v>12</v>
      </c>
      <c r="H61" s="1854"/>
      <c r="I61" s="1775">
        <v>40</v>
      </c>
      <c r="J61" s="1776">
        <v>51.6</v>
      </c>
      <c r="K61" s="1377" t="s">
        <v>199</v>
      </c>
      <c r="L61" s="1855"/>
      <c r="M61" s="1607">
        <v>1</v>
      </c>
      <c r="N61" s="1856"/>
      <c r="P61" s="1013"/>
      <c r="T61" s="1013"/>
    </row>
    <row r="62" spans="1:20" ht="25.5" x14ac:dyDescent="0.2">
      <c r="A62" s="1360"/>
      <c r="B62" s="1032"/>
      <c r="C62" s="1132"/>
      <c r="D62" s="2411"/>
      <c r="E62" s="1013"/>
      <c r="F62" s="1009"/>
      <c r="G62" s="1374" t="s">
        <v>29</v>
      </c>
      <c r="H62" s="1769"/>
      <c r="I62" s="1770"/>
      <c r="J62" s="1770"/>
      <c r="K62" s="1939" t="s">
        <v>263</v>
      </c>
      <c r="L62" s="1940"/>
      <c r="M62" s="1422">
        <v>1</v>
      </c>
      <c r="N62" s="1533"/>
      <c r="P62" s="1013"/>
    </row>
    <row r="63" spans="1:20" x14ac:dyDescent="0.2">
      <c r="A63" s="1360"/>
      <c r="B63" s="1032"/>
      <c r="C63" s="1132"/>
      <c r="D63" s="2411"/>
      <c r="E63" s="1013"/>
      <c r="F63" s="1009"/>
      <c r="G63" s="931"/>
      <c r="H63" s="1860"/>
      <c r="I63" s="1861"/>
      <c r="J63" s="1862"/>
      <c r="K63" s="2412" t="s">
        <v>342</v>
      </c>
      <c r="L63" s="1412"/>
      <c r="M63" s="1378"/>
      <c r="N63" s="1379">
        <v>50</v>
      </c>
      <c r="P63" s="1013"/>
      <c r="S63" s="1013"/>
    </row>
    <row r="64" spans="1:20" x14ac:dyDescent="0.2">
      <c r="A64" s="1953"/>
      <c r="B64" s="1681"/>
      <c r="C64" s="1682"/>
      <c r="D64" s="2383"/>
      <c r="E64" s="1954"/>
      <c r="F64" s="1102"/>
      <c r="G64" s="1381" t="s">
        <v>16</v>
      </c>
      <c r="H64" s="1772"/>
      <c r="I64" s="1772">
        <f t="shared" ref="I64" si="3">SUM(I61:I63)</f>
        <v>40</v>
      </c>
      <c r="J64" s="1772">
        <f>SUM(J61:J63)</f>
        <v>51.6</v>
      </c>
      <c r="K64" s="2413"/>
      <c r="L64" s="1955"/>
      <c r="M64" s="1388"/>
      <c r="N64" s="1956"/>
      <c r="P64" s="1013"/>
    </row>
    <row r="65" spans="1:18" x14ac:dyDescent="0.2">
      <c r="A65" s="1075"/>
      <c r="B65" s="1032"/>
      <c r="C65" s="1007"/>
      <c r="D65" s="2411" t="s">
        <v>358</v>
      </c>
      <c r="E65" s="2407"/>
      <c r="F65" s="1009"/>
      <c r="G65" s="1257" t="s">
        <v>12</v>
      </c>
      <c r="H65" s="1854">
        <v>55</v>
      </c>
      <c r="I65" s="1775">
        <v>161.9</v>
      </c>
      <c r="J65" s="1776">
        <v>377.8</v>
      </c>
      <c r="K65" s="1951" t="s">
        <v>264</v>
      </c>
      <c r="L65" s="226">
        <v>1</v>
      </c>
      <c r="M65" s="1952"/>
      <c r="N65" s="1594"/>
      <c r="P65" s="1013"/>
    </row>
    <row r="66" spans="1:18" x14ac:dyDescent="0.2">
      <c r="A66" s="1075"/>
      <c r="B66" s="1032"/>
      <c r="C66" s="1007"/>
      <c r="D66" s="2411"/>
      <c r="E66" s="2407"/>
      <c r="F66" s="1009"/>
      <c r="G66" s="1258" t="s">
        <v>29</v>
      </c>
      <c r="H66" s="1768"/>
      <c r="I66" s="1770">
        <v>185.4</v>
      </c>
      <c r="J66" s="1771">
        <v>432.5</v>
      </c>
      <c r="K66" s="1403" t="s">
        <v>265</v>
      </c>
      <c r="L66" s="1610">
        <v>1</v>
      </c>
      <c r="M66" s="1209"/>
      <c r="N66" s="1404"/>
      <c r="P66" s="1013"/>
    </row>
    <row r="67" spans="1:18" x14ac:dyDescent="0.2">
      <c r="A67" s="1075"/>
      <c r="B67" s="1032"/>
      <c r="C67" s="1007"/>
      <c r="D67" s="2411"/>
      <c r="E67" s="2407"/>
      <c r="F67" s="1009"/>
      <c r="G67" s="1259"/>
      <c r="H67" s="1776"/>
      <c r="I67" s="1777"/>
      <c r="J67" s="1778"/>
      <c r="K67" s="1978" t="s">
        <v>266</v>
      </c>
      <c r="L67" s="1611">
        <v>1</v>
      </c>
      <c r="M67" s="1193"/>
      <c r="N67" s="1413"/>
      <c r="P67" s="1013"/>
      <c r="Q67" s="1013"/>
      <c r="R67" s="1013"/>
    </row>
    <row r="68" spans="1:18" ht="29.25" customHeight="1" x14ac:dyDescent="0.2">
      <c r="A68" s="1075"/>
      <c r="B68" s="1032"/>
      <c r="C68" s="1132"/>
      <c r="D68" s="2411"/>
      <c r="E68" s="2407"/>
      <c r="F68" s="1009"/>
      <c r="G68" s="1138" t="s">
        <v>16</v>
      </c>
      <c r="H68" s="1764">
        <f>SUM(H65:H67)</f>
        <v>55</v>
      </c>
      <c r="I68" s="1764">
        <f>SUM(I65:I67)</f>
        <v>347.3</v>
      </c>
      <c r="J68" s="1764">
        <f>SUM(J65:J67)</f>
        <v>810.3</v>
      </c>
      <c r="K68" s="1977" t="s">
        <v>267</v>
      </c>
      <c r="L68" s="1612"/>
      <c r="M68" s="1414">
        <v>30</v>
      </c>
      <c r="N68" s="1415">
        <v>100</v>
      </c>
      <c r="P68" s="1013"/>
      <c r="Q68" s="1013"/>
    </row>
    <row r="69" spans="1:18" ht="15.75" customHeight="1" x14ac:dyDescent="0.2">
      <c r="A69" s="1075"/>
      <c r="B69" s="1032"/>
      <c r="C69" s="1007"/>
      <c r="D69" s="2382" t="s">
        <v>268</v>
      </c>
      <c r="E69" s="2407"/>
      <c r="F69" s="1009"/>
      <c r="G69" s="1121" t="s">
        <v>12</v>
      </c>
      <c r="H69" s="1779">
        <v>2.2000000000000002</v>
      </c>
      <c r="I69" s="1767">
        <v>0</v>
      </c>
      <c r="J69" s="1768">
        <v>50</v>
      </c>
      <c r="K69" s="1977" t="s">
        <v>327</v>
      </c>
      <c r="L69" s="1609">
        <v>1</v>
      </c>
      <c r="M69" s="1419"/>
      <c r="N69" s="1420"/>
      <c r="O69" s="1662"/>
      <c r="P69" s="1013"/>
    </row>
    <row r="70" spans="1:18" ht="25.5" x14ac:dyDescent="0.2">
      <c r="A70" s="1075"/>
      <c r="B70" s="1032"/>
      <c r="C70" s="1007"/>
      <c r="D70" s="2411"/>
      <c r="E70" s="2407"/>
      <c r="F70" s="1009"/>
      <c r="G70" s="1121" t="s">
        <v>269</v>
      </c>
      <c r="H70" s="1780"/>
      <c r="I70" s="1767">
        <v>18.7</v>
      </c>
      <c r="J70" s="1767">
        <v>301</v>
      </c>
      <c r="K70" s="1977" t="s">
        <v>328</v>
      </c>
      <c r="L70" s="1609">
        <v>1</v>
      </c>
      <c r="M70" s="1419"/>
      <c r="N70" s="1420"/>
      <c r="O70" s="1662"/>
      <c r="P70" s="1013"/>
    </row>
    <row r="71" spans="1:18" ht="15.75" x14ac:dyDescent="0.2">
      <c r="A71" s="1075"/>
      <c r="B71" s="1032"/>
      <c r="C71" s="1007"/>
      <c r="D71" s="2411"/>
      <c r="E71" s="2407"/>
      <c r="F71" s="1009"/>
      <c r="G71" s="1279"/>
      <c r="H71" s="1781"/>
      <c r="I71" s="1775"/>
      <c r="J71" s="1775"/>
      <c r="K71" s="1977" t="s">
        <v>265</v>
      </c>
      <c r="L71" s="1609"/>
      <c r="M71" s="1419">
        <v>1</v>
      </c>
      <c r="N71" s="1420"/>
      <c r="O71" s="1662"/>
      <c r="P71" s="1013"/>
    </row>
    <row r="72" spans="1:18" x14ac:dyDescent="0.2">
      <c r="A72" s="1075"/>
      <c r="B72" s="1032"/>
      <c r="C72" s="1007"/>
      <c r="D72" s="2411"/>
      <c r="E72" s="2407"/>
      <c r="F72" s="1009"/>
      <c r="G72" s="1279"/>
      <c r="H72" s="1782"/>
      <c r="I72" s="1775"/>
      <c r="J72" s="1776"/>
      <c r="K72" s="2426" t="s">
        <v>329</v>
      </c>
      <c r="L72" s="1613"/>
      <c r="M72" s="1414"/>
      <c r="N72" s="1415">
        <v>100</v>
      </c>
      <c r="O72" s="1013"/>
      <c r="Q72" s="1013"/>
    </row>
    <row r="73" spans="1:18" x14ac:dyDescent="0.2">
      <c r="A73" s="1142"/>
      <c r="B73" s="1137"/>
      <c r="C73" s="1132"/>
      <c r="D73" s="2411"/>
      <c r="E73" s="2407"/>
      <c r="F73" s="1009"/>
      <c r="G73" s="1138" t="s">
        <v>16</v>
      </c>
      <c r="H73" s="1772">
        <f>SUM(H69:H72)</f>
        <v>2.2000000000000002</v>
      </c>
      <c r="I73" s="1774">
        <f>SUM(I69:I72)</f>
        <v>18.7</v>
      </c>
      <c r="J73" s="1773">
        <f>SUM(J69:J72)</f>
        <v>351</v>
      </c>
      <c r="K73" s="2427"/>
      <c r="L73" s="1186"/>
      <c r="M73" s="1235"/>
      <c r="N73" s="1390"/>
      <c r="P73" s="1013"/>
    </row>
    <row r="74" spans="1:18" ht="18" customHeight="1" x14ac:dyDescent="0.2">
      <c r="A74" s="1075"/>
      <c r="B74" s="1032"/>
      <c r="C74" s="1007"/>
      <c r="D74" s="2382" t="s">
        <v>262</v>
      </c>
      <c r="E74" s="1030"/>
      <c r="F74" s="1974"/>
      <c r="G74" s="954" t="s">
        <v>12</v>
      </c>
      <c r="H74" s="1783">
        <v>152.1</v>
      </c>
      <c r="I74" s="1784"/>
      <c r="J74" s="1785"/>
      <c r="K74" s="1614" t="s">
        <v>339</v>
      </c>
      <c r="L74" s="1608">
        <v>100</v>
      </c>
      <c r="M74" s="1372"/>
      <c r="N74" s="1174"/>
      <c r="P74" s="1013"/>
    </row>
    <row r="75" spans="1:18" x14ac:dyDescent="0.2">
      <c r="A75" s="1075"/>
      <c r="B75" s="1032"/>
      <c r="C75" s="1007"/>
      <c r="D75" s="2411"/>
      <c r="E75" s="1030"/>
      <c r="F75" s="1974"/>
      <c r="G75" s="1121" t="s">
        <v>269</v>
      </c>
      <c r="H75" s="1769">
        <v>3</v>
      </c>
      <c r="I75" s="1883"/>
      <c r="J75" s="1884"/>
      <c r="K75" s="2419" t="s">
        <v>343</v>
      </c>
      <c r="L75" s="1658">
        <v>1</v>
      </c>
      <c r="M75" s="1372"/>
      <c r="N75" s="1174"/>
      <c r="P75" s="1013"/>
    </row>
    <row r="76" spans="1:18" x14ac:dyDescent="0.2">
      <c r="A76" s="1075"/>
      <c r="B76" s="1032"/>
      <c r="C76" s="1007"/>
      <c r="D76" s="2411"/>
      <c r="E76" s="1030"/>
      <c r="F76" s="1974"/>
      <c r="G76" s="940"/>
      <c r="H76" s="1880"/>
      <c r="I76" s="1881"/>
      <c r="J76" s="1882"/>
      <c r="K76" s="2420"/>
      <c r="L76" s="1013"/>
      <c r="M76" s="1607"/>
      <c r="N76" s="1535"/>
      <c r="P76" s="1013"/>
      <c r="Q76" s="1013"/>
    </row>
    <row r="77" spans="1:18" ht="16.5" customHeight="1" x14ac:dyDescent="0.2">
      <c r="A77" s="1075"/>
      <c r="B77" s="1032"/>
      <c r="C77" s="1132"/>
      <c r="D77" s="2383"/>
      <c r="E77" s="1030"/>
      <c r="F77" s="1974"/>
      <c r="G77" s="1162" t="s">
        <v>16</v>
      </c>
      <c r="H77" s="1786">
        <f>SUM(H74:H75)</f>
        <v>155.1</v>
      </c>
      <c r="I77" s="1774">
        <f>SUM(I74:I76)</f>
        <v>0</v>
      </c>
      <c r="J77" s="1774"/>
      <c r="K77" s="2421"/>
      <c r="L77" s="1684"/>
      <c r="M77" s="1534"/>
      <c r="N77" s="1606"/>
      <c r="P77" s="1013"/>
    </row>
    <row r="78" spans="1:18" ht="33" customHeight="1" x14ac:dyDescent="0.2">
      <c r="A78" s="1075"/>
      <c r="B78" s="1032"/>
      <c r="C78" s="1007"/>
      <c r="D78" s="2411" t="s">
        <v>260</v>
      </c>
      <c r="E78" s="2407"/>
      <c r="F78" s="1974"/>
      <c r="G78" s="1279" t="s">
        <v>12</v>
      </c>
      <c r="H78" s="1787"/>
      <c r="I78" s="1758"/>
      <c r="J78" s="1759">
        <v>90</v>
      </c>
      <c r="K78" s="1262" t="s">
        <v>261</v>
      </c>
      <c r="L78" s="1335"/>
      <c r="M78" s="1270"/>
      <c r="N78" s="1336">
        <v>1</v>
      </c>
      <c r="P78" s="1013"/>
    </row>
    <row r="79" spans="1:18" x14ac:dyDescent="0.2">
      <c r="A79" s="1142"/>
      <c r="B79" s="1137"/>
      <c r="C79" s="1132"/>
      <c r="D79" s="2411"/>
      <c r="E79" s="2422"/>
      <c r="F79" s="1674"/>
      <c r="G79" s="1138" t="s">
        <v>16</v>
      </c>
      <c r="H79" s="1764"/>
      <c r="I79" s="1766"/>
      <c r="J79" s="1765">
        <f>SUM(J78)</f>
        <v>90</v>
      </c>
      <c r="K79" s="1262"/>
      <c r="L79" s="1989"/>
      <c r="M79" s="1118"/>
      <c r="N79" s="1098"/>
      <c r="P79" s="1013"/>
    </row>
    <row r="80" spans="1:18" ht="13.5" customHeight="1" thickBot="1" x14ac:dyDescent="0.25">
      <c r="A80" s="1144"/>
      <c r="B80" s="1145"/>
      <c r="C80" s="1146"/>
      <c r="D80" s="1147"/>
      <c r="E80" s="2428" t="s">
        <v>215</v>
      </c>
      <c r="F80" s="2428"/>
      <c r="G80" s="2429"/>
      <c r="H80" s="1788">
        <f>H60+H68+H73+H64+H77+H79</f>
        <v>215.2</v>
      </c>
      <c r="I80" s="1788">
        <f>I60+I68+I73+I64+I77+I79</f>
        <v>456</v>
      </c>
      <c r="J80" s="1788">
        <f>J60+J68+J73+J64+J79</f>
        <v>1388.8999999999999</v>
      </c>
      <c r="K80" s="2423"/>
      <c r="L80" s="2424"/>
      <c r="M80" s="2424"/>
      <c r="N80" s="2425"/>
    </row>
    <row r="81" spans="1:19" ht="13.5" thickBot="1" x14ac:dyDescent="0.25">
      <c r="A81" s="1178" t="s">
        <v>9</v>
      </c>
      <c r="B81" s="1145" t="s">
        <v>10</v>
      </c>
      <c r="C81" s="2441" t="s">
        <v>15</v>
      </c>
      <c r="D81" s="2394"/>
      <c r="E81" s="2394"/>
      <c r="F81" s="2394"/>
      <c r="G81" s="2395"/>
      <c r="H81" s="1790">
        <f>+H80+H54</f>
        <v>3775.2</v>
      </c>
      <c r="I81" s="1790">
        <f t="shared" ref="I81" si="4">+I80+I54</f>
        <v>4370.3</v>
      </c>
      <c r="J81" s="1790">
        <f>+J80+J54</f>
        <v>5245</v>
      </c>
      <c r="K81" s="2396"/>
      <c r="L81" s="2397"/>
      <c r="M81" s="2397"/>
      <c r="N81" s="2398"/>
    </row>
    <row r="82" spans="1:19" ht="13.5" thickBot="1" x14ac:dyDescent="0.25">
      <c r="A82" s="944" t="s">
        <v>9</v>
      </c>
      <c r="B82" s="1058" t="s">
        <v>11</v>
      </c>
      <c r="C82" s="2442" t="s">
        <v>153</v>
      </c>
      <c r="D82" s="2401"/>
      <c r="E82" s="2401"/>
      <c r="F82" s="2401"/>
      <c r="G82" s="2401"/>
      <c r="H82" s="2401"/>
      <c r="I82" s="2401"/>
      <c r="J82" s="2401"/>
      <c r="K82" s="2401"/>
      <c r="L82" s="2401"/>
      <c r="M82" s="2401"/>
      <c r="N82" s="2402"/>
    </row>
    <row r="83" spans="1:19" ht="29.25" customHeight="1" x14ac:dyDescent="0.2">
      <c r="A83" s="1061" t="s">
        <v>9</v>
      </c>
      <c r="B83" s="1062" t="s">
        <v>11</v>
      </c>
      <c r="C83" s="994" t="s">
        <v>9</v>
      </c>
      <c r="D83" s="1488" t="s">
        <v>294</v>
      </c>
      <c r="E83" s="1180"/>
      <c r="F83" s="1973">
        <v>2</v>
      </c>
      <c r="G83" s="1863" t="s">
        <v>12</v>
      </c>
      <c r="H83" s="1864">
        <v>21</v>
      </c>
      <c r="I83" s="1728">
        <v>100</v>
      </c>
      <c r="J83" s="1737">
        <v>239</v>
      </c>
      <c r="K83" s="1071" t="s">
        <v>229</v>
      </c>
      <c r="L83" s="1184">
        <v>1</v>
      </c>
      <c r="M83" s="1073">
        <v>2</v>
      </c>
      <c r="N83" s="1074">
        <v>2</v>
      </c>
      <c r="S83" s="1013"/>
    </row>
    <row r="84" spans="1:19" ht="29.25" customHeight="1" x14ac:dyDescent="0.2">
      <c r="A84" s="1075"/>
      <c r="B84" s="1032"/>
      <c r="C84" s="1007"/>
      <c r="D84" s="1185" t="s">
        <v>289</v>
      </c>
      <c r="E84" s="2443" t="s">
        <v>83</v>
      </c>
      <c r="F84" s="1425"/>
      <c r="G84" s="1263"/>
      <c r="H84" s="1791"/>
      <c r="I84" s="1775"/>
      <c r="J84" s="1776"/>
      <c r="K84" s="1039" t="s">
        <v>230</v>
      </c>
      <c r="L84" s="1868"/>
      <c r="M84" s="1209">
        <v>1</v>
      </c>
      <c r="N84" s="1869">
        <v>1</v>
      </c>
      <c r="O84" s="1135"/>
    </row>
    <row r="85" spans="1:19" ht="15" customHeight="1" x14ac:dyDescent="0.2">
      <c r="A85" s="1075"/>
      <c r="B85" s="1032"/>
      <c r="C85" s="1007"/>
      <c r="D85" s="2445" t="s">
        <v>183</v>
      </c>
      <c r="E85" s="2444"/>
      <c r="F85" s="1425"/>
      <c r="G85" s="1263"/>
      <c r="H85" s="1791"/>
      <c r="I85" s="1775"/>
      <c r="J85" s="1775"/>
      <c r="K85" s="1976" t="s">
        <v>184</v>
      </c>
      <c r="L85" s="1301">
        <v>2</v>
      </c>
      <c r="M85" s="1015">
        <v>2</v>
      </c>
      <c r="N85" s="1985">
        <v>2</v>
      </c>
      <c r="O85" s="1013"/>
    </row>
    <row r="86" spans="1:19" ht="25.5" customHeight="1" x14ac:dyDescent="0.2">
      <c r="A86" s="1075"/>
      <c r="B86" s="1032"/>
      <c r="C86" s="1007"/>
      <c r="D86" s="2446"/>
      <c r="E86" s="2430" t="s">
        <v>84</v>
      </c>
      <c r="F86" s="1425"/>
      <c r="G86" s="1263"/>
      <c r="H86" s="1791"/>
      <c r="I86" s="1876"/>
      <c r="J86" s="1885"/>
      <c r="K86" s="1625" t="s">
        <v>246</v>
      </c>
      <c r="L86" s="1284">
        <v>1</v>
      </c>
      <c r="M86" s="1018">
        <v>4</v>
      </c>
      <c r="N86" s="1226">
        <v>9</v>
      </c>
    </row>
    <row r="87" spans="1:19" ht="38.25" x14ac:dyDescent="0.2">
      <c r="A87" s="1075"/>
      <c r="B87" s="1032"/>
      <c r="C87" s="1007"/>
      <c r="D87" s="1870" t="s">
        <v>281</v>
      </c>
      <c r="E87" s="2431"/>
      <c r="F87" s="1425"/>
      <c r="G87" s="987"/>
      <c r="H87" s="1792"/>
      <c r="I87" s="1793"/>
      <c r="J87" s="1865"/>
      <c r="K87" s="1262" t="s">
        <v>365</v>
      </c>
      <c r="L87" s="1171"/>
      <c r="M87" s="1041"/>
      <c r="N87" s="1986">
        <v>5</v>
      </c>
      <c r="P87" s="1013"/>
    </row>
    <row r="88" spans="1:19" ht="12.75" customHeight="1" x14ac:dyDescent="0.2">
      <c r="A88" s="1075"/>
      <c r="B88" s="1032"/>
      <c r="C88" s="1007"/>
      <c r="D88" s="2432" t="s">
        <v>280</v>
      </c>
      <c r="E88" s="1464"/>
      <c r="F88" s="1425"/>
      <c r="G88" s="1695"/>
      <c r="H88" s="1794"/>
      <c r="I88" s="1795"/>
      <c r="J88" s="1866"/>
      <c r="K88" s="1972" t="s">
        <v>232</v>
      </c>
      <c r="L88" s="1031"/>
      <c r="M88" s="1268">
        <v>4</v>
      </c>
      <c r="N88" s="973">
        <v>10</v>
      </c>
      <c r="Q88" s="1013"/>
    </row>
    <row r="89" spans="1:19" ht="27" customHeight="1" thickBot="1" x14ac:dyDescent="0.25">
      <c r="A89" s="1075"/>
      <c r="B89" s="1032"/>
      <c r="C89" s="1132"/>
      <c r="D89" s="2433"/>
      <c r="E89" s="1655"/>
      <c r="F89" s="1271"/>
      <c r="G89" s="1441" t="s">
        <v>16</v>
      </c>
      <c r="H89" s="1797">
        <f t="shared" ref="H89:J89" si="5">SUM(H83:H88)</f>
        <v>21</v>
      </c>
      <c r="I89" s="1797">
        <f t="shared" si="5"/>
        <v>100</v>
      </c>
      <c r="J89" s="1797">
        <f t="shared" si="5"/>
        <v>239</v>
      </c>
      <c r="K89" s="1867"/>
      <c r="L89" s="1215"/>
      <c r="M89" s="1119"/>
      <c r="N89" s="1216"/>
      <c r="Q89" s="1013"/>
    </row>
    <row r="90" spans="1:19" ht="53.25" customHeight="1" x14ac:dyDescent="0.2">
      <c r="A90" s="1061" t="s">
        <v>9</v>
      </c>
      <c r="B90" s="1062" t="s">
        <v>11</v>
      </c>
      <c r="C90" s="994" t="s">
        <v>10</v>
      </c>
      <c r="D90" s="1442" t="s">
        <v>89</v>
      </c>
      <c r="E90" s="1218"/>
      <c r="F90" s="2434">
        <v>2</v>
      </c>
      <c r="G90" s="938" t="s">
        <v>12</v>
      </c>
      <c r="H90" s="1874">
        <v>10</v>
      </c>
      <c r="I90" s="1799">
        <v>25</v>
      </c>
      <c r="J90" s="1799">
        <v>62</v>
      </c>
      <c r="K90" s="1325" t="s">
        <v>319</v>
      </c>
      <c r="L90" s="1031">
        <v>1</v>
      </c>
      <c r="M90" s="1073"/>
      <c r="N90" s="1074"/>
      <c r="Q90" s="1013"/>
      <c r="S90" s="1013"/>
    </row>
    <row r="91" spans="1:19" ht="44.25" customHeight="1" x14ac:dyDescent="0.2">
      <c r="A91" s="1005"/>
      <c r="B91" s="1006"/>
      <c r="C91" s="1007"/>
      <c r="D91" s="1444" t="s">
        <v>366</v>
      </c>
      <c r="E91" s="1225" t="s">
        <v>109</v>
      </c>
      <c r="F91" s="2435"/>
      <c r="G91" s="1411"/>
      <c r="H91" s="1875"/>
      <c r="I91" s="1775"/>
      <c r="J91" s="1876"/>
      <c r="K91" s="1872" t="s">
        <v>283</v>
      </c>
      <c r="L91" s="1873"/>
      <c r="M91" s="1034">
        <v>1</v>
      </c>
      <c r="N91" s="1035">
        <v>1</v>
      </c>
      <c r="P91" s="1013"/>
    </row>
    <row r="92" spans="1:19" ht="26.25" customHeight="1" x14ac:dyDescent="0.2">
      <c r="A92" s="1075"/>
      <c r="B92" s="1032"/>
      <c r="C92" s="1007"/>
      <c r="D92" s="2437" t="s">
        <v>186</v>
      </c>
      <c r="E92" s="2439" t="s">
        <v>91</v>
      </c>
      <c r="F92" s="2435"/>
      <c r="G92" s="1468"/>
      <c r="H92" s="1800"/>
      <c r="I92" s="1796"/>
      <c r="J92" s="1796"/>
      <c r="K92" s="2454" t="s">
        <v>187</v>
      </c>
      <c r="L92" s="1227"/>
      <c r="M92" s="1228">
        <v>1</v>
      </c>
      <c r="N92" s="1229">
        <v>4</v>
      </c>
      <c r="O92" s="870"/>
    </row>
    <row r="93" spans="1:19" ht="17.25" customHeight="1" thickBot="1" x14ac:dyDescent="0.25">
      <c r="A93" s="1055"/>
      <c r="B93" s="992"/>
      <c r="C93" s="1146"/>
      <c r="D93" s="2438"/>
      <c r="E93" s="2440"/>
      <c r="F93" s="2436"/>
      <c r="G93" s="1452" t="s">
        <v>16</v>
      </c>
      <c r="H93" s="1798">
        <f t="shared" ref="H93:J93" si="6">SUM(H90:H92)</f>
        <v>10</v>
      </c>
      <c r="I93" s="1798">
        <f t="shared" si="6"/>
        <v>25</v>
      </c>
      <c r="J93" s="1798">
        <f t="shared" si="6"/>
        <v>62</v>
      </c>
      <c r="K93" s="2455"/>
      <c r="L93" s="1230"/>
      <c r="M93" s="1269"/>
      <c r="N93" s="1231"/>
      <c r="O93" s="870"/>
    </row>
    <row r="94" spans="1:19" ht="40.5" customHeight="1" x14ac:dyDescent="0.2">
      <c r="A94" s="1061" t="s">
        <v>9</v>
      </c>
      <c r="B94" s="1062" t="s">
        <v>11</v>
      </c>
      <c r="C94" s="994" t="s">
        <v>11</v>
      </c>
      <c r="D94" s="1454" t="s">
        <v>324</v>
      </c>
      <c r="E94" s="1464" t="s">
        <v>325</v>
      </c>
      <c r="F94" s="1569" t="s">
        <v>35</v>
      </c>
      <c r="G94" s="938" t="s">
        <v>12</v>
      </c>
      <c r="H94" s="1877">
        <v>150</v>
      </c>
      <c r="I94" s="1871">
        <v>390</v>
      </c>
      <c r="J94" s="1871">
        <v>315</v>
      </c>
      <c r="K94" s="1296" t="s">
        <v>320</v>
      </c>
      <c r="L94" s="998">
        <v>1</v>
      </c>
      <c r="M94" s="1295"/>
      <c r="N94" s="1000"/>
      <c r="Q94" s="1013"/>
      <c r="S94" s="1013"/>
    </row>
    <row r="95" spans="1:19" ht="39.75" customHeight="1" x14ac:dyDescent="0.2">
      <c r="A95" s="1075"/>
      <c r="B95" s="1032"/>
      <c r="C95" s="1007"/>
      <c r="D95" s="2008" t="s">
        <v>300</v>
      </c>
      <c r="E95" s="2009"/>
      <c r="F95" s="1466"/>
      <c r="G95" s="1475"/>
      <c r="H95" s="1781"/>
      <c r="I95" s="1776"/>
      <c r="J95" s="1775"/>
      <c r="K95" s="1297" t="s">
        <v>361</v>
      </c>
      <c r="L95" s="1621"/>
      <c r="M95" s="1622">
        <v>1</v>
      </c>
      <c r="N95" s="1623"/>
    </row>
    <row r="96" spans="1:19" ht="28.5" customHeight="1" x14ac:dyDescent="0.2">
      <c r="A96" s="1680"/>
      <c r="B96" s="1681"/>
      <c r="C96" s="1690"/>
      <c r="D96" s="2038" t="s">
        <v>284</v>
      </c>
      <c r="E96" s="1692"/>
      <c r="F96" s="1959"/>
      <c r="G96" s="1468"/>
      <c r="H96" s="1854"/>
      <c r="I96" s="1960"/>
      <c r="J96" s="1961"/>
      <c r="K96" s="1297" t="s">
        <v>321</v>
      </c>
      <c r="L96" s="1621">
        <v>1</v>
      </c>
      <c r="M96" s="1622"/>
      <c r="N96" s="1623"/>
    </row>
    <row r="97" spans="1:17" ht="41.25" customHeight="1" x14ac:dyDescent="0.2">
      <c r="A97" s="565"/>
      <c r="B97" s="566"/>
      <c r="C97" s="19"/>
      <c r="D97" s="2456" t="s">
        <v>285</v>
      </c>
      <c r="E97" s="1464"/>
      <c r="F97" s="1466"/>
      <c r="G97" s="1475"/>
      <c r="H97" s="1781"/>
      <c r="I97" s="1776"/>
      <c r="J97" s="1801"/>
      <c r="K97" s="2034" t="s">
        <v>322</v>
      </c>
      <c r="L97" s="2035">
        <v>1</v>
      </c>
      <c r="M97" s="2036">
        <v>1</v>
      </c>
      <c r="N97" s="2037">
        <v>1</v>
      </c>
    </row>
    <row r="98" spans="1:17" ht="32.25" customHeight="1" x14ac:dyDescent="0.2">
      <c r="A98" s="565"/>
      <c r="B98" s="566"/>
      <c r="C98" s="19"/>
      <c r="D98" s="2457"/>
      <c r="E98" s="1464"/>
      <c r="F98" s="1466"/>
      <c r="G98" s="1475"/>
      <c r="H98" s="1781"/>
      <c r="I98" s="1776"/>
      <c r="J98" s="1801"/>
      <c r="K98" s="1297" t="s">
        <v>344</v>
      </c>
      <c r="L98" s="1621"/>
      <c r="M98" s="1622">
        <v>1</v>
      </c>
      <c r="N98" s="1623"/>
      <c r="Q98" s="1013"/>
    </row>
    <row r="99" spans="1:17" ht="14.25" customHeight="1" x14ac:dyDescent="0.2">
      <c r="A99" s="565"/>
      <c r="B99" s="566"/>
      <c r="C99" s="19"/>
      <c r="D99" s="1660" t="s">
        <v>326</v>
      </c>
      <c r="E99" s="1292"/>
      <c r="F99" s="1009"/>
      <c r="G99" s="940"/>
      <c r="H99" s="1753"/>
      <c r="I99" s="1878"/>
      <c r="J99" s="1879"/>
      <c r="K99" s="1957" t="s">
        <v>287</v>
      </c>
      <c r="L99" s="1574">
        <v>2</v>
      </c>
      <c r="M99" s="1958"/>
      <c r="N99" s="1576">
        <v>4</v>
      </c>
    </row>
    <row r="100" spans="1:17" ht="15" customHeight="1" thickBot="1" x14ac:dyDescent="0.25">
      <c r="A100" s="24"/>
      <c r="B100" s="14"/>
      <c r="C100" s="260"/>
      <c r="D100" s="1123"/>
      <c r="E100" s="1050"/>
      <c r="F100" s="1294"/>
      <c r="G100" s="1304" t="s">
        <v>16</v>
      </c>
      <c r="H100" s="1802">
        <f>SUM(H94:H99)</f>
        <v>150</v>
      </c>
      <c r="I100" s="1802">
        <f t="shared" ref="I100:J100" si="7">SUM(I94:I99)</f>
        <v>390</v>
      </c>
      <c r="J100" s="1802">
        <f t="shared" si="7"/>
        <v>315</v>
      </c>
      <c r="K100" s="1299"/>
      <c r="L100" s="1577"/>
      <c r="M100" s="1578"/>
      <c r="N100" s="1579"/>
      <c r="P100" s="1013"/>
    </row>
    <row r="101" spans="1:17" ht="14.25" customHeight="1" thickBot="1" x14ac:dyDescent="0.25">
      <c r="A101" s="1178" t="s">
        <v>9</v>
      </c>
      <c r="B101" s="1145" t="s">
        <v>11</v>
      </c>
      <c r="C101" s="2441" t="s">
        <v>15</v>
      </c>
      <c r="D101" s="2394"/>
      <c r="E101" s="2394"/>
      <c r="F101" s="2394"/>
      <c r="G101" s="2395"/>
      <c r="H101" s="1803">
        <f t="shared" ref="H101:J101" si="8">H100+H93+H89</f>
        <v>181</v>
      </c>
      <c r="I101" s="1803">
        <f t="shared" si="8"/>
        <v>515</v>
      </c>
      <c r="J101" s="1803">
        <f t="shared" si="8"/>
        <v>616</v>
      </c>
      <c r="K101" s="2396"/>
      <c r="L101" s="2397"/>
      <c r="M101" s="2397"/>
      <c r="N101" s="2398"/>
    </row>
    <row r="102" spans="1:17" ht="14.25" customHeight="1" thickBot="1" x14ac:dyDescent="0.25">
      <c r="A102" s="991" t="s">
        <v>9</v>
      </c>
      <c r="B102" s="2458" t="s">
        <v>17</v>
      </c>
      <c r="C102" s="2459"/>
      <c r="D102" s="2459"/>
      <c r="E102" s="2459"/>
      <c r="F102" s="2459"/>
      <c r="G102" s="2460"/>
      <c r="H102" s="1804">
        <f>H101+H81+H33</f>
        <v>4803</v>
      </c>
      <c r="I102" s="1804">
        <f t="shared" ref="I102:J102" si="9">I81+I33+I101</f>
        <v>6105.3</v>
      </c>
      <c r="J102" s="1804">
        <f t="shared" si="9"/>
        <v>7743</v>
      </c>
      <c r="K102" s="2461"/>
      <c r="L102" s="2462"/>
      <c r="M102" s="2462"/>
      <c r="N102" s="2463"/>
    </row>
    <row r="103" spans="1:17" ht="14.25" customHeight="1" thickBot="1" x14ac:dyDescent="0.25">
      <c r="A103" s="1240" t="s">
        <v>14</v>
      </c>
      <c r="B103" s="2447" t="s">
        <v>95</v>
      </c>
      <c r="C103" s="2448"/>
      <c r="D103" s="2448"/>
      <c r="E103" s="2448"/>
      <c r="F103" s="2448"/>
      <c r="G103" s="2449"/>
      <c r="H103" s="1805">
        <f t="shared" ref="H103:I103" si="10">H102</f>
        <v>4803</v>
      </c>
      <c r="I103" s="1806">
        <f t="shared" si="10"/>
        <v>6105.3</v>
      </c>
      <c r="J103" s="1807">
        <f>J102</f>
        <v>7743</v>
      </c>
      <c r="K103" s="2450"/>
      <c r="L103" s="2451"/>
      <c r="M103" s="2451"/>
      <c r="N103" s="2452"/>
    </row>
    <row r="104" spans="1:17" ht="20.25" customHeight="1" thickBot="1" x14ac:dyDescent="0.25">
      <c r="A104" s="2453" t="s">
        <v>21</v>
      </c>
      <c r="B104" s="2453"/>
      <c r="C104" s="2453"/>
      <c r="D104" s="2453"/>
      <c r="E104" s="2453"/>
      <c r="F104" s="2453"/>
      <c r="G104" s="2453"/>
      <c r="H104" s="2453"/>
      <c r="I104" s="2453"/>
      <c r="J104" s="2453"/>
      <c r="K104" s="1247"/>
      <c r="L104" s="1980"/>
      <c r="M104" s="1980"/>
      <c r="N104" s="1980"/>
    </row>
    <row r="105" spans="1:17" ht="41.25" customHeight="1" x14ac:dyDescent="0.2">
      <c r="A105" s="2486" t="s">
        <v>19</v>
      </c>
      <c r="B105" s="2487"/>
      <c r="C105" s="2487"/>
      <c r="D105" s="2487"/>
      <c r="E105" s="2487"/>
      <c r="F105" s="2487"/>
      <c r="G105" s="2488"/>
      <c r="H105" s="1808" t="s">
        <v>335</v>
      </c>
      <c r="I105" s="1809" t="s">
        <v>209</v>
      </c>
      <c r="J105" s="1809" t="s">
        <v>336</v>
      </c>
      <c r="K105" s="1984"/>
      <c r="L105" s="2479"/>
      <c r="M105" s="2479"/>
      <c r="N105" s="2479"/>
    </row>
    <row r="106" spans="1:17" ht="12.75" customHeight="1" x14ac:dyDescent="0.2">
      <c r="A106" s="2480" t="s">
        <v>32</v>
      </c>
      <c r="B106" s="2481"/>
      <c r="C106" s="2481"/>
      <c r="D106" s="2481"/>
      <c r="E106" s="2481"/>
      <c r="F106" s="2481"/>
      <c r="G106" s="2482"/>
      <c r="H106" s="1829">
        <f>SUM(H107:H109)</f>
        <v>4800</v>
      </c>
      <c r="I106" s="1810">
        <f>SUM(I107:I109)</f>
        <v>5901.2</v>
      </c>
      <c r="J106" s="1811">
        <f>SUM(J107:J109)</f>
        <v>7009.5000000000009</v>
      </c>
      <c r="K106" s="1984"/>
      <c r="L106" s="2479"/>
      <c r="M106" s="2479"/>
      <c r="N106" s="2479"/>
    </row>
    <row r="107" spans="1:17" x14ac:dyDescent="0.2">
      <c r="A107" s="2473" t="s">
        <v>22</v>
      </c>
      <c r="B107" s="2474"/>
      <c r="C107" s="2474"/>
      <c r="D107" s="2474"/>
      <c r="E107" s="2474"/>
      <c r="F107" s="2474"/>
      <c r="G107" s="2475"/>
      <c r="H107" s="1825">
        <f>SUMIF(G12:G100,"sb",H12:H100)</f>
        <v>4281.7</v>
      </c>
      <c r="I107" s="1828">
        <f>SUMIF(G12:G100,"sb",I12:I100)</f>
        <v>5341.2</v>
      </c>
      <c r="J107" s="1730">
        <f>SUMIF(G12:G100,"sb",J12:J100)</f>
        <v>6431.0000000000009</v>
      </c>
      <c r="K107" s="1979"/>
      <c r="L107" s="2464"/>
      <c r="M107" s="2464"/>
      <c r="N107" s="2464"/>
    </row>
    <row r="108" spans="1:17" x14ac:dyDescent="0.2">
      <c r="A108" s="2473" t="s">
        <v>112</v>
      </c>
      <c r="B108" s="2474"/>
      <c r="C108" s="2474"/>
      <c r="D108" s="2474"/>
      <c r="E108" s="2474"/>
      <c r="F108" s="2474"/>
      <c r="G108" s="2475"/>
      <c r="H108" s="1825">
        <f>SUMIF(G12:G100,"sb(vr)",H12:H100)</f>
        <v>145.6</v>
      </c>
      <c r="I108" s="1828">
        <f>SUMIF(G12:G100,"sb(vr)",I12:I100)</f>
        <v>180</v>
      </c>
      <c r="J108" s="1730">
        <f>SUMIF(G12:G100,"sb(vr)",J12:J100)</f>
        <v>200</v>
      </c>
      <c r="K108" s="961"/>
      <c r="L108" s="1979"/>
      <c r="M108" s="1979"/>
      <c r="N108" s="1979"/>
    </row>
    <row r="109" spans="1:17" ht="27" customHeight="1" x14ac:dyDescent="0.2">
      <c r="A109" s="2483" t="s">
        <v>31</v>
      </c>
      <c r="B109" s="2484"/>
      <c r="C109" s="2484"/>
      <c r="D109" s="2484"/>
      <c r="E109" s="2484"/>
      <c r="F109" s="2484"/>
      <c r="G109" s="2485"/>
      <c r="H109" s="1812">
        <f>SUMIF(G12:G100,"sb(sp)",H12:H100)</f>
        <v>372.7</v>
      </c>
      <c r="I109" s="1813">
        <f>SUMIF(G12:G100,"sb(sp)",I12:I100)</f>
        <v>380</v>
      </c>
      <c r="J109" s="1814">
        <f>SUMIF(G14:G100,"sb(sp)",J14:J100)</f>
        <v>378.5</v>
      </c>
      <c r="K109" s="1250"/>
      <c r="L109" s="2464"/>
      <c r="M109" s="2464"/>
      <c r="N109" s="2464"/>
    </row>
    <row r="110" spans="1:17" x14ac:dyDescent="0.2">
      <c r="A110" s="2480" t="s">
        <v>33</v>
      </c>
      <c r="B110" s="2481"/>
      <c r="C110" s="2481"/>
      <c r="D110" s="2481"/>
      <c r="E110" s="2481"/>
      <c r="F110" s="2481"/>
      <c r="G110" s="2482"/>
      <c r="H110" s="1815">
        <f>SUM(H111:H112)</f>
        <v>3</v>
      </c>
      <c r="I110" s="1816">
        <f>SUM(I111:I112)</f>
        <v>204.1</v>
      </c>
      <c r="J110" s="1817">
        <f>SUM(J111:J112)</f>
        <v>733.5</v>
      </c>
      <c r="K110" s="1984"/>
      <c r="L110" s="2479"/>
      <c r="M110" s="2479"/>
      <c r="N110" s="2479"/>
    </row>
    <row r="111" spans="1:17" x14ac:dyDescent="0.2">
      <c r="A111" s="2473" t="s">
        <v>23</v>
      </c>
      <c r="B111" s="2474"/>
      <c r="C111" s="2474"/>
      <c r="D111" s="2474"/>
      <c r="E111" s="2474"/>
      <c r="F111" s="2474"/>
      <c r="G111" s="2475"/>
      <c r="H111" s="1825">
        <f>SUMIF(G14:G100,"es",H14:H100)</f>
        <v>0</v>
      </c>
      <c r="I111" s="1828">
        <f>SUMIF(G12:G100,"es",I12:I100)</f>
        <v>185.4</v>
      </c>
      <c r="J111" s="1730">
        <f>SUMIF(G14:G100,"es",J14:J100)</f>
        <v>432.5</v>
      </c>
      <c r="K111" s="1979"/>
      <c r="L111" s="2464"/>
      <c r="M111" s="2464"/>
      <c r="N111" s="2464"/>
    </row>
    <row r="112" spans="1:17" x14ac:dyDescent="0.2">
      <c r="A112" s="2473" t="s">
        <v>297</v>
      </c>
      <c r="B112" s="2474"/>
      <c r="C112" s="2474"/>
      <c r="D112" s="2474"/>
      <c r="E112" s="2474"/>
      <c r="F112" s="2474"/>
      <c r="G112" s="2475"/>
      <c r="H112" s="1825">
        <f>SUMIF(G12:G94,"kt",H12:H94)</f>
        <v>3</v>
      </c>
      <c r="I112" s="1745">
        <f>SUMIF(G14:G99,"kt",I14:I99)</f>
        <v>18.7</v>
      </c>
      <c r="J112" s="1745">
        <f>SUMIF(G14:G99,"kt",J14:J99)</f>
        <v>301</v>
      </c>
      <c r="K112" s="1979"/>
      <c r="L112" s="1979"/>
      <c r="M112" s="1979"/>
      <c r="N112" s="1979"/>
    </row>
    <row r="113" spans="1:14" ht="13.5" thickBot="1" x14ac:dyDescent="0.25">
      <c r="A113" s="2476" t="s">
        <v>16</v>
      </c>
      <c r="B113" s="2477"/>
      <c r="C113" s="2477"/>
      <c r="D113" s="2477"/>
      <c r="E113" s="2477"/>
      <c r="F113" s="2477"/>
      <c r="G113" s="2478"/>
      <c r="H113" s="1746">
        <f>H110+H106</f>
        <v>4803</v>
      </c>
      <c r="I113" s="1827">
        <f>I110+I106</f>
        <v>6105.3</v>
      </c>
      <c r="J113" s="1735">
        <f>J110+J106</f>
        <v>7743.0000000000009</v>
      </c>
      <c r="K113" s="1984"/>
      <c r="L113" s="2479"/>
      <c r="M113" s="2479"/>
      <c r="N113" s="2479"/>
    </row>
    <row r="114" spans="1:14" x14ac:dyDescent="0.2">
      <c r="A114" s="1182"/>
      <c r="B114" s="1182"/>
      <c r="C114" s="1182"/>
      <c r="D114" s="1182"/>
      <c r="K114" s="1252"/>
      <c r="L114" s="2464"/>
      <c r="M114" s="2464"/>
      <c r="N114" s="2464"/>
    </row>
    <row r="115" spans="1:14" x14ac:dyDescent="0.2">
      <c r="L115" s="2465"/>
      <c r="M115" s="2465"/>
      <c r="N115" s="2465"/>
    </row>
    <row r="116" spans="1:14" x14ac:dyDescent="0.2">
      <c r="K116" s="1254"/>
      <c r="L116" s="1989"/>
      <c r="M116" s="1989"/>
      <c r="N116" s="1989"/>
    </row>
    <row r="117" spans="1:14" x14ac:dyDescent="0.2">
      <c r="E117" s="961"/>
      <c r="F117" s="961"/>
      <c r="G117" s="961"/>
      <c r="K117" s="1247"/>
    </row>
    <row r="118" spans="1:14" x14ac:dyDescent="0.2">
      <c r="E118" s="961"/>
      <c r="F118" s="961"/>
      <c r="G118" s="961"/>
    </row>
    <row r="119" spans="1:14" x14ac:dyDescent="0.2">
      <c r="E119" s="961"/>
      <c r="F119" s="961"/>
      <c r="G119" s="961"/>
    </row>
    <row r="120" spans="1:14" x14ac:dyDescent="0.2">
      <c r="E120" s="961"/>
      <c r="F120" s="961"/>
      <c r="G120" s="961"/>
    </row>
  </sheetData>
  <mergeCells count="102">
    <mergeCell ref="L114:N114"/>
    <mergeCell ref="L115:N115"/>
    <mergeCell ref="H5:H7"/>
    <mergeCell ref="D13:D14"/>
    <mergeCell ref="K13:K14"/>
    <mergeCell ref="L13:L14"/>
    <mergeCell ref="M13:M14"/>
    <mergeCell ref="N13:N14"/>
    <mergeCell ref="A112:G112"/>
    <mergeCell ref="A113:G113"/>
    <mergeCell ref="L113:N113"/>
    <mergeCell ref="A110:G110"/>
    <mergeCell ref="L110:N110"/>
    <mergeCell ref="A111:G111"/>
    <mergeCell ref="L111:N111"/>
    <mergeCell ref="A107:G107"/>
    <mergeCell ref="L107:N107"/>
    <mergeCell ref="A108:G108"/>
    <mergeCell ref="A109:G109"/>
    <mergeCell ref="L109:N109"/>
    <mergeCell ref="A105:G105"/>
    <mergeCell ref="L105:N105"/>
    <mergeCell ref="A106:G106"/>
    <mergeCell ref="L106:N106"/>
    <mergeCell ref="B103:G103"/>
    <mergeCell ref="K103:N103"/>
    <mergeCell ref="A104:J104"/>
    <mergeCell ref="K92:K93"/>
    <mergeCell ref="D97:D98"/>
    <mergeCell ref="C101:G101"/>
    <mergeCell ref="K101:N101"/>
    <mergeCell ref="B102:G102"/>
    <mergeCell ref="K102:N102"/>
    <mergeCell ref="E86:E87"/>
    <mergeCell ref="D88:D89"/>
    <mergeCell ref="F90:F93"/>
    <mergeCell ref="D92:D93"/>
    <mergeCell ref="E92:E93"/>
    <mergeCell ref="C81:G81"/>
    <mergeCell ref="K81:N81"/>
    <mergeCell ref="C82:N82"/>
    <mergeCell ref="E84:E85"/>
    <mergeCell ref="D85:D86"/>
    <mergeCell ref="D74:D77"/>
    <mergeCell ref="K75:K77"/>
    <mergeCell ref="D78:D79"/>
    <mergeCell ref="E78:E79"/>
    <mergeCell ref="K80:N80"/>
    <mergeCell ref="D65:D68"/>
    <mergeCell ref="E65:E68"/>
    <mergeCell ref="D69:D73"/>
    <mergeCell ref="E69:E73"/>
    <mergeCell ref="K72:K73"/>
    <mergeCell ref="E80:G80"/>
    <mergeCell ref="E56:E57"/>
    <mergeCell ref="D57:D58"/>
    <mergeCell ref="D59:D60"/>
    <mergeCell ref="D61:D64"/>
    <mergeCell ref="K63:K64"/>
    <mergeCell ref="D41:D42"/>
    <mergeCell ref="D43:D45"/>
    <mergeCell ref="D51:D52"/>
    <mergeCell ref="K51:K52"/>
    <mergeCell ref="D53:D54"/>
    <mergeCell ref="K40:K42"/>
    <mergeCell ref="D37:D38"/>
    <mergeCell ref="D39:D40"/>
    <mergeCell ref="D18:D19"/>
    <mergeCell ref="D20:D21"/>
    <mergeCell ref="K20:K21"/>
    <mergeCell ref="D22:D23"/>
    <mergeCell ref="E22:E23"/>
    <mergeCell ref="F22:F23"/>
    <mergeCell ref="D28:D29"/>
    <mergeCell ref="C33:G33"/>
    <mergeCell ref="K33:N33"/>
    <mergeCell ref="C34:N34"/>
    <mergeCell ref="D35:D36"/>
    <mergeCell ref="D24:D26"/>
    <mergeCell ref="E24:E26"/>
    <mergeCell ref="F24:F26"/>
    <mergeCell ref="K24:K25"/>
    <mergeCell ref="A8:N8"/>
    <mergeCell ref="A9:N9"/>
    <mergeCell ref="B10:N10"/>
    <mergeCell ref="C11:N11"/>
    <mergeCell ref="I5:I7"/>
    <mergeCell ref="J5:J7"/>
    <mergeCell ref="K5:N5"/>
    <mergeCell ref="F5:F7"/>
    <mergeCell ref="G5:G7"/>
    <mergeCell ref="A1:N1"/>
    <mergeCell ref="A2:N2"/>
    <mergeCell ref="A3:N3"/>
    <mergeCell ref="M4:N4"/>
    <mergeCell ref="A5:A7"/>
    <mergeCell ref="B5:B7"/>
    <mergeCell ref="C5:C7"/>
    <mergeCell ref="D5:D7"/>
    <mergeCell ref="E5:E7"/>
    <mergeCell ref="K6:K7"/>
    <mergeCell ref="L6:N6"/>
  </mergeCells>
  <pageMargins left="0.70866141732283472" right="0" top="0.74803149606299213" bottom="0.74803149606299213" header="0.31496062992125984" footer="0.31496062992125984"/>
  <pageSetup paperSize="9" scale="80" orientation="portrait" r:id="rId1"/>
  <rowBreaks count="3" manualBreakCount="3">
    <brk id="36" max="13" man="1"/>
    <brk id="64" max="13" man="1"/>
    <brk id="96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49"/>
  <sheetViews>
    <sheetView zoomScaleNormal="100" zoomScaleSheetLayoutView="100" workbookViewId="0">
      <selection activeCell="J6" sqref="J6:J8"/>
    </sheetView>
  </sheetViews>
  <sheetFormatPr defaultColWidth="9.140625" defaultRowHeight="12.75" x14ac:dyDescent="0.2"/>
  <cols>
    <col min="1" max="1" width="2.28515625" style="961" customWidth="1"/>
    <col min="2" max="2" width="2.42578125" style="961" customWidth="1"/>
    <col min="3" max="3" width="2.5703125" style="961" customWidth="1"/>
    <col min="4" max="4" width="2.5703125" style="1514" customWidth="1"/>
    <col min="5" max="5" width="26.42578125" style="961" customWidth="1"/>
    <col min="6" max="6" width="3.5703125" style="1544" customWidth="1"/>
    <col min="7" max="7" width="3.140625" style="1544" customWidth="1"/>
    <col min="8" max="8" width="2.7109375" style="1544" customWidth="1"/>
    <col min="9" max="9" width="10.140625" style="1544" customWidth="1"/>
    <col min="10" max="10" width="7.28515625" style="1544" customWidth="1"/>
    <col min="11" max="12" width="10.28515625" style="961" customWidth="1"/>
    <col min="13" max="13" width="9.5703125" style="961" customWidth="1"/>
    <col min="14" max="14" width="9" style="961" customWidth="1"/>
    <col min="15" max="15" width="9.5703125" style="961" customWidth="1"/>
    <col min="16" max="16" width="8.7109375" style="961" customWidth="1"/>
    <col min="17" max="17" width="7.42578125" style="961" hidden="1" customWidth="1"/>
    <col min="18" max="18" width="7.140625" style="961" hidden="1" customWidth="1"/>
    <col min="19" max="20" width="6.140625" style="961" hidden="1" customWidth="1"/>
    <col min="21" max="21" width="10.140625" style="961" customWidth="1"/>
    <col min="22" max="22" width="9" style="961" customWidth="1"/>
    <col min="23" max="23" width="24.140625" style="1253" customWidth="1"/>
    <col min="24" max="26" width="4.5703125" style="1544" customWidth="1"/>
    <col min="27" max="16384" width="9.140625" style="961"/>
  </cols>
  <sheetData>
    <row r="1" spans="1:28" s="2039" customFormat="1" ht="15.75" x14ac:dyDescent="0.2">
      <c r="D1" s="2040"/>
      <c r="F1" s="2041"/>
      <c r="G1" s="2041"/>
      <c r="H1" s="2041"/>
      <c r="I1" s="2041"/>
      <c r="J1" s="2041"/>
      <c r="W1" s="2571" t="s">
        <v>367</v>
      </c>
      <c r="X1" s="2571"/>
      <c r="Y1" s="2571"/>
      <c r="Z1" s="2571"/>
    </row>
    <row r="2" spans="1:28" s="2033" customFormat="1" ht="15.75" x14ac:dyDescent="0.2">
      <c r="A2" s="2337" t="s">
        <v>292</v>
      </c>
      <c r="B2" s="2337"/>
      <c r="C2" s="2337"/>
      <c r="D2" s="2337"/>
      <c r="E2" s="2337"/>
      <c r="F2" s="2337"/>
      <c r="G2" s="2337"/>
      <c r="H2" s="2337"/>
      <c r="I2" s="2337"/>
      <c r="J2" s="2337"/>
      <c r="K2" s="2337"/>
      <c r="L2" s="2337"/>
      <c r="M2" s="2337"/>
      <c r="N2" s="2337"/>
      <c r="O2" s="2337"/>
      <c r="P2" s="2337"/>
      <c r="Q2" s="2337"/>
      <c r="R2" s="2337"/>
      <c r="S2" s="2337"/>
      <c r="T2" s="2337"/>
      <c r="U2" s="2337"/>
      <c r="V2" s="2337"/>
      <c r="W2" s="2337"/>
      <c r="X2" s="2337"/>
      <c r="Y2" s="2337"/>
      <c r="Z2" s="2337"/>
    </row>
    <row r="3" spans="1:28" s="2033" customFormat="1" ht="15.75" x14ac:dyDescent="0.2">
      <c r="A3" s="2338" t="s">
        <v>68</v>
      </c>
      <c r="B3" s="2339"/>
      <c r="C3" s="2339"/>
      <c r="D3" s="2339"/>
      <c r="E3" s="2339"/>
      <c r="F3" s="2339"/>
      <c r="G3" s="2339"/>
      <c r="H3" s="2339"/>
      <c r="I3" s="2339"/>
      <c r="J3" s="2339"/>
      <c r="K3" s="2339"/>
      <c r="L3" s="2339"/>
      <c r="M3" s="2339"/>
      <c r="N3" s="2339"/>
      <c r="O3" s="2339"/>
      <c r="P3" s="2339"/>
      <c r="Q3" s="2339"/>
      <c r="R3" s="2339"/>
      <c r="S3" s="2339"/>
      <c r="T3" s="2339"/>
      <c r="U3" s="2339"/>
      <c r="V3" s="2339"/>
      <c r="W3" s="2339"/>
      <c r="X3" s="2339"/>
      <c r="Y3" s="2339"/>
      <c r="Z3" s="2339"/>
    </row>
    <row r="4" spans="1:28" s="2033" customFormat="1" ht="15.75" x14ac:dyDescent="0.2">
      <c r="A4" s="2337" t="s">
        <v>368</v>
      </c>
      <c r="B4" s="2340"/>
      <c r="C4" s="2340"/>
      <c r="D4" s="2340"/>
      <c r="E4" s="2340"/>
      <c r="F4" s="2340"/>
      <c r="G4" s="2340"/>
      <c r="H4" s="2340"/>
      <c r="I4" s="2340"/>
      <c r="J4" s="2340"/>
      <c r="K4" s="2340"/>
      <c r="L4" s="2340"/>
      <c r="M4" s="2340"/>
      <c r="N4" s="2340"/>
      <c r="O4" s="2340"/>
      <c r="P4" s="2340"/>
      <c r="Q4" s="2340"/>
      <c r="R4" s="2340"/>
      <c r="S4" s="2340"/>
      <c r="T4" s="2340"/>
      <c r="U4" s="2340"/>
      <c r="V4" s="2340"/>
      <c r="W4" s="2340"/>
      <c r="X4" s="2340"/>
      <c r="Y4" s="2340"/>
      <c r="Z4" s="2340"/>
    </row>
    <row r="5" spans="1:28" s="987" customFormat="1" ht="13.5" thickBot="1" x14ac:dyDescent="0.25">
      <c r="A5" s="870"/>
      <c r="B5" s="870"/>
      <c r="C5" s="870"/>
      <c r="D5" s="1490"/>
      <c r="E5" s="870"/>
      <c r="F5" s="1551"/>
      <c r="G5" s="1551"/>
      <c r="H5" s="1551"/>
      <c r="I5" s="1551"/>
      <c r="J5" s="1544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988"/>
      <c r="X5" s="1551"/>
      <c r="Y5" s="2341" t="s">
        <v>331</v>
      </c>
      <c r="Z5" s="2341"/>
    </row>
    <row r="6" spans="1:28" s="987" customFormat="1" ht="63" customHeight="1" thickBot="1" x14ac:dyDescent="0.25">
      <c r="A6" s="2342" t="s">
        <v>1</v>
      </c>
      <c r="B6" s="2345" t="s">
        <v>2</v>
      </c>
      <c r="C6" s="2345" t="s">
        <v>3</v>
      </c>
      <c r="D6" s="2505" t="s">
        <v>41</v>
      </c>
      <c r="E6" s="2348" t="s">
        <v>25</v>
      </c>
      <c r="F6" s="2351" t="s">
        <v>4</v>
      </c>
      <c r="G6" s="2525" t="s">
        <v>54</v>
      </c>
      <c r="H6" s="2376" t="s">
        <v>5</v>
      </c>
      <c r="I6" s="2376" t="s">
        <v>124</v>
      </c>
      <c r="J6" s="2268" t="s">
        <v>6</v>
      </c>
      <c r="K6" s="1274" t="s">
        <v>305</v>
      </c>
      <c r="L6" s="1274" t="s">
        <v>308</v>
      </c>
      <c r="M6" s="2508" t="s">
        <v>290</v>
      </c>
      <c r="N6" s="2509"/>
      <c r="O6" s="2509"/>
      <c r="P6" s="2510"/>
      <c r="Q6" s="2508" t="s">
        <v>174</v>
      </c>
      <c r="R6" s="2509"/>
      <c r="S6" s="2509"/>
      <c r="T6" s="2510"/>
      <c r="U6" s="2268" t="s">
        <v>175</v>
      </c>
      <c r="V6" s="2268" t="s">
        <v>175</v>
      </c>
      <c r="W6" s="2373" t="s">
        <v>167</v>
      </c>
      <c r="X6" s="2374"/>
      <c r="Y6" s="2374"/>
      <c r="Z6" s="2375"/>
    </row>
    <row r="7" spans="1:28" s="987" customFormat="1" ht="12.75" customHeight="1" x14ac:dyDescent="0.2">
      <c r="A7" s="2343"/>
      <c r="B7" s="2346"/>
      <c r="C7" s="2346"/>
      <c r="D7" s="2506"/>
      <c r="E7" s="2349"/>
      <c r="F7" s="2352"/>
      <c r="G7" s="2526"/>
      <c r="H7" s="2377"/>
      <c r="I7" s="2377"/>
      <c r="J7" s="2269"/>
      <c r="K7" s="2511" t="s">
        <v>7</v>
      </c>
      <c r="L7" s="2516" t="s">
        <v>7</v>
      </c>
      <c r="M7" s="2511" t="s">
        <v>7</v>
      </c>
      <c r="N7" s="2513" t="s">
        <v>8</v>
      </c>
      <c r="O7" s="2513"/>
      <c r="P7" s="2514" t="s">
        <v>26</v>
      </c>
      <c r="Q7" s="2520" t="s">
        <v>7</v>
      </c>
      <c r="R7" s="2522" t="s">
        <v>8</v>
      </c>
      <c r="S7" s="2522"/>
      <c r="T7" s="2523" t="s">
        <v>26</v>
      </c>
      <c r="U7" s="2269"/>
      <c r="V7" s="2269"/>
      <c r="W7" s="2354" t="s">
        <v>25</v>
      </c>
      <c r="X7" s="2356" t="s">
        <v>219</v>
      </c>
      <c r="Y7" s="2357"/>
      <c r="Z7" s="2358"/>
    </row>
    <row r="8" spans="1:28" s="987" customFormat="1" ht="99" customHeight="1" thickBot="1" x14ac:dyDescent="0.25">
      <c r="A8" s="2344"/>
      <c r="B8" s="2347"/>
      <c r="C8" s="2347"/>
      <c r="D8" s="2507"/>
      <c r="E8" s="2350"/>
      <c r="F8" s="2353"/>
      <c r="G8" s="2527"/>
      <c r="H8" s="2378"/>
      <c r="I8" s="2378"/>
      <c r="J8" s="2270"/>
      <c r="K8" s="2512"/>
      <c r="L8" s="2378"/>
      <c r="M8" s="2512"/>
      <c r="N8" s="1721" t="s">
        <v>7</v>
      </c>
      <c r="O8" s="1275" t="s">
        <v>27</v>
      </c>
      <c r="P8" s="2515"/>
      <c r="Q8" s="2521"/>
      <c r="R8" s="989" t="s">
        <v>7</v>
      </c>
      <c r="S8" s="990" t="s">
        <v>27</v>
      </c>
      <c r="T8" s="2524"/>
      <c r="U8" s="2270"/>
      <c r="V8" s="2270"/>
      <c r="W8" s="2355"/>
      <c r="X8" s="1276" t="s">
        <v>75</v>
      </c>
      <c r="Y8" s="1277" t="s">
        <v>176</v>
      </c>
      <c r="Z8" s="1278" t="s">
        <v>298</v>
      </c>
    </row>
    <row r="9" spans="1:28" x14ac:dyDescent="0.2">
      <c r="A9" s="2359" t="s">
        <v>30</v>
      </c>
      <c r="B9" s="2360"/>
      <c r="C9" s="2360"/>
      <c r="D9" s="2360"/>
      <c r="E9" s="2360"/>
      <c r="F9" s="2360"/>
      <c r="G9" s="2360"/>
      <c r="H9" s="2360"/>
      <c r="I9" s="2360"/>
      <c r="J9" s="2360"/>
      <c r="K9" s="2360"/>
      <c r="L9" s="2360"/>
      <c r="M9" s="2360"/>
      <c r="N9" s="2360"/>
      <c r="O9" s="2360"/>
      <c r="P9" s="2360"/>
      <c r="Q9" s="2360"/>
      <c r="R9" s="2360"/>
      <c r="S9" s="2360"/>
      <c r="T9" s="2360"/>
      <c r="U9" s="2360"/>
      <c r="V9" s="2360"/>
      <c r="W9" s="2360"/>
      <c r="X9" s="2360"/>
      <c r="Y9" s="2360"/>
      <c r="Z9" s="2361"/>
    </row>
    <row r="10" spans="1:28" ht="13.5" thickBot="1" x14ac:dyDescent="0.25">
      <c r="A10" s="2362" t="s">
        <v>34</v>
      </c>
      <c r="B10" s="2363"/>
      <c r="C10" s="2363"/>
      <c r="D10" s="2363"/>
      <c r="E10" s="2363"/>
      <c r="F10" s="2363"/>
      <c r="G10" s="2363"/>
      <c r="H10" s="2363"/>
      <c r="I10" s="2363"/>
      <c r="J10" s="2363"/>
      <c r="K10" s="2363"/>
      <c r="L10" s="2363"/>
      <c r="M10" s="2363"/>
      <c r="N10" s="2363"/>
      <c r="O10" s="2363"/>
      <c r="P10" s="2363"/>
      <c r="Q10" s="2363"/>
      <c r="R10" s="2363"/>
      <c r="S10" s="2363"/>
      <c r="T10" s="2363"/>
      <c r="U10" s="2363"/>
      <c r="V10" s="2363"/>
      <c r="W10" s="2363"/>
      <c r="X10" s="2363"/>
      <c r="Y10" s="2363"/>
      <c r="Z10" s="2364"/>
    </row>
    <row r="11" spans="1:28" ht="13.5" thickBot="1" x14ac:dyDescent="0.25">
      <c r="A11" s="991" t="s">
        <v>9</v>
      </c>
      <c r="B11" s="2365" t="s">
        <v>120</v>
      </c>
      <c r="C11" s="2365"/>
      <c r="D11" s="2365"/>
      <c r="E11" s="2365"/>
      <c r="F11" s="2365"/>
      <c r="G11" s="2365"/>
      <c r="H11" s="2365"/>
      <c r="I11" s="2365"/>
      <c r="J11" s="2365"/>
      <c r="K11" s="2365"/>
      <c r="L11" s="2365"/>
      <c r="M11" s="2365"/>
      <c r="N11" s="2365"/>
      <c r="O11" s="2365"/>
      <c r="P11" s="2365"/>
      <c r="Q11" s="2365"/>
      <c r="R11" s="2365"/>
      <c r="S11" s="2365"/>
      <c r="T11" s="2365"/>
      <c r="U11" s="2365"/>
      <c r="V11" s="2365"/>
      <c r="W11" s="2365"/>
      <c r="X11" s="2365"/>
      <c r="Y11" s="2365"/>
      <c r="Z11" s="2366"/>
    </row>
    <row r="12" spans="1:28" ht="13.5" thickBot="1" x14ac:dyDescent="0.25">
      <c r="A12" s="991" t="s">
        <v>9</v>
      </c>
      <c r="B12" s="992" t="s">
        <v>9</v>
      </c>
      <c r="C12" s="2367" t="s">
        <v>39</v>
      </c>
      <c r="D12" s="2367"/>
      <c r="E12" s="2367"/>
      <c r="F12" s="2367"/>
      <c r="G12" s="2367"/>
      <c r="H12" s="2367"/>
      <c r="I12" s="2367"/>
      <c r="J12" s="2367"/>
      <c r="K12" s="2367"/>
      <c r="L12" s="2367"/>
      <c r="M12" s="2367"/>
      <c r="N12" s="2367"/>
      <c r="O12" s="2367"/>
      <c r="P12" s="2367"/>
      <c r="Q12" s="2367"/>
      <c r="R12" s="2367"/>
      <c r="S12" s="2367"/>
      <c r="T12" s="2367"/>
      <c r="U12" s="2367"/>
      <c r="V12" s="2367"/>
      <c r="W12" s="2367"/>
      <c r="X12" s="2368"/>
      <c r="Y12" s="2368"/>
      <c r="Z12" s="2369"/>
    </row>
    <row r="13" spans="1:28" ht="29.25" customHeight="1" x14ac:dyDescent="0.2">
      <c r="A13" s="1315" t="s">
        <v>9</v>
      </c>
      <c r="B13" s="993" t="s">
        <v>9</v>
      </c>
      <c r="C13" s="994" t="s">
        <v>9</v>
      </c>
      <c r="D13" s="1491"/>
      <c r="E13" s="995" t="s">
        <v>43</v>
      </c>
      <c r="F13" s="996"/>
      <c r="G13" s="1272" t="s">
        <v>14</v>
      </c>
      <c r="H13" s="1548" t="s">
        <v>35</v>
      </c>
      <c r="I13" s="2499" t="s">
        <v>125</v>
      </c>
      <c r="J13" s="997"/>
      <c r="K13" s="1316"/>
      <c r="L13" s="1316"/>
      <c r="M13" s="998"/>
      <c r="N13" s="999"/>
      <c r="O13" s="999"/>
      <c r="P13" s="1000"/>
      <c r="Q13" s="1001"/>
      <c r="R13" s="1002"/>
      <c r="S13" s="1002"/>
      <c r="T13" s="1003"/>
      <c r="U13" s="872"/>
      <c r="V13" s="873"/>
      <c r="W13" s="1317" t="s">
        <v>315</v>
      </c>
      <c r="X13" s="1318">
        <v>5</v>
      </c>
      <c r="Y13" s="1004">
        <v>10</v>
      </c>
      <c r="Z13" s="1319">
        <v>15</v>
      </c>
    </row>
    <row r="14" spans="1:28" ht="27.75" customHeight="1" x14ac:dyDescent="0.2">
      <c r="A14" s="1005"/>
      <c r="B14" s="1006"/>
      <c r="C14" s="1007"/>
      <c r="D14" s="1492" t="s">
        <v>9</v>
      </c>
      <c r="E14" s="1320" t="s">
        <v>158</v>
      </c>
      <c r="F14" s="1292"/>
      <c r="G14" s="1008"/>
      <c r="H14" s="1009"/>
      <c r="I14" s="2500"/>
      <c r="J14" s="1010" t="s">
        <v>12</v>
      </c>
      <c r="K14" s="1284">
        <v>66613</v>
      </c>
      <c r="L14" s="1284">
        <v>66613</v>
      </c>
      <c r="M14" s="1705">
        <v>80000</v>
      </c>
      <c r="N14" s="1706">
        <v>80000</v>
      </c>
      <c r="O14" s="1706"/>
      <c r="P14" s="1707"/>
      <c r="Q14" s="984">
        <f>R14+T14</f>
        <v>0</v>
      </c>
      <c r="R14" s="985">
        <v>0</v>
      </c>
      <c r="S14" s="985"/>
      <c r="T14" s="986"/>
      <c r="U14" s="954">
        <v>150000</v>
      </c>
      <c r="V14" s="1702">
        <v>230000</v>
      </c>
      <c r="W14" s="1321" t="s">
        <v>220</v>
      </c>
      <c r="X14" s="1322">
        <v>5</v>
      </c>
      <c r="Y14" s="1323">
        <v>6</v>
      </c>
      <c r="Z14" s="1324">
        <v>5</v>
      </c>
    </row>
    <row r="15" spans="1:28" ht="57.75" customHeight="1" x14ac:dyDescent="0.2">
      <c r="A15" s="1005"/>
      <c r="B15" s="1006"/>
      <c r="C15" s="1007"/>
      <c r="D15" s="1493" t="s">
        <v>10</v>
      </c>
      <c r="E15" s="1011" t="s">
        <v>270</v>
      </c>
      <c r="F15" s="1292"/>
      <c r="G15" s="1008"/>
      <c r="H15" s="1009"/>
      <c r="I15" s="2500"/>
      <c r="J15" s="1010" t="s">
        <v>12</v>
      </c>
      <c r="K15" s="1284">
        <v>2896</v>
      </c>
      <c r="L15" s="1284">
        <v>2896</v>
      </c>
      <c r="M15" s="1705">
        <v>7000</v>
      </c>
      <c r="N15" s="982">
        <v>7000</v>
      </c>
      <c r="O15" s="982"/>
      <c r="P15" s="983"/>
      <c r="Q15" s="984">
        <f>R15+T15</f>
        <v>0</v>
      </c>
      <c r="R15" s="985">
        <v>0</v>
      </c>
      <c r="S15" s="985"/>
      <c r="T15" s="986"/>
      <c r="U15" s="913">
        <v>20000</v>
      </c>
      <c r="V15" s="1012">
        <v>44000</v>
      </c>
      <c r="W15" s="1325" t="s">
        <v>221</v>
      </c>
      <c r="X15" s="1326">
        <v>3</v>
      </c>
      <c r="Y15" s="1327">
        <v>8</v>
      </c>
      <c r="Z15" s="1328">
        <v>16</v>
      </c>
      <c r="AB15" s="1013"/>
    </row>
    <row r="16" spans="1:28" ht="38.25" x14ac:dyDescent="0.2">
      <c r="A16" s="1005"/>
      <c r="B16" s="1006"/>
      <c r="C16" s="1007"/>
      <c r="D16" s="1492" t="s">
        <v>11</v>
      </c>
      <c r="E16" s="1329" t="s">
        <v>271</v>
      </c>
      <c r="F16" s="1292"/>
      <c r="G16" s="1008"/>
      <c r="H16" s="1009"/>
      <c r="I16" s="2500"/>
      <c r="J16" s="1010" t="s">
        <v>12</v>
      </c>
      <c r="K16" s="1284">
        <v>11585</v>
      </c>
      <c r="L16" s="1284">
        <v>11585</v>
      </c>
      <c r="M16" s="1705">
        <v>14000</v>
      </c>
      <c r="N16" s="982">
        <v>14000</v>
      </c>
      <c r="O16" s="982"/>
      <c r="P16" s="983"/>
      <c r="Q16" s="984"/>
      <c r="R16" s="985"/>
      <c r="S16" s="985"/>
      <c r="T16" s="986"/>
      <c r="U16" s="913">
        <v>20000</v>
      </c>
      <c r="V16" s="1012">
        <v>43000</v>
      </c>
      <c r="W16" s="1325" t="s">
        <v>220</v>
      </c>
      <c r="X16" s="1326">
        <v>10</v>
      </c>
      <c r="Y16" s="1327">
        <v>13</v>
      </c>
      <c r="Z16" s="1328">
        <v>21</v>
      </c>
      <c r="AB16" s="1013"/>
    </row>
    <row r="17" spans="1:31" ht="38.25" x14ac:dyDescent="0.2">
      <c r="A17" s="1005"/>
      <c r="B17" s="1006"/>
      <c r="C17" s="1007"/>
      <c r="D17" s="1493" t="s">
        <v>13</v>
      </c>
      <c r="E17" s="1537" t="s">
        <v>205</v>
      </c>
      <c r="F17" s="1292"/>
      <c r="G17" s="1008"/>
      <c r="H17" s="1009"/>
      <c r="I17" s="2500"/>
      <c r="J17" s="906" t="s">
        <v>12</v>
      </c>
      <c r="K17" s="1301">
        <v>98471</v>
      </c>
      <c r="L17" s="1301">
        <v>92679</v>
      </c>
      <c r="M17" s="1014">
        <v>130000</v>
      </c>
      <c r="N17" s="1015">
        <v>130000</v>
      </c>
      <c r="O17" s="1268"/>
      <c r="P17" s="973"/>
      <c r="Q17" s="974">
        <f>R17+T17</f>
        <v>0</v>
      </c>
      <c r="R17" s="1016">
        <v>0</v>
      </c>
      <c r="S17" s="975"/>
      <c r="T17" s="976"/>
      <c r="U17" s="925">
        <v>220000</v>
      </c>
      <c r="V17" s="977">
        <v>370000</v>
      </c>
      <c r="W17" s="1325" t="s">
        <v>220</v>
      </c>
      <c r="X17" s="1330">
        <v>50</v>
      </c>
      <c r="Y17" s="1331">
        <v>80</v>
      </c>
      <c r="Z17" s="1332">
        <v>120</v>
      </c>
      <c r="AB17" s="1013"/>
    </row>
    <row r="18" spans="1:31" ht="16.5" customHeight="1" x14ac:dyDescent="0.2">
      <c r="A18" s="1005"/>
      <c r="B18" s="1006"/>
      <c r="C18" s="1007"/>
      <c r="D18" s="1334" t="s">
        <v>40</v>
      </c>
      <c r="E18" s="2382" t="s">
        <v>177</v>
      </c>
      <c r="F18" s="1292"/>
      <c r="G18" s="1008"/>
      <c r="H18" s="1009"/>
      <c r="I18" s="2500"/>
      <c r="J18" s="1010" t="s">
        <v>12</v>
      </c>
      <c r="K18" s="1284">
        <v>23170</v>
      </c>
      <c r="L18" s="1284">
        <v>28962</v>
      </c>
      <c r="M18" s="1017">
        <v>35000</v>
      </c>
      <c r="N18" s="1018">
        <v>35000</v>
      </c>
      <c r="O18" s="982"/>
      <c r="P18" s="983"/>
      <c r="Q18" s="984"/>
      <c r="R18" s="985"/>
      <c r="S18" s="985"/>
      <c r="T18" s="986"/>
      <c r="U18" s="913">
        <v>55000</v>
      </c>
      <c r="V18" s="1012">
        <v>75000</v>
      </c>
      <c r="W18" s="1325" t="s">
        <v>273</v>
      </c>
      <c r="X18" s="1333">
        <v>1</v>
      </c>
      <c r="Y18" s="1327">
        <v>1</v>
      </c>
      <c r="Z18" s="1328">
        <v>1</v>
      </c>
      <c r="AB18" s="1013"/>
    </row>
    <row r="19" spans="1:31" ht="28.5" customHeight="1" x14ac:dyDescent="0.2">
      <c r="A19" s="1005"/>
      <c r="B19" s="1006"/>
      <c r="C19" s="1007"/>
      <c r="D19" s="1492"/>
      <c r="E19" s="2383"/>
      <c r="F19" s="1292"/>
      <c r="G19" s="1008"/>
      <c r="H19" s="1009"/>
      <c r="I19" s="2500"/>
      <c r="J19" s="1090" t="s">
        <v>111</v>
      </c>
      <c r="K19" s="1031">
        <v>134413</v>
      </c>
      <c r="L19" s="977">
        <v>145542</v>
      </c>
      <c r="M19" s="1113">
        <v>145600</v>
      </c>
      <c r="N19" s="1015">
        <v>145600</v>
      </c>
      <c r="O19" s="1031"/>
      <c r="P19" s="926"/>
      <c r="Q19" s="974"/>
      <c r="R19" s="974"/>
      <c r="S19" s="974"/>
      <c r="T19" s="980"/>
      <c r="U19" s="925">
        <v>180000</v>
      </c>
      <c r="V19" s="977">
        <v>200000</v>
      </c>
      <c r="W19" s="1039" t="s">
        <v>272</v>
      </c>
      <c r="X19" s="1330">
        <v>4</v>
      </c>
      <c r="Y19" s="1331">
        <v>7</v>
      </c>
      <c r="Z19" s="1332">
        <v>11</v>
      </c>
      <c r="AB19" s="1013"/>
    </row>
    <row r="20" spans="1:31" ht="27.75" customHeight="1" x14ac:dyDescent="0.2">
      <c r="A20" s="1005"/>
      <c r="B20" s="1006"/>
      <c r="C20" s="1007"/>
      <c r="D20" s="1334" t="s">
        <v>56</v>
      </c>
      <c r="E20" s="2382" t="s">
        <v>274</v>
      </c>
      <c r="F20" s="1292"/>
      <c r="G20" s="1008"/>
      <c r="H20" s="1009"/>
      <c r="I20" s="2500"/>
      <c r="J20" s="1090" t="s">
        <v>12</v>
      </c>
      <c r="K20" s="1301"/>
      <c r="L20" s="920"/>
      <c r="M20" s="1113">
        <v>28000</v>
      </c>
      <c r="N20" s="1015">
        <v>28000</v>
      </c>
      <c r="O20" s="1031"/>
      <c r="P20" s="926"/>
      <c r="Q20" s="974"/>
      <c r="R20" s="974"/>
      <c r="S20" s="974"/>
      <c r="T20" s="980"/>
      <c r="U20" s="925">
        <v>100000</v>
      </c>
      <c r="V20" s="977">
        <v>147000</v>
      </c>
      <c r="W20" s="2385" t="s">
        <v>220</v>
      </c>
      <c r="X20" s="1335">
        <v>6</v>
      </c>
      <c r="Y20" s="1270">
        <v>20</v>
      </c>
      <c r="Z20" s="1336">
        <v>29</v>
      </c>
      <c r="AB20" s="1013"/>
    </row>
    <row r="21" spans="1:31" ht="13.5" thickBot="1" x14ac:dyDescent="0.25">
      <c r="A21" s="1005"/>
      <c r="B21" s="1006"/>
      <c r="C21" s="1007"/>
      <c r="D21" s="1494"/>
      <c r="E21" s="2384"/>
      <c r="F21" s="1337"/>
      <c r="G21" s="1293"/>
      <c r="H21" s="1294"/>
      <c r="I21" s="2519"/>
      <c r="J21" s="1338" t="s">
        <v>16</v>
      </c>
      <c r="K21" s="1019">
        <f>SUM(K14:K19)</f>
        <v>337148</v>
      </c>
      <c r="L21" s="1717">
        <f>SUM(L14:L20)</f>
        <v>348277</v>
      </c>
      <c r="M21" s="1716">
        <f>SUM(M14:M20)</f>
        <v>439600</v>
      </c>
      <c r="N21" s="1281">
        <f>SUM(N14:N20)</f>
        <v>439600</v>
      </c>
      <c r="O21" s="1019"/>
      <c r="P21" s="1718"/>
      <c r="Q21" s="1019">
        <f>SUM(Q14:Q18)</f>
        <v>0</v>
      </c>
      <c r="R21" s="1019">
        <f>SUM(R14:R18)</f>
        <v>0</v>
      </c>
      <c r="S21" s="1019">
        <f>SUM(S14:S18)</f>
        <v>0</v>
      </c>
      <c r="T21" s="1717">
        <f>SUM(T14:T18)</f>
        <v>0</v>
      </c>
      <c r="U21" s="884">
        <f>SUM(U14:U20)</f>
        <v>745000</v>
      </c>
      <c r="V21" s="1019">
        <f>SUM(V14:V20)</f>
        <v>1109000</v>
      </c>
      <c r="W21" s="2386"/>
      <c r="X21" s="1339"/>
      <c r="Y21" s="1289"/>
      <c r="Z21" s="1340"/>
      <c r="AB21" s="1013"/>
    </row>
    <row r="22" spans="1:31" ht="18" customHeight="1" x14ac:dyDescent="0.2">
      <c r="A22" s="1315" t="s">
        <v>9</v>
      </c>
      <c r="B22" s="993" t="s">
        <v>9</v>
      </c>
      <c r="C22" s="994" t="s">
        <v>10</v>
      </c>
      <c r="D22" s="1495"/>
      <c r="E22" s="2387" t="s">
        <v>77</v>
      </c>
      <c r="F22" s="2388"/>
      <c r="G22" s="2517" t="s">
        <v>14</v>
      </c>
      <c r="H22" s="2390" t="s">
        <v>35</v>
      </c>
      <c r="I22" s="2499" t="s">
        <v>125</v>
      </c>
      <c r="J22" s="1341" t="s">
        <v>12</v>
      </c>
      <c r="K22" s="1316">
        <v>144810</v>
      </c>
      <c r="L22" s="1357">
        <v>144810</v>
      </c>
      <c r="M22" s="1342">
        <v>140000</v>
      </c>
      <c r="N22" s="1710">
        <v>140000</v>
      </c>
      <c r="O22" s="999"/>
      <c r="P22" s="1000"/>
      <c r="Q22" s="1001">
        <f>R22+T22</f>
        <v>0</v>
      </c>
      <c r="R22" s="1002">
        <v>0</v>
      </c>
      <c r="S22" s="1002"/>
      <c r="T22" s="1003"/>
      <c r="U22" s="872">
        <v>160000</v>
      </c>
      <c r="V22" s="873">
        <v>200000</v>
      </c>
      <c r="W22" s="1291" t="s">
        <v>222</v>
      </c>
      <c r="X22" s="1547">
        <v>4</v>
      </c>
      <c r="Y22" s="1021">
        <v>4</v>
      </c>
      <c r="Z22" s="1022">
        <v>5</v>
      </c>
    </row>
    <row r="23" spans="1:31" ht="13.5" thickBot="1" x14ac:dyDescent="0.25">
      <c r="A23" s="1005"/>
      <c r="B23" s="1006"/>
      <c r="C23" s="1007"/>
      <c r="D23" s="1496"/>
      <c r="E23" s="2384"/>
      <c r="F23" s="2389"/>
      <c r="G23" s="2341"/>
      <c r="H23" s="2391"/>
      <c r="I23" s="2519"/>
      <c r="J23" s="1338" t="s">
        <v>16</v>
      </c>
      <c r="K23" s="1019">
        <f>SUM(K22)</f>
        <v>144810</v>
      </c>
      <c r="L23" s="1717">
        <f>SUM(L22)</f>
        <v>144810</v>
      </c>
      <c r="M23" s="1716">
        <f>N23+P23</f>
        <v>140000</v>
      </c>
      <c r="N23" s="1281">
        <f>SUM(N22:N22)</f>
        <v>140000</v>
      </c>
      <c r="O23" s="1281"/>
      <c r="P23" s="1282"/>
      <c r="Q23" s="1019">
        <f>R23+T23</f>
        <v>0</v>
      </c>
      <c r="R23" s="1281">
        <f>SUM(R22:R22)</f>
        <v>0</v>
      </c>
      <c r="S23" s="1281"/>
      <c r="T23" s="1020"/>
      <c r="U23" s="884">
        <f>SUM(U22:U22)</f>
        <v>160000</v>
      </c>
      <c r="V23" s="1717">
        <f>SUM(V22:V22)</f>
        <v>200000</v>
      </c>
      <c r="W23" s="1343"/>
      <c r="X23" s="1344"/>
      <c r="Y23" s="1289"/>
      <c r="Z23" s="1345"/>
      <c r="AB23" s="1013"/>
    </row>
    <row r="24" spans="1:31" ht="17.25" customHeight="1" x14ac:dyDescent="0.2">
      <c r="A24" s="1315" t="s">
        <v>9</v>
      </c>
      <c r="B24" s="993" t="s">
        <v>9</v>
      </c>
      <c r="C24" s="994" t="s">
        <v>11</v>
      </c>
      <c r="D24" s="1495"/>
      <c r="E24" s="2405" t="s">
        <v>288</v>
      </c>
      <c r="F24" s="2388"/>
      <c r="G24" s="2517" t="s">
        <v>14</v>
      </c>
      <c r="H24" s="2390" t="s">
        <v>35</v>
      </c>
      <c r="I24" s="2499" t="s">
        <v>125</v>
      </c>
      <c r="J24" s="1341" t="s">
        <v>12</v>
      </c>
      <c r="K24" s="1316">
        <v>9036</v>
      </c>
      <c r="L24" s="1357">
        <v>9037</v>
      </c>
      <c r="M24" s="1346">
        <v>46000</v>
      </c>
      <c r="N24" s="999">
        <v>46000</v>
      </c>
      <c r="O24" s="999"/>
      <c r="P24" s="1000"/>
      <c r="Q24" s="1001">
        <f>R24+T24</f>
        <v>0</v>
      </c>
      <c r="R24" s="1002">
        <v>0</v>
      </c>
      <c r="S24" s="1002"/>
      <c r="T24" s="1003"/>
      <c r="U24" s="901">
        <v>80000</v>
      </c>
      <c r="V24" s="1605">
        <v>140000</v>
      </c>
      <c r="W24" s="2409" t="s">
        <v>275</v>
      </c>
      <c r="X24" s="1122">
        <v>4</v>
      </c>
      <c r="Y24" s="1021">
        <v>5</v>
      </c>
      <c r="Z24" s="1272">
        <v>11</v>
      </c>
      <c r="AB24" s="1480"/>
      <c r="AC24" s="656"/>
      <c r="AD24" s="656"/>
      <c r="AE24" s="656"/>
    </row>
    <row r="25" spans="1:31" ht="17.25" customHeight="1" x14ac:dyDescent="0.2">
      <c r="A25" s="1005"/>
      <c r="B25" s="1006"/>
      <c r="C25" s="1007"/>
      <c r="D25" s="1603"/>
      <c r="E25" s="2379"/>
      <c r="F25" s="2407"/>
      <c r="G25" s="2518"/>
      <c r="H25" s="2408"/>
      <c r="I25" s="2500"/>
      <c r="J25" s="1010" t="s">
        <v>12</v>
      </c>
      <c r="K25" s="1489">
        <v>11585</v>
      </c>
      <c r="L25" s="1226">
        <v>11584</v>
      </c>
      <c r="M25" s="1168"/>
      <c r="N25" s="982"/>
      <c r="O25" s="982"/>
      <c r="P25" s="983"/>
      <c r="Q25" s="984"/>
      <c r="R25" s="985"/>
      <c r="S25" s="985"/>
      <c r="T25" s="986"/>
      <c r="U25" s="903"/>
      <c r="V25" s="1112"/>
      <c r="W25" s="2410"/>
      <c r="X25" s="1604"/>
      <c r="Y25" s="1108"/>
      <c r="Z25" s="1273"/>
      <c r="AB25" s="1480"/>
      <c r="AC25" s="656"/>
      <c r="AD25" s="656"/>
      <c r="AE25" s="656"/>
    </row>
    <row r="26" spans="1:31" ht="42.75" customHeight="1" thickBot="1" x14ac:dyDescent="0.25">
      <c r="A26" s="1519"/>
      <c r="B26" s="1520"/>
      <c r="C26" s="1521"/>
      <c r="D26" s="1496"/>
      <c r="E26" s="2406"/>
      <c r="F26" s="2389"/>
      <c r="G26" s="2341"/>
      <c r="H26" s="2391"/>
      <c r="I26" s="2519"/>
      <c r="J26" s="1338" t="s">
        <v>16</v>
      </c>
      <c r="K26" s="1019">
        <f>SUM(K24:K25)</f>
        <v>20621</v>
      </c>
      <c r="L26" s="1717">
        <f>SUM(L24:L25)</f>
        <v>20621</v>
      </c>
      <c r="M26" s="1716">
        <f>N26+P26</f>
        <v>46000</v>
      </c>
      <c r="N26" s="1281">
        <f>SUM(N24:N24)</f>
        <v>46000</v>
      </c>
      <c r="O26" s="1281"/>
      <c r="P26" s="1282"/>
      <c r="Q26" s="1019">
        <f>R26+T26</f>
        <v>0</v>
      </c>
      <c r="R26" s="1281">
        <f>SUM(R24:R24)</f>
        <v>0</v>
      </c>
      <c r="S26" s="1281"/>
      <c r="T26" s="1020"/>
      <c r="U26" s="884">
        <f>SUM(U24:U24)</f>
        <v>80000</v>
      </c>
      <c r="V26" s="1717">
        <f>SUM(V24:V24)</f>
        <v>140000</v>
      </c>
      <c r="W26" s="1481" t="s">
        <v>347</v>
      </c>
      <c r="X26" s="1522">
        <v>4</v>
      </c>
      <c r="Y26" s="1523">
        <v>8</v>
      </c>
      <c r="Z26" s="1524">
        <v>12</v>
      </c>
      <c r="AB26" s="1480"/>
      <c r="AC26" s="656"/>
      <c r="AD26" s="656"/>
      <c r="AE26" s="656"/>
    </row>
    <row r="27" spans="1:31" ht="30.75" customHeight="1" x14ac:dyDescent="0.2">
      <c r="A27" s="1830" t="s">
        <v>9</v>
      </c>
      <c r="B27" s="993" t="s">
        <v>9</v>
      </c>
      <c r="C27" s="994" t="s">
        <v>13</v>
      </c>
      <c r="D27" s="1629"/>
      <c r="E27" s="1630" t="s">
        <v>119</v>
      </c>
      <c r="F27" s="996"/>
      <c r="G27" s="2010" t="s">
        <v>14</v>
      </c>
      <c r="H27" s="1831" t="s">
        <v>35</v>
      </c>
      <c r="I27" s="2001" t="s">
        <v>125</v>
      </c>
      <c r="J27" s="1631"/>
      <c r="K27" s="1347"/>
      <c r="L27" s="1356"/>
      <c r="M27" s="1066"/>
      <c r="N27" s="1023"/>
      <c r="O27" s="1023"/>
      <c r="P27" s="1024"/>
      <c r="Q27" s="1025"/>
      <c r="R27" s="1026"/>
      <c r="S27" s="1026"/>
      <c r="T27" s="1027"/>
      <c r="U27" s="886"/>
      <c r="V27" s="1028"/>
      <c r="W27" s="1632"/>
      <c r="X27" s="1633"/>
      <c r="Y27" s="1634"/>
      <c r="Z27" s="1635"/>
    </row>
    <row r="28" spans="1:31" ht="28.5" customHeight="1" x14ac:dyDescent="0.2">
      <c r="A28" s="1005"/>
      <c r="B28" s="1006"/>
      <c r="C28" s="1007"/>
      <c r="D28" s="1498" t="s">
        <v>9</v>
      </c>
      <c r="E28" s="2379" t="s">
        <v>178</v>
      </c>
      <c r="F28" s="1292"/>
      <c r="G28" s="1348"/>
      <c r="H28" s="1349"/>
      <c r="I28" s="1036"/>
      <c r="J28" s="1350" t="s">
        <v>12</v>
      </c>
      <c r="K28" s="1351">
        <v>26935</v>
      </c>
      <c r="L28" s="2490">
        <v>121061</v>
      </c>
      <c r="M28" s="893">
        <v>25600</v>
      </c>
      <c r="N28" s="1037">
        <v>25600</v>
      </c>
      <c r="O28" s="1037"/>
      <c r="P28" s="1723"/>
      <c r="Q28" s="1352">
        <f>R28+T28</f>
        <v>0</v>
      </c>
      <c r="R28" s="1038">
        <v>0</v>
      </c>
      <c r="S28" s="1038"/>
      <c r="T28" s="1353"/>
      <c r="U28" s="894">
        <v>35000</v>
      </c>
      <c r="V28" s="1704">
        <v>43000</v>
      </c>
      <c r="W28" s="1619" t="s">
        <v>121</v>
      </c>
      <c r="X28" s="1354" t="s">
        <v>49</v>
      </c>
      <c r="Y28" s="1620" t="s">
        <v>49</v>
      </c>
      <c r="Z28" s="1355" t="s">
        <v>49</v>
      </c>
    </row>
    <row r="29" spans="1:31" ht="28.5" customHeight="1" x14ac:dyDescent="0.2">
      <c r="A29" s="1005"/>
      <c r="B29" s="1006"/>
      <c r="C29" s="1007"/>
      <c r="D29" s="1498"/>
      <c r="E29" s="2379"/>
      <c r="F29" s="1292"/>
      <c r="G29" s="1348"/>
      <c r="H29" s="1349"/>
      <c r="I29" s="1036"/>
      <c r="J29" s="1350"/>
      <c r="K29" s="1351"/>
      <c r="L29" s="2490"/>
      <c r="M29" s="893"/>
      <c r="N29" s="1037"/>
      <c r="O29" s="1037"/>
      <c r="P29" s="1723"/>
      <c r="Q29" s="1352"/>
      <c r="R29" s="1038"/>
      <c r="S29" s="1038"/>
      <c r="T29" s="1353"/>
      <c r="U29" s="894"/>
      <c r="V29" s="1704"/>
      <c r="W29" s="1536" t="s">
        <v>249</v>
      </c>
      <c r="X29" s="1354">
        <v>5</v>
      </c>
      <c r="Y29" s="1550">
        <v>7</v>
      </c>
      <c r="Z29" s="1355" t="s">
        <v>179</v>
      </c>
    </row>
    <row r="30" spans="1:31" ht="30.75" customHeight="1" x14ac:dyDescent="0.2">
      <c r="A30" s="1005"/>
      <c r="B30" s="1006"/>
      <c r="C30" s="1007"/>
      <c r="D30" s="1498"/>
      <c r="E30" s="1030"/>
      <c r="F30" s="1292"/>
      <c r="G30" s="1348"/>
      <c r="H30" s="1349"/>
      <c r="I30" s="1036"/>
      <c r="J30" s="894"/>
      <c r="K30" s="1351"/>
      <c r="L30" s="2490"/>
      <c r="M30" s="893"/>
      <c r="N30" s="1037"/>
      <c r="O30" s="1037"/>
      <c r="P30" s="1723"/>
      <c r="Q30" s="1352"/>
      <c r="R30" s="1038"/>
      <c r="S30" s="1038"/>
      <c r="T30" s="1353"/>
      <c r="U30" s="894"/>
      <c r="V30" s="1109"/>
      <c r="W30" s="1170" t="s">
        <v>348</v>
      </c>
      <c r="X30" s="1040">
        <v>9</v>
      </c>
      <c r="Y30" s="1034">
        <v>10</v>
      </c>
      <c r="Z30" s="983">
        <v>10</v>
      </c>
    </row>
    <row r="31" spans="1:31" ht="54" customHeight="1" x14ac:dyDescent="0.2">
      <c r="A31" s="1005"/>
      <c r="B31" s="1006"/>
      <c r="C31" s="1007"/>
      <c r="D31" s="1525" t="s">
        <v>10</v>
      </c>
      <c r="E31" s="1329" t="s">
        <v>276</v>
      </c>
      <c r="F31" s="2011"/>
      <c r="G31" s="2012"/>
      <c r="H31" s="2013"/>
      <c r="I31" s="1036"/>
      <c r="J31" s="1116" t="s">
        <v>12</v>
      </c>
      <c r="K31" s="1301">
        <v>94126</v>
      </c>
      <c r="L31" s="2491"/>
      <c r="M31" s="1113">
        <v>195600</v>
      </c>
      <c r="N31" s="1018">
        <v>195600</v>
      </c>
      <c r="O31" s="1015"/>
      <c r="P31" s="1724"/>
      <c r="Q31" s="974">
        <f>R31+T31</f>
        <v>0</v>
      </c>
      <c r="R31" s="975">
        <v>0</v>
      </c>
      <c r="S31" s="975"/>
      <c r="T31" s="976"/>
      <c r="U31" s="1121">
        <v>200000</v>
      </c>
      <c r="V31" s="1528">
        <v>390000</v>
      </c>
      <c r="W31" s="1591" t="s">
        <v>277</v>
      </c>
      <c r="X31" s="972">
        <v>11</v>
      </c>
      <c r="Y31" s="1268">
        <v>11</v>
      </c>
      <c r="Z31" s="973">
        <v>22</v>
      </c>
      <c r="AD31" s="1013"/>
      <c r="AE31" s="1013"/>
    </row>
    <row r="32" spans="1:31" ht="30" customHeight="1" thickBot="1" x14ac:dyDescent="0.25">
      <c r="A32" s="1047"/>
      <c r="B32" s="992"/>
      <c r="C32" s="1048"/>
      <c r="D32" s="1499"/>
      <c r="E32" s="1049"/>
      <c r="F32" s="1050"/>
      <c r="G32" s="1051"/>
      <c r="H32" s="1052"/>
      <c r="I32" s="1053"/>
      <c r="J32" s="897" t="s">
        <v>16</v>
      </c>
      <c r="K32" s="1019">
        <f t="shared" ref="K32:V32" si="0">SUM(K28:K31)</f>
        <v>121061</v>
      </c>
      <c r="L32" s="1019">
        <f t="shared" si="0"/>
        <v>121061</v>
      </c>
      <c r="M32" s="1280">
        <f t="shared" si="0"/>
        <v>221200</v>
      </c>
      <c r="N32" s="1019">
        <f t="shared" si="0"/>
        <v>221200</v>
      </c>
      <c r="O32" s="1019">
        <f t="shared" si="0"/>
        <v>0</v>
      </c>
      <c r="P32" s="1718">
        <f t="shared" si="0"/>
        <v>0</v>
      </c>
      <c r="Q32" s="1019">
        <f t="shared" si="0"/>
        <v>0</v>
      </c>
      <c r="R32" s="1019">
        <f t="shared" si="0"/>
        <v>0</v>
      </c>
      <c r="S32" s="1019">
        <f t="shared" si="0"/>
        <v>0</v>
      </c>
      <c r="T32" s="1717">
        <f t="shared" si="0"/>
        <v>0</v>
      </c>
      <c r="U32" s="884">
        <f t="shared" si="0"/>
        <v>235000</v>
      </c>
      <c r="V32" s="1019">
        <f t="shared" si="0"/>
        <v>433000</v>
      </c>
      <c r="W32" s="1529" t="s">
        <v>278</v>
      </c>
      <c r="X32" s="1530" t="s">
        <v>42</v>
      </c>
      <c r="Y32" s="1531" t="s">
        <v>42</v>
      </c>
      <c r="Z32" s="1054" t="s">
        <v>42</v>
      </c>
      <c r="AB32" s="1013"/>
    </row>
    <row r="33" spans="1:32" ht="13.5" thickBot="1" x14ac:dyDescent="0.25">
      <c r="A33" s="1055" t="s">
        <v>9</v>
      </c>
      <c r="B33" s="1056" t="s">
        <v>9</v>
      </c>
      <c r="C33" s="2392" t="s">
        <v>15</v>
      </c>
      <c r="D33" s="2393"/>
      <c r="E33" s="2393"/>
      <c r="F33" s="2393"/>
      <c r="G33" s="2393"/>
      <c r="H33" s="2394"/>
      <c r="I33" s="2394"/>
      <c r="J33" s="2395"/>
      <c r="K33" s="898">
        <f>K32+K26+K23+K21</f>
        <v>623640</v>
      </c>
      <c r="L33" s="1060">
        <f>L32+L26+L23+L21</f>
        <v>634769</v>
      </c>
      <c r="M33" s="1057">
        <f>M32+M26+M23+M21</f>
        <v>846800</v>
      </c>
      <c r="N33" s="898">
        <f t="shared" ref="N33:V33" si="1">N32+N26+N23+N21</f>
        <v>846800</v>
      </c>
      <c r="O33" s="1058">
        <f t="shared" si="1"/>
        <v>0</v>
      </c>
      <c r="P33" s="1059">
        <f t="shared" si="1"/>
        <v>0</v>
      </c>
      <c r="Q33" s="898">
        <f t="shared" si="1"/>
        <v>0</v>
      </c>
      <c r="R33" s="1058">
        <f t="shared" si="1"/>
        <v>0</v>
      </c>
      <c r="S33" s="898">
        <f t="shared" si="1"/>
        <v>0</v>
      </c>
      <c r="T33" s="1283">
        <f t="shared" si="1"/>
        <v>0</v>
      </c>
      <c r="U33" s="899">
        <f t="shared" si="1"/>
        <v>1220000</v>
      </c>
      <c r="V33" s="898">
        <f t="shared" si="1"/>
        <v>1882000</v>
      </c>
      <c r="W33" s="2396"/>
      <c r="X33" s="2397"/>
      <c r="Y33" s="2397"/>
      <c r="Z33" s="2398"/>
    </row>
    <row r="34" spans="1:32" ht="13.5" thickBot="1" x14ac:dyDescent="0.25">
      <c r="A34" s="1061" t="s">
        <v>9</v>
      </c>
      <c r="B34" s="1062" t="s">
        <v>10</v>
      </c>
      <c r="C34" s="2399" t="s">
        <v>92</v>
      </c>
      <c r="D34" s="2400"/>
      <c r="E34" s="2400"/>
      <c r="F34" s="2400"/>
      <c r="G34" s="2400"/>
      <c r="H34" s="2400"/>
      <c r="I34" s="2400"/>
      <c r="J34" s="2401"/>
      <c r="K34" s="2401"/>
      <c r="L34" s="2401"/>
      <c r="M34" s="2401"/>
      <c r="N34" s="2401"/>
      <c r="O34" s="2401"/>
      <c r="P34" s="2401"/>
      <c r="Q34" s="2401"/>
      <c r="R34" s="2401"/>
      <c r="S34" s="2401"/>
      <c r="T34" s="2401"/>
      <c r="U34" s="2401"/>
      <c r="V34" s="2401"/>
      <c r="W34" s="2401"/>
      <c r="X34" s="2401"/>
      <c r="Y34" s="2401"/>
      <c r="Z34" s="2402"/>
    </row>
    <row r="35" spans="1:32" ht="12.75" customHeight="1" x14ac:dyDescent="0.2">
      <c r="A35" s="1061" t="s">
        <v>9</v>
      </c>
      <c r="B35" s="1062" t="s">
        <v>10</v>
      </c>
      <c r="C35" s="994" t="s">
        <v>9</v>
      </c>
      <c r="D35" s="1491"/>
      <c r="E35" s="2403" t="s">
        <v>66</v>
      </c>
      <c r="F35" s="1063"/>
      <c r="G35" s="1064" t="s">
        <v>14</v>
      </c>
      <c r="H35" s="1647">
        <v>2</v>
      </c>
      <c r="I35" s="2499" t="s">
        <v>125</v>
      </c>
      <c r="J35" s="1065"/>
      <c r="K35" s="1356"/>
      <c r="L35" s="1588"/>
      <c r="M35" s="1066"/>
      <c r="N35" s="1023"/>
      <c r="O35" s="1028"/>
      <c r="P35" s="1067"/>
      <c r="Q35" s="1068"/>
      <c r="R35" s="1069"/>
      <c r="S35" s="1026"/>
      <c r="T35" s="1070"/>
      <c r="U35" s="1066"/>
      <c r="V35" s="886"/>
      <c r="W35" s="1071"/>
      <c r="X35" s="1072"/>
      <c r="Y35" s="1073"/>
      <c r="Z35" s="1074"/>
    </row>
    <row r="36" spans="1:32" x14ac:dyDescent="0.2">
      <c r="A36" s="1075"/>
      <c r="B36" s="1032"/>
      <c r="C36" s="1007"/>
      <c r="D36" s="1500"/>
      <c r="E36" s="2498"/>
      <c r="F36" s="1037"/>
      <c r="G36" s="1076"/>
      <c r="H36" s="1009"/>
      <c r="I36" s="2500"/>
      <c r="J36" s="1077"/>
      <c r="K36" s="920"/>
      <c r="L36" s="1724"/>
      <c r="M36" s="1078"/>
      <c r="N36" s="982"/>
      <c r="O36" s="977"/>
      <c r="P36" s="1033"/>
      <c r="Q36" s="919"/>
      <c r="R36" s="975"/>
      <c r="S36" s="980"/>
      <c r="T36" s="1079"/>
      <c r="U36" s="1078"/>
      <c r="V36" s="925"/>
      <c r="W36" s="1649" t="s">
        <v>48</v>
      </c>
      <c r="X36" s="1080">
        <v>145</v>
      </c>
      <c r="Y36" s="1641">
        <v>156</v>
      </c>
      <c r="Z36" s="1081">
        <v>160</v>
      </c>
      <c r="AA36" s="1013"/>
    </row>
    <row r="37" spans="1:32" ht="12.75" customHeight="1" x14ac:dyDescent="0.2">
      <c r="A37" s="1075"/>
      <c r="B37" s="1032"/>
      <c r="C37" s="1007"/>
      <c r="D37" s="1334" t="s">
        <v>9</v>
      </c>
      <c r="E37" s="2380" t="s">
        <v>306</v>
      </c>
      <c r="F37" s="1030"/>
      <c r="G37" s="1076"/>
      <c r="H37" s="1009"/>
      <c r="I37" s="2500"/>
      <c r="J37" s="954" t="s">
        <v>12</v>
      </c>
      <c r="K37" s="1489">
        <v>410739</v>
      </c>
      <c r="L37" s="1707">
        <v>2700253</v>
      </c>
      <c r="M37" s="1892">
        <v>439100</v>
      </c>
      <c r="N37" s="1018">
        <v>439100</v>
      </c>
      <c r="O37" s="1018">
        <v>239400</v>
      </c>
      <c r="P37" s="1893"/>
      <c r="Q37" s="1017">
        <f>R37+T37</f>
        <v>0</v>
      </c>
      <c r="R37" s="1018">
        <v>0</v>
      </c>
      <c r="S37" s="1018">
        <v>0</v>
      </c>
      <c r="T37" s="1226"/>
      <c r="U37" s="1941">
        <v>489100</v>
      </c>
      <c r="V37" s="1894">
        <v>525100</v>
      </c>
      <c r="W37" s="1650" t="s">
        <v>46</v>
      </c>
      <c r="X37" s="972">
        <v>24</v>
      </c>
      <c r="Y37" s="1268">
        <v>25</v>
      </c>
      <c r="Z37" s="1081">
        <v>26</v>
      </c>
    </row>
    <row r="38" spans="1:32" ht="28.5" customHeight="1" x14ac:dyDescent="0.2">
      <c r="A38" s="1075"/>
      <c r="B38" s="1032"/>
      <c r="C38" s="1007"/>
      <c r="D38" s="1501"/>
      <c r="E38" s="2379"/>
      <c r="F38" s="1030"/>
      <c r="G38" s="1076"/>
      <c r="H38" s="1009"/>
      <c r="I38" s="2500"/>
      <c r="J38" s="954" t="s">
        <v>28</v>
      </c>
      <c r="K38" s="1489">
        <v>102235</v>
      </c>
      <c r="L38" s="1114">
        <v>379148</v>
      </c>
      <c r="M38" s="1113">
        <v>102200</v>
      </c>
      <c r="N38" s="1018">
        <v>102200</v>
      </c>
      <c r="O38" s="1015"/>
      <c r="P38" s="1895"/>
      <c r="Q38" s="1017">
        <f>R38+T38</f>
        <v>0</v>
      </c>
      <c r="R38" s="1018">
        <v>0</v>
      </c>
      <c r="S38" s="1018"/>
      <c r="T38" s="1226"/>
      <c r="U38" s="1942">
        <v>102200</v>
      </c>
      <c r="V38" s="1896">
        <v>102200</v>
      </c>
      <c r="W38" s="1650" t="s">
        <v>47</v>
      </c>
      <c r="X38" s="972">
        <v>5</v>
      </c>
      <c r="Y38" s="1268">
        <v>6</v>
      </c>
      <c r="Z38" s="1081">
        <v>7</v>
      </c>
      <c r="AA38" s="1013"/>
      <c r="AB38" s="1013"/>
      <c r="AC38" s="1013"/>
      <c r="AE38" s="1013"/>
    </row>
    <row r="39" spans="1:32" ht="17.25" customHeight="1" x14ac:dyDescent="0.2">
      <c r="A39" s="1075"/>
      <c r="B39" s="1032"/>
      <c r="C39" s="1084"/>
      <c r="D39" s="1501"/>
      <c r="E39" s="2379"/>
      <c r="F39" s="1030"/>
      <c r="G39" s="1076"/>
      <c r="H39" s="1009"/>
      <c r="I39" s="2500"/>
      <c r="J39" s="954" t="s">
        <v>301</v>
      </c>
      <c r="K39" s="920">
        <v>18248</v>
      </c>
      <c r="L39" s="1722">
        <v>90887</v>
      </c>
      <c r="M39" s="1897"/>
      <c r="N39" s="1898"/>
      <c r="O39" s="1898"/>
      <c r="P39" s="1899"/>
      <c r="Q39" s="1900"/>
      <c r="R39" s="1901"/>
      <c r="S39" s="1901"/>
      <c r="T39" s="1902"/>
      <c r="U39" s="1943"/>
      <c r="V39" s="1903"/>
      <c r="W39" s="2417" t="s">
        <v>180</v>
      </c>
      <c r="X39" s="972">
        <v>310</v>
      </c>
      <c r="Y39" s="1268">
        <v>330</v>
      </c>
      <c r="Z39" s="1081">
        <v>350</v>
      </c>
      <c r="AA39" s="1013"/>
    </row>
    <row r="40" spans="1:32" ht="17.25" customHeight="1" thickBot="1" x14ac:dyDescent="0.25">
      <c r="A40" s="1075"/>
      <c r="B40" s="1032"/>
      <c r="C40" s="1084"/>
      <c r="D40" s="1501"/>
      <c r="E40" s="2381"/>
      <c r="F40" s="1030"/>
      <c r="G40" s="1076"/>
      <c r="H40" s="1009"/>
      <c r="I40" s="1639"/>
      <c r="J40" s="940" t="s">
        <v>307</v>
      </c>
      <c r="K40" s="1590"/>
      <c r="L40" s="2492">
        <f>60903+13120</f>
        <v>74023</v>
      </c>
      <c r="M40" s="1904"/>
      <c r="N40" s="1905"/>
      <c r="O40" s="1905"/>
      <c r="P40" s="1906"/>
      <c r="Q40" s="1907"/>
      <c r="R40" s="1908"/>
      <c r="S40" s="1908"/>
      <c r="T40" s="1909"/>
      <c r="U40" s="1944"/>
      <c r="V40" s="1910"/>
      <c r="W40" s="2489"/>
      <c r="X40" s="1117"/>
      <c r="Y40" s="1118"/>
      <c r="Z40" s="1129"/>
    </row>
    <row r="41" spans="1:32" ht="18.75" customHeight="1" x14ac:dyDescent="0.2">
      <c r="A41" s="1029"/>
      <c r="B41" s="1006"/>
      <c r="C41" s="1007"/>
      <c r="D41" s="1334" t="s">
        <v>10</v>
      </c>
      <c r="E41" s="2382" t="s">
        <v>303</v>
      </c>
      <c r="F41" s="1030"/>
      <c r="G41" s="1076"/>
      <c r="H41" s="1009"/>
      <c r="I41" s="1036"/>
      <c r="J41" s="1087" t="s">
        <v>12</v>
      </c>
      <c r="K41" s="1586">
        <v>688716</v>
      </c>
      <c r="L41" s="2493"/>
      <c r="M41" s="1911">
        <v>760800</v>
      </c>
      <c r="N41" s="1912">
        <v>742300</v>
      </c>
      <c r="O41" s="1912">
        <v>517000</v>
      </c>
      <c r="P41" s="1913">
        <v>18500</v>
      </c>
      <c r="Q41" s="1914">
        <f>R41+T41</f>
        <v>0</v>
      </c>
      <c r="R41" s="1912">
        <v>0</v>
      </c>
      <c r="S41" s="1912">
        <v>0</v>
      </c>
      <c r="T41" s="1915"/>
      <c r="U41" s="1916">
        <v>824800</v>
      </c>
      <c r="V41" s="1916">
        <v>878800</v>
      </c>
      <c r="W41" s="1088" t="s">
        <v>48</v>
      </c>
      <c r="X41" s="1285">
        <v>76.5</v>
      </c>
      <c r="Y41" s="1516">
        <v>81</v>
      </c>
      <c r="Z41" s="1074">
        <v>87</v>
      </c>
    </row>
    <row r="42" spans="1:32" ht="18.75" customHeight="1" x14ac:dyDescent="0.2">
      <c r="A42" s="1029"/>
      <c r="B42" s="1006"/>
      <c r="C42" s="1007"/>
      <c r="D42" s="1492"/>
      <c r="E42" s="2411"/>
      <c r="F42" s="1030"/>
      <c r="G42" s="1076"/>
      <c r="H42" s="1009"/>
      <c r="I42" s="1036"/>
      <c r="J42" s="1090" t="s">
        <v>28</v>
      </c>
      <c r="K42" s="920">
        <v>197086</v>
      </c>
      <c r="L42" s="2493"/>
      <c r="M42" s="1014">
        <v>228900</v>
      </c>
      <c r="N42" s="1015">
        <v>200300</v>
      </c>
      <c r="O42" s="1015"/>
      <c r="P42" s="1887">
        <v>28600</v>
      </c>
      <c r="Q42" s="1301">
        <f>R42+T42</f>
        <v>0</v>
      </c>
      <c r="R42" s="1015">
        <v>0</v>
      </c>
      <c r="S42" s="1015"/>
      <c r="T42" s="1895">
        <v>0</v>
      </c>
      <c r="U42" s="923">
        <v>232900</v>
      </c>
      <c r="V42" s="923">
        <v>232900</v>
      </c>
      <c r="W42" s="2501" t="s">
        <v>250</v>
      </c>
      <c r="X42" s="972">
        <v>362</v>
      </c>
      <c r="Y42" s="1268">
        <v>378</v>
      </c>
      <c r="Z42" s="1081">
        <v>394</v>
      </c>
      <c r="AC42" s="1013"/>
    </row>
    <row r="43" spans="1:32" ht="18" customHeight="1" thickBot="1" x14ac:dyDescent="0.25">
      <c r="A43" s="1029"/>
      <c r="B43" s="1006"/>
      <c r="C43" s="1007"/>
      <c r="D43" s="1492"/>
      <c r="E43" s="2411"/>
      <c r="F43" s="1030"/>
      <c r="G43" s="1076"/>
      <c r="H43" s="1009"/>
      <c r="I43" s="1036"/>
      <c r="J43" s="1090" t="s">
        <v>301</v>
      </c>
      <c r="K43" s="920">
        <v>65319</v>
      </c>
      <c r="L43" s="2493"/>
      <c r="M43" s="1847"/>
      <c r="N43" s="1041"/>
      <c r="O43" s="1041"/>
      <c r="P43" s="1888"/>
      <c r="Q43" s="1917"/>
      <c r="R43" s="1041"/>
      <c r="S43" s="1041"/>
      <c r="T43" s="1918"/>
      <c r="U43" s="1919"/>
      <c r="V43" s="1919"/>
      <c r="W43" s="2502"/>
      <c r="X43" s="1117"/>
      <c r="Y43" s="1118"/>
      <c r="Z43" s="1129"/>
      <c r="AD43" s="1013"/>
    </row>
    <row r="44" spans="1:32" ht="40.5" customHeight="1" x14ac:dyDescent="0.2">
      <c r="A44" s="1029"/>
      <c r="B44" s="1006"/>
      <c r="C44" s="1007"/>
      <c r="D44" s="1334" t="s">
        <v>11</v>
      </c>
      <c r="E44" s="2414" t="s">
        <v>37</v>
      </c>
      <c r="F44" s="1030"/>
      <c r="G44" s="1076"/>
      <c r="H44" s="1009"/>
      <c r="I44" s="1036"/>
      <c r="J44" s="1341" t="s">
        <v>12</v>
      </c>
      <c r="K44" s="1316">
        <v>56244</v>
      </c>
      <c r="L44" s="1592"/>
      <c r="M44" s="1963">
        <v>56800</v>
      </c>
      <c r="N44" s="1965">
        <v>56800</v>
      </c>
      <c r="O44" s="1965">
        <v>30300</v>
      </c>
      <c r="P44" s="1589"/>
      <c r="Q44" s="1316">
        <f>R44+T44</f>
        <v>0</v>
      </c>
      <c r="R44" s="1890">
        <v>0</v>
      </c>
      <c r="S44" s="1890">
        <v>0</v>
      </c>
      <c r="T44" s="1920">
        <v>0</v>
      </c>
      <c r="U44" s="1921">
        <v>87800</v>
      </c>
      <c r="V44" s="1922">
        <v>94800</v>
      </c>
      <c r="W44" s="1094" t="s">
        <v>349</v>
      </c>
      <c r="X44" s="1095">
        <v>25</v>
      </c>
      <c r="Y44" s="1096">
        <v>30</v>
      </c>
      <c r="Z44" s="1554">
        <v>35</v>
      </c>
    </row>
    <row r="45" spans="1:32" ht="43.5" customHeight="1" x14ac:dyDescent="0.2">
      <c r="A45" s="1029"/>
      <c r="B45" s="1006"/>
      <c r="C45" s="1007"/>
      <c r="D45" s="1501"/>
      <c r="E45" s="2415"/>
      <c r="F45" s="1030"/>
      <c r="G45" s="1076"/>
      <c r="H45" s="1009"/>
      <c r="I45" s="1036"/>
      <c r="J45" s="894"/>
      <c r="K45" s="1587"/>
      <c r="L45" s="1592"/>
      <c r="M45" s="1847"/>
      <c r="N45" s="1041"/>
      <c r="O45" s="1041"/>
      <c r="P45" s="1888"/>
      <c r="Q45" s="1917"/>
      <c r="R45" s="1041"/>
      <c r="S45" s="1041"/>
      <c r="T45" s="1918"/>
      <c r="U45" s="1919"/>
      <c r="V45" s="1358"/>
      <c r="W45" s="1624" t="s">
        <v>350</v>
      </c>
      <c r="X45" s="1093">
        <v>67</v>
      </c>
      <c r="Y45" s="1045">
        <v>79</v>
      </c>
      <c r="Z45" s="1555">
        <v>84</v>
      </c>
    </row>
    <row r="46" spans="1:32" ht="17.25" customHeight="1" x14ac:dyDescent="0.2">
      <c r="A46" s="2014"/>
      <c r="B46" s="2015"/>
      <c r="C46" s="2016"/>
      <c r="D46" s="2017"/>
      <c r="E46" s="2018"/>
      <c r="F46" s="1683"/>
      <c r="G46" s="1954"/>
      <c r="H46" s="1102"/>
      <c r="I46" s="1679"/>
      <c r="J46" s="908"/>
      <c r="K46" s="1927"/>
      <c r="L46" s="1593"/>
      <c r="M46" s="2003"/>
      <c r="N46" s="2004"/>
      <c r="O46" s="2004"/>
      <c r="P46" s="2000"/>
      <c r="Q46" s="1924"/>
      <c r="R46" s="2004"/>
      <c r="S46" s="2004"/>
      <c r="T46" s="1925"/>
      <c r="U46" s="2019"/>
      <c r="V46" s="1359"/>
      <c r="W46" s="1101" t="s">
        <v>48</v>
      </c>
      <c r="X46" s="981">
        <v>9</v>
      </c>
      <c r="Y46" s="982">
        <v>11</v>
      </c>
      <c r="Z46" s="1226">
        <v>13</v>
      </c>
    </row>
    <row r="47" spans="1:32" ht="16.5" customHeight="1" x14ac:dyDescent="0.2">
      <c r="A47" s="1075"/>
      <c r="B47" s="1032"/>
      <c r="C47" s="1100"/>
      <c r="D47" s="1492" t="s">
        <v>13</v>
      </c>
      <c r="E47" s="2379" t="s">
        <v>313</v>
      </c>
      <c r="F47" s="1030"/>
      <c r="G47" s="1076"/>
      <c r="H47" s="1009"/>
      <c r="I47" s="1036"/>
      <c r="J47" s="940" t="s">
        <v>12</v>
      </c>
      <c r="K47" s="1359">
        <v>670529</v>
      </c>
      <c r="L47" s="1592"/>
      <c r="M47" s="2003">
        <f>N47+P47</f>
        <v>752700</v>
      </c>
      <c r="N47" s="2004">
        <v>752700</v>
      </c>
      <c r="O47" s="2004">
        <v>471200</v>
      </c>
      <c r="P47" s="2000"/>
      <c r="Q47" s="1924">
        <f>R47+T47</f>
        <v>0</v>
      </c>
      <c r="R47" s="2004">
        <v>0</v>
      </c>
      <c r="S47" s="2004">
        <v>0</v>
      </c>
      <c r="T47" s="1925"/>
      <c r="U47" s="1926">
        <v>756100</v>
      </c>
      <c r="V47" s="1926">
        <v>817100</v>
      </c>
      <c r="W47" s="1044" t="s">
        <v>48</v>
      </c>
      <c r="X47" s="1640">
        <v>390</v>
      </c>
      <c r="Y47" s="1642">
        <v>435</v>
      </c>
      <c r="Z47" s="1644">
        <v>450</v>
      </c>
    </row>
    <row r="48" spans="1:32" ht="29.25" customHeight="1" x14ac:dyDescent="0.2">
      <c r="A48" s="1075"/>
      <c r="B48" s="1032"/>
      <c r="C48" s="1100"/>
      <c r="D48" s="1501"/>
      <c r="E48" s="2379"/>
      <c r="F48" s="1030"/>
      <c r="G48" s="1076"/>
      <c r="H48" s="1009"/>
      <c r="I48" s="1036"/>
      <c r="J48" s="954" t="s">
        <v>28</v>
      </c>
      <c r="K48" s="1489">
        <v>11006</v>
      </c>
      <c r="L48" s="1592"/>
      <c r="M48" s="1017">
        <v>11000</v>
      </c>
      <c r="N48" s="1018">
        <v>9500</v>
      </c>
      <c r="O48" s="1018"/>
      <c r="P48" s="1226">
        <v>1500</v>
      </c>
      <c r="Q48" s="1284">
        <f>R48+T48</f>
        <v>0</v>
      </c>
      <c r="R48" s="1018">
        <v>0</v>
      </c>
      <c r="S48" s="1018"/>
      <c r="T48" s="1893">
        <v>0</v>
      </c>
      <c r="U48" s="1894">
        <v>11000</v>
      </c>
      <c r="V48" s="1894">
        <v>11000</v>
      </c>
      <c r="W48" s="1101" t="s">
        <v>340</v>
      </c>
      <c r="X48" s="1040">
        <v>700</v>
      </c>
      <c r="Y48" s="1034">
        <v>770</v>
      </c>
      <c r="Z48" s="1483">
        <v>805</v>
      </c>
      <c r="AC48" s="1013"/>
      <c r="AF48" s="1013"/>
    </row>
    <row r="49" spans="1:32" ht="29.25" customHeight="1" x14ac:dyDescent="0.2">
      <c r="A49" s="1075"/>
      <c r="B49" s="1032"/>
      <c r="C49" s="1007"/>
      <c r="D49" s="1501"/>
      <c r="E49" s="2379"/>
      <c r="F49" s="1030"/>
      <c r="G49" s="1076"/>
      <c r="H49" s="1009"/>
      <c r="I49" s="1036"/>
      <c r="J49" s="1121" t="s">
        <v>301</v>
      </c>
      <c r="K49" s="920">
        <v>296</v>
      </c>
      <c r="L49" s="1592"/>
      <c r="M49" s="1014"/>
      <c r="N49" s="1015"/>
      <c r="O49" s="1015"/>
      <c r="P49" s="1998"/>
      <c r="Q49" s="1301"/>
      <c r="R49" s="1015"/>
      <c r="S49" s="1015"/>
      <c r="T49" s="1998"/>
      <c r="U49" s="1896"/>
      <c r="V49" s="2021"/>
      <c r="W49" s="1996" t="s">
        <v>293</v>
      </c>
      <c r="X49" s="2005">
        <v>290</v>
      </c>
      <c r="Y49" s="2006">
        <v>319</v>
      </c>
      <c r="Z49" s="2007">
        <v>333</v>
      </c>
    </row>
    <row r="50" spans="1:32" ht="55.5" customHeight="1" x14ac:dyDescent="0.2">
      <c r="A50" s="1075"/>
      <c r="B50" s="1032"/>
      <c r="C50" s="1007"/>
      <c r="D50" s="1501"/>
      <c r="E50" s="2020" t="s">
        <v>354</v>
      </c>
      <c r="F50" s="1030"/>
      <c r="G50" s="1076"/>
      <c r="H50" s="1009"/>
      <c r="I50" s="1036"/>
      <c r="J50" s="954" t="s">
        <v>12</v>
      </c>
      <c r="K50" s="1284"/>
      <c r="L50" s="1592"/>
      <c r="M50" s="1017">
        <v>2000</v>
      </c>
      <c r="N50" s="1018">
        <v>2000</v>
      </c>
      <c r="O50" s="1018"/>
      <c r="P50" s="1226"/>
      <c r="Q50" s="1284"/>
      <c r="R50" s="1018"/>
      <c r="S50" s="1018"/>
      <c r="T50" s="1893"/>
      <c r="U50" s="1894"/>
      <c r="V50" s="1616"/>
      <c r="W50" s="1110" t="s">
        <v>312</v>
      </c>
      <c r="X50" s="1040">
        <v>1</v>
      </c>
      <c r="Y50" s="1034"/>
      <c r="Z50" s="1483"/>
    </row>
    <row r="51" spans="1:32" ht="38.25" x14ac:dyDescent="0.2">
      <c r="A51" s="1005"/>
      <c r="B51" s="1006"/>
      <c r="C51" s="1007"/>
      <c r="D51" s="1334" t="s">
        <v>40</v>
      </c>
      <c r="E51" s="1011" t="s">
        <v>314</v>
      </c>
      <c r="F51" s="1030"/>
      <c r="G51" s="1076"/>
      <c r="H51" s="1009"/>
      <c r="I51" s="1036"/>
      <c r="J51" s="940" t="s">
        <v>12</v>
      </c>
      <c r="K51" s="1143">
        <v>262396</v>
      </c>
      <c r="L51" s="1592"/>
      <c r="M51" s="1964">
        <v>280100</v>
      </c>
      <c r="N51" s="1923">
        <v>280100</v>
      </c>
      <c r="O51" s="1923">
        <v>150600</v>
      </c>
      <c r="P51" s="1889"/>
      <c r="Q51" s="1924"/>
      <c r="R51" s="1891"/>
      <c r="S51" s="1891"/>
      <c r="T51" s="1925"/>
      <c r="U51" s="1926">
        <f>383800-60000</f>
        <v>323800</v>
      </c>
      <c r="V51" s="1927">
        <f>421500-60000</f>
        <v>361500</v>
      </c>
      <c r="W51" s="1107" t="s">
        <v>104</v>
      </c>
      <c r="X51" s="1093">
        <v>167</v>
      </c>
      <c r="Y51" s="1045">
        <v>190</v>
      </c>
      <c r="Z51" s="1484">
        <v>220</v>
      </c>
      <c r="AC51" s="1013"/>
    </row>
    <row r="52" spans="1:32" ht="30.75" customHeight="1" x14ac:dyDescent="0.2">
      <c r="A52" s="1005"/>
      <c r="B52" s="1006"/>
      <c r="C52" s="1007"/>
      <c r="D52" s="1501"/>
      <c r="E52" s="1030"/>
      <c r="F52" s="1030"/>
      <c r="G52" s="1076"/>
      <c r="H52" s="1009"/>
      <c r="I52" s="1036"/>
      <c r="J52" s="1279" t="s">
        <v>28</v>
      </c>
      <c r="K52" s="896">
        <v>2897</v>
      </c>
      <c r="L52" s="1592"/>
      <c r="M52" s="1847">
        <v>2900</v>
      </c>
      <c r="N52" s="1041">
        <v>2900</v>
      </c>
      <c r="O52" s="1041"/>
      <c r="P52" s="1888"/>
      <c r="Q52" s="1917">
        <f>R52+T52</f>
        <v>0</v>
      </c>
      <c r="R52" s="1041">
        <v>0</v>
      </c>
      <c r="S52" s="1041">
        <v>0</v>
      </c>
      <c r="T52" s="1918"/>
      <c r="U52" s="937">
        <v>4400</v>
      </c>
      <c r="V52" s="937">
        <v>4400</v>
      </c>
      <c r="W52" s="1107" t="s">
        <v>251</v>
      </c>
      <c r="X52" s="1093">
        <v>3</v>
      </c>
      <c r="Y52" s="1045">
        <v>3</v>
      </c>
      <c r="Z52" s="1484">
        <v>3</v>
      </c>
    </row>
    <row r="53" spans="1:32" ht="15.75" customHeight="1" x14ac:dyDescent="0.2">
      <c r="A53" s="1005"/>
      <c r="B53" s="1006"/>
      <c r="C53" s="1007"/>
      <c r="D53" s="1501"/>
      <c r="E53" s="1030"/>
      <c r="F53" s="1030"/>
      <c r="G53" s="1076"/>
      <c r="H53" s="1009"/>
      <c r="I53" s="1036"/>
      <c r="J53" s="1121" t="s">
        <v>301</v>
      </c>
      <c r="K53" s="1113">
        <v>2100</v>
      </c>
      <c r="L53" s="1592"/>
      <c r="M53" s="1014"/>
      <c r="N53" s="1015"/>
      <c r="O53" s="1015"/>
      <c r="P53" s="1887"/>
      <c r="Q53" s="1014"/>
      <c r="R53" s="1015"/>
      <c r="S53" s="1015"/>
      <c r="T53" s="1895"/>
      <c r="U53" s="1896"/>
      <c r="V53" s="1928"/>
      <c r="W53" s="1110" t="s">
        <v>48</v>
      </c>
      <c r="X53" s="981">
        <v>23</v>
      </c>
      <c r="Y53" s="982">
        <v>26</v>
      </c>
      <c r="Z53" s="1485">
        <v>31</v>
      </c>
    </row>
    <row r="54" spans="1:32" ht="26.25" customHeight="1" x14ac:dyDescent="0.2">
      <c r="A54" s="1005"/>
      <c r="B54" s="1006"/>
      <c r="C54" s="1007"/>
      <c r="D54" s="1501"/>
      <c r="E54" s="1638"/>
      <c r="F54" s="1030"/>
      <c r="G54" s="1076"/>
      <c r="H54" s="1009"/>
      <c r="I54" s="1036"/>
      <c r="J54" s="940"/>
      <c r="K54" s="1359"/>
      <c r="L54" s="1592"/>
      <c r="M54" s="1964"/>
      <c r="N54" s="1966"/>
      <c r="O54" s="1966"/>
      <c r="P54" s="1889"/>
      <c r="Q54" s="1924"/>
      <c r="R54" s="1891"/>
      <c r="S54" s="1891"/>
      <c r="T54" s="1925"/>
      <c r="U54" s="1926"/>
      <c r="V54" s="1929"/>
      <c r="W54" s="1111" t="s">
        <v>252</v>
      </c>
      <c r="X54" s="972">
        <v>30</v>
      </c>
      <c r="Y54" s="1268">
        <v>30</v>
      </c>
      <c r="Z54" s="1486">
        <v>30</v>
      </c>
      <c r="AD54" s="1013"/>
      <c r="AE54" s="1013"/>
    </row>
    <row r="55" spans="1:32" ht="41.25" customHeight="1" x14ac:dyDescent="0.2">
      <c r="A55" s="1005"/>
      <c r="B55" s="1006"/>
      <c r="C55" s="1007"/>
      <c r="D55" s="1501"/>
      <c r="E55" s="1638" t="s">
        <v>311</v>
      </c>
      <c r="F55" s="1030"/>
      <c r="G55" s="1076"/>
      <c r="H55" s="1009"/>
      <c r="I55" s="1036"/>
      <c r="J55" s="954" t="s">
        <v>12</v>
      </c>
      <c r="K55" s="1489"/>
      <c r="L55" s="1593"/>
      <c r="M55" s="1017">
        <v>40000</v>
      </c>
      <c r="N55" s="1018">
        <v>40000</v>
      </c>
      <c r="O55" s="1018"/>
      <c r="P55" s="1226"/>
      <c r="Q55" s="1284">
        <f>R55+T55</f>
        <v>0</v>
      </c>
      <c r="R55" s="1018">
        <v>0</v>
      </c>
      <c r="S55" s="1018">
        <v>0</v>
      </c>
      <c r="T55" s="1893"/>
      <c r="U55" s="1894">
        <v>40000</v>
      </c>
      <c r="V55" s="1930">
        <v>40000</v>
      </c>
      <c r="W55" s="1110" t="s">
        <v>105</v>
      </c>
      <c r="X55" s="1017">
        <v>10</v>
      </c>
      <c r="Y55" s="982">
        <v>14</v>
      </c>
      <c r="Z55" s="1487">
        <v>18</v>
      </c>
      <c r="AB55" s="1013"/>
    </row>
    <row r="56" spans="1:32" ht="81" customHeight="1" x14ac:dyDescent="0.2">
      <c r="A56" s="1005"/>
      <c r="B56" s="1006"/>
      <c r="C56" s="1007"/>
      <c r="D56" s="1492"/>
      <c r="E56" s="1637" t="s">
        <v>304</v>
      </c>
      <c r="F56" s="1030"/>
      <c r="G56" s="1076"/>
      <c r="H56" s="1009"/>
      <c r="I56" s="1036"/>
      <c r="J56" s="940" t="s">
        <v>29</v>
      </c>
      <c r="K56" s="1359">
        <v>88073</v>
      </c>
      <c r="L56" s="1724">
        <v>88073</v>
      </c>
      <c r="M56" s="1964"/>
      <c r="N56" s="1018"/>
      <c r="O56" s="1018"/>
      <c r="P56" s="1103"/>
      <c r="Q56" s="1104"/>
      <c r="R56" s="1105"/>
      <c r="S56" s="1105"/>
      <c r="T56" s="1106"/>
      <c r="U56" s="908"/>
      <c r="V56" s="1573"/>
      <c r="W56" s="1107"/>
      <c r="X56" s="1645"/>
      <c r="Y56" s="1045"/>
      <c r="Z56" s="1581"/>
      <c r="AB56" s="1013"/>
      <c r="AC56" s="1013"/>
      <c r="AD56" s="1013"/>
    </row>
    <row r="57" spans="1:32" ht="54.75" customHeight="1" x14ac:dyDescent="0.2">
      <c r="A57" s="1029"/>
      <c r="B57" s="1006"/>
      <c r="C57" s="1007"/>
      <c r="D57" s="1497" t="s">
        <v>56</v>
      </c>
      <c r="E57" s="1011" t="s">
        <v>110</v>
      </c>
      <c r="F57" s="1653" t="s">
        <v>86</v>
      </c>
      <c r="G57" s="1076"/>
      <c r="H57" s="1009"/>
      <c r="I57" s="1036"/>
      <c r="J57" s="940" t="s">
        <v>12</v>
      </c>
      <c r="K57" s="1359">
        <v>359592</v>
      </c>
      <c r="L57" s="1592"/>
      <c r="M57" s="1964">
        <v>588600</v>
      </c>
      <c r="N57" s="1923">
        <v>460800</v>
      </c>
      <c r="O57" s="1923">
        <v>260500</v>
      </c>
      <c r="P57" s="1889">
        <v>127800</v>
      </c>
      <c r="Q57" s="1924">
        <f>R57+T57</f>
        <v>0</v>
      </c>
      <c r="R57" s="1891">
        <v>0</v>
      </c>
      <c r="S57" s="1891">
        <v>0</v>
      </c>
      <c r="T57" s="1925"/>
      <c r="U57" s="1926">
        <v>680600</v>
      </c>
      <c r="V57" s="1926">
        <v>443200</v>
      </c>
      <c r="W57" s="1044" t="s">
        <v>351</v>
      </c>
      <c r="X57" s="1093">
        <v>2</v>
      </c>
      <c r="Y57" s="1642">
        <v>2</v>
      </c>
      <c r="Z57" s="1355">
        <v>1</v>
      </c>
      <c r="AF57" s="1013"/>
    </row>
    <row r="58" spans="1:32" ht="16.5" customHeight="1" x14ac:dyDescent="0.2">
      <c r="A58" s="1029"/>
      <c r="B58" s="1006"/>
      <c r="C58" s="1007"/>
      <c r="D58" s="1498"/>
      <c r="E58" s="1030"/>
      <c r="F58" s="2504" t="s">
        <v>88</v>
      </c>
      <c r="G58" s="1076"/>
      <c r="H58" s="1009"/>
      <c r="I58" s="1036"/>
      <c r="J58" s="1121" t="s">
        <v>28</v>
      </c>
      <c r="K58" s="920">
        <v>21866</v>
      </c>
      <c r="L58" s="1592"/>
      <c r="M58" s="1014">
        <v>21900</v>
      </c>
      <c r="N58" s="1015">
        <v>20100</v>
      </c>
      <c r="O58" s="1015">
        <v>1300</v>
      </c>
      <c r="P58" s="1887">
        <v>1800</v>
      </c>
      <c r="Q58" s="1301">
        <f>R58+T58</f>
        <v>0</v>
      </c>
      <c r="R58" s="1015">
        <v>0</v>
      </c>
      <c r="S58" s="1015"/>
      <c r="T58" s="1895">
        <v>0</v>
      </c>
      <c r="U58" s="1896">
        <v>22200</v>
      </c>
      <c r="V58" s="1928">
        <v>22200</v>
      </c>
      <c r="W58" s="1101" t="s">
        <v>48</v>
      </c>
      <c r="X58" s="981">
        <v>27</v>
      </c>
      <c r="Y58" s="982">
        <v>30</v>
      </c>
      <c r="Z58" s="1035">
        <v>34</v>
      </c>
      <c r="AB58" s="1013"/>
      <c r="AF58" s="1013"/>
    </row>
    <row r="59" spans="1:32" ht="41.25" customHeight="1" x14ac:dyDescent="0.2">
      <c r="A59" s="1029"/>
      <c r="B59" s="1006"/>
      <c r="C59" s="1007"/>
      <c r="D59" s="1290"/>
      <c r="E59" s="1030"/>
      <c r="F59" s="2422"/>
      <c r="G59" s="1076"/>
      <c r="H59" s="1009"/>
      <c r="I59" s="1036"/>
      <c r="J59" s="954" t="s">
        <v>301</v>
      </c>
      <c r="K59" s="1616">
        <v>4226</v>
      </c>
      <c r="L59" s="1593"/>
      <c r="M59" s="1017"/>
      <c r="N59" s="1018"/>
      <c r="O59" s="1018"/>
      <c r="P59" s="1226"/>
      <c r="Q59" s="1284"/>
      <c r="R59" s="1018"/>
      <c r="S59" s="1018"/>
      <c r="T59" s="1893"/>
      <c r="U59" s="1894"/>
      <c r="V59" s="1930"/>
      <c r="W59" s="1617" t="s">
        <v>352</v>
      </c>
      <c r="X59" s="981">
        <v>61</v>
      </c>
      <c r="Y59" s="982">
        <v>65</v>
      </c>
      <c r="Z59" s="1035">
        <v>65</v>
      </c>
    </row>
    <row r="60" spans="1:32" ht="23.25" customHeight="1" x14ac:dyDescent="0.2">
      <c r="A60" s="1029"/>
      <c r="B60" s="1006"/>
      <c r="C60" s="1007"/>
      <c r="D60" s="1498"/>
      <c r="E60" s="2411" t="s">
        <v>345</v>
      </c>
      <c r="F60" s="1292"/>
      <c r="G60" s="1076"/>
      <c r="H60" s="1009"/>
      <c r="I60" s="1036"/>
      <c r="J60" s="1279" t="s">
        <v>12</v>
      </c>
      <c r="K60" s="1615"/>
      <c r="L60" s="1592"/>
      <c r="M60" s="1847">
        <v>1500</v>
      </c>
      <c r="N60" s="1041">
        <v>1500</v>
      </c>
      <c r="O60" s="1041"/>
      <c r="P60" s="1999"/>
      <c r="Q60" s="1917"/>
      <c r="R60" s="1041"/>
      <c r="S60" s="1041"/>
      <c r="T60" s="1918"/>
      <c r="U60" s="937"/>
      <c r="V60" s="1615"/>
      <c r="W60" s="2419" t="s">
        <v>310</v>
      </c>
      <c r="X60" s="1120">
        <v>1</v>
      </c>
      <c r="Y60" s="1118"/>
      <c r="Z60" s="1129"/>
    </row>
    <row r="61" spans="1:32" ht="23.25" customHeight="1" x14ac:dyDescent="0.2">
      <c r="A61" s="1029"/>
      <c r="B61" s="1006"/>
      <c r="C61" s="1007"/>
      <c r="D61" s="1498"/>
      <c r="E61" s="2411"/>
      <c r="F61" s="1292"/>
      <c r="G61" s="1076"/>
      <c r="H61" s="1009"/>
      <c r="I61" s="1036"/>
      <c r="J61" s="1279"/>
      <c r="K61" s="1615"/>
      <c r="L61" s="1592"/>
      <c r="M61" s="1847"/>
      <c r="N61" s="1041"/>
      <c r="O61" s="1041"/>
      <c r="P61" s="1999"/>
      <c r="Q61" s="1917"/>
      <c r="R61" s="1041"/>
      <c r="S61" s="1041"/>
      <c r="T61" s="1918"/>
      <c r="U61" s="937"/>
      <c r="V61" s="1615"/>
      <c r="W61" s="2420"/>
      <c r="X61" s="1120"/>
      <c r="Y61" s="1118"/>
      <c r="Z61" s="1129"/>
    </row>
    <row r="62" spans="1:32" ht="10.5" customHeight="1" x14ac:dyDescent="0.2">
      <c r="A62" s="2022"/>
      <c r="B62" s="2015"/>
      <c r="C62" s="1690"/>
      <c r="D62" s="1502"/>
      <c r="E62" s="2383"/>
      <c r="F62" s="1618"/>
      <c r="G62" s="1954"/>
      <c r="H62" s="1102"/>
      <c r="I62" s="1679"/>
      <c r="J62" s="908"/>
      <c r="K62" s="1359"/>
      <c r="L62" s="1593"/>
      <c r="M62" s="2003"/>
      <c r="N62" s="2004"/>
      <c r="O62" s="2004"/>
      <c r="P62" s="2000"/>
      <c r="Q62" s="1924"/>
      <c r="R62" s="2004"/>
      <c r="S62" s="2004"/>
      <c r="T62" s="1925"/>
      <c r="U62" s="1926"/>
      <c r="V62" s="1927"/>
      <c r="W62" s="2421"/>
      <c r="X62" s="1133"/>
      <c r="Y62" s="1045"/>
      <c r="Z62" s="1355"/>
      <c r="AA62" s="1013"/>
    </row>
    <row r="63" spans="1:32" ht="21" customHeight="1" x14ac:dyDescent="0.2">
      <c r="A63" s="1029"/>
      <c r="B63" s="1006"/>
      <c r="C63" s="1007"/>
      <c r="D63" s="1290" t="s">
        <v>106</v>
      </c>
      <c r="E63" s="2379" t="s">
        <v>38</v>
      </c>
      <c r="F63" s="1030"/>
      <c r="G63" s="1008"/>
      <c r="H63" s="1009"/>
      <c r="I63" s="1036"/>
      <c r="J63" s="940" t="s">
        <v>12</v>
      </c>
      <c r="K63" s="1359">
        <v>201112</v>
      </c>
      <c r="L63" s="1592"/>
      <c r="M63" s="1964">
        <v>265700</v>
      </c>
      <c r="N63" s="1966">
        <v>258700</v>
      </c>
      <c r="O63" s="1966">
        <v>115000</v>
      </c>
      <c r="P63" s="1889">
        <v>7000</v>
      </c>
      <c r="Q63" s="1924">
        <f>R63</f>
        <v>0</v>
      </c>
      <c r="R63" s="2004">
        <v>0</v>
      </c>
      <c r="S63" s="2004">
        <v>0</v>
      </c>
      <c r="T63" s="1925"/>
      <c r="U63" s="1926">
        <v>332100</v>
      </c>
      <c r="V63" s="1927">
        <v>317100</v>
      </c>
      <c r="W63" s="2420" t="s">
        <v>247</v>
      </c>
      <c r="X63" s="2573">
        <v>15</v>
      </c>
      <c r="Y63" s="2575">
        <v>26</v>
      </c>
      <c r="Z63" s="2577">
        <v>28</v>
      </c>
    </row>
    <row r="64" spans="1:32" ht="21" customHeight="1" x14ac:dyDescent="0.2">
      <c r="A64" s="1029"/>
      <c r="B64" s="1006"/>
      <c r="C64" s="1007"/>
      <c r="D64" s="1290"/>
      <c r="E64" s="2379"/>
      <c r="F64" s="1030"/>
      <c r="G64" s="1008"/>
      <c r="H64" s="1009"/>
      <c r="I64" s="1036"/>
      <c r="J64" s="1121" t="s">
        <v>28</v>
      </c>
      <c r="K64" s="920">
        <v>7241</v>
      </c>
      <c r="L64" s="1592"/>
      <c r="M64" s="1082">
        <v>5800</v>
      </c>
      <c r="N64" s="1083">
        <v>5800</v>
      </c>
      <c r="O64" s="1083"/>
      <c r="P64" s="1114"/>
      <c r="Q64" s="974">
        <f>R64+T64</f>
        <v>0</v>
      </c>
      <c r="R64" s="975">
        <v>0</v>
      </c>
      <c r="S64" s="975"/>
      <c r="T64" s="976"/>
      <c r="U64" s="891">
        <v>7300</v>
      </c>
      <c r="V64" s="1115">
        <v>5800</v>
      </c>
      <c r="W64" s="2421"/>
      <c r="X64" s="2574"/>
      <c r="Y64" s="2576"/>
      <c r="Z64" s="2562"/>
    </row>
    <row r="65" spans="1:32" ht="16.5" customHeight="1" x14ac:dyDescent="0.2">
      <c r="A65" s="1029"/>
      <c r="B65" s="1006"/>
      <c r="C65" s="1007"/>
      <c r="D65" s="1290"/>
      <c r="E65" s="1030"/>
      <c r="F65" s="1030"/>
      <c r="G65" s="1008"/>
      <c r="H65" s="1009"/>
      <c r="I65" s="1036"/>
      <c r="J65" s="1121" t="s">
        <v>301</v>
      </c>
      <c r="K65" s="1113">
        <v>698</v>
      </c>
      <c r="L65" s="1593"/>
      <c r="M65" s="1082"/>
      <c r="N65" s="1083"/>
      <c r="O65" s="1083"/>
      <c r="P65" s="1114"/>
      <c r="Q65" s="974"/>
      <c r="R65" s="975"/>
      <c r="S65" s="975"/>
      <c r="T65" s="976"/>
      <c r="U65" s="891"/>
      <c r="V65" s="1115"/>
      <c r="W65" s="2419" t="s">
        <v>353</v>
      </c>
      <c r="X65" s="1014">
        <v>190</v>
      </c>
      <c r="Y65" s="1015">
        <v>213</v>
      </c>
      <c r="Z65" s="1643">
        <v>238</v>
      </c>
    </row>
    <row r="66" spans="1:32" ht="13.5" thickBot="1" x14ac:dyDescent="0.25">
      <c r="A66" s="1055"/>
      <c r="B66" s="992"/>
      <c r="C66" s="1654"/>
      <c r="D66" s="1503"/>
      <c r="E66" s="1646"/>
      <c r="F66" s="1123"/>
      <c r="G66" s="1293"/>
      <c r="H66" s="1294"/>
      <c r="I66" s="1053"/>
      <c r="J66" s="897" t="s">
        <v>16</v>
      </c>
      <c r="K66" s="1716">
        <f>SUM(K37:K65)</f>
        <v>3170619</v>
      </c>
      <c r="L66" s="1282">
        <f>SUM(L37:L65)</f>
        <v>3332384</v>
      </c>
      <c r="M66" s="1280">
        <f>SUM(M37:M65)</f>
        <v>3560000</v>
      </c>
      <c r="N66" s="1280">
        <f>SUM(N37:N65)</f>
        <v>3374800</v>
      </c>
      <c r="O66" s="1280">
        <f t="shared" ref="O66:T66" si="2">SUM(O37:O65)-O55</f>
        <v>1785300</v>
      </c>
      <c r="P66" s="1280">
        <f t="shared" si="2"/>
        <v>185200</v>
      </c>
      <c r="Q66" s="1280">
        <f t="shared" si="2"/>
        <v>0</v>
      </c>
      <c r="R66" s="1280">
        <f t="shared" si="2"/>
        <v>0</v>
      </c>
      <c r="S66" s="1280">
        <f t="shared" si="2"/>
        <v>0</v>
      </c>
      <c r="T66" s="1280">
        <f t="shared" si="2"/>
        <v>0</v>
      </c>
      <c r="U66" s="1280">
        <f>SUM(U37:U65)</f>
        <v>3914300</v>
      </c>
      <c r="V66" s="1280">
        <f>SUM(V37:V65)</f>
        <v>3856100</v>
      </c>
      <c r="W66" s="2578"/>
      <c r="X66" s="1091"/>
      <c r="Y66" s="1092"/>
      <c r="Z66" s="1482"/>
    </row>
    <row r="67" spans="1:32" ht="40.5" customHeight="1" x14ac:dyDescent="0.2">
      <c r="A67" s="1061" t="s">
        <v>9</v>
      </c>
      <c r="B67" s="1062" t="s">
        <v>10</v>
      </c>
      <c r="C67" s="994" t="s">
        <v>10</v>
      </c>
      <c r="D67" s="1504"/>
      <c r="E67" s="1124" t="s">
        <v>67</v>
      </c>
      <c r="F67" s="1125"/>
      <c r="G67" s="1064"/>
      <c r="H67" s="1647"/>
      <c r="I67" s="997"/>
      <c r="J67" s="997"/>
      <c r="K67" s="1357"/>
      <c r="L67" s="1589"/>
      <c r="M67" s="998"/>
      <c r="N67" s="999"/>
      <c r="O67" s="999"/>
      <c r="P67" s="1000"/>
      <c r="Q67" s="1001"/>
      <c r="R67" s="1002"/>
      <c r="S67" s="1002"/>
      <c r="T67" s="1003"/>
      <c r="U67" s="872"/>
      <c r="V67" s="873"/>
      <c r="W67" s="1260"/>
      <c r="X67" s="1184"/>
      <c r="Y67" s="1073"/>
      <c r="Z67" s="1074"/>
    </row>
    <row r="68" spans="1:32" ht="41.25" customHeight="1" x14ac:dyDescent="0.2">
      <c r="A68" s="1075"/>
      <c r="B68" s="1032"/>
      <c r="C68" s="1007"/>
      <c r="D68" s="1505" t="s">
        <v>9</v>
      </c>
      <c r="E68" s="1127" t="s">
        <v>115</v>
      </c>
      <c r="F68" s="2407" t="s">
        <v>108</v>
      </c>
      <c r="G68" s="1008" t="s">
        <v>14</v>
      </c>
      <c r="H68" s="1636" t="s">
        <v>35</v>
      </c>
      <c r="I68" s="1639" t="s">
        <v>125</v>
      </c>
      <c r="J68" s="1279"/>
      <c r="K68" s="1358"/>
      <c r="L68" s="1725"/>
      <c r="M68" s="1120"/>
      <c r="N68" s="1118"/>
      <c r="O68" s="878"/>
      <c r="P68" s="1128"/>
      <c r="Q68" s="929"/>
      <c r="R68" s="1016"/>
      <c r="S68" s="929"/>
      <c r="T68" s="1043"/>
      <c r="U68" s="877"/>
      <c r="V68" s="878"/>
      <c r="W68" s="1261"/>
      <c r="X68" s="878"/>
      <c r="Y68" s="1097"/>
      <c r="Z68" s="1129"/>
      <c r="AB68" s="1013"/>
    </row>
    <row r="69" spans="1:32" ht="18" customHeight="1" x14ac:dyDescent="0.2">
      <c r="A69" s="1075"/>
      <c r="B69" s="1032"/>
      <c r="C69" s="1007"/>
      <c r="D69" s="1570"/>
      <c r="E69" s="2382" t="s">
        <v>355</v>
      </c>
      <c r="F69" s="2407"/>
      <c r="G69" s="1008"/>
      <c r="H69" s="1009"/>
      <c r="I69" s="1639"/>
      <c r="J69" s="1121" t="s">
        <v>12</v>
      </c>
      <c r="K69" s="1113">
        <v>5792</v>
      </c>
      <c r="L69" s="1724">
        <v>5792</v>
      </c>
      <c r="M69" s="972">
        <v>2900</v>
      </c>
      <c r="N69" s="1268">
        <v>2900</v>
      </c>
      <c r="O69" s="1033"/>
      <c r="P69" s="973"/>
      <c r="Q69" s="980"/>
      <c r="R69" s="975"/>
      <c r="S69" s="980"/>
      <c r="T69" s="976"/>
      <c r="U69" s="925">
        <v>10000</v>
      </c>
      <c r="V69" s="926">
        <v>54000</v>
      </c>
      <c r="W69" s="1625" t="s">
        <v>323</v>
      </c>
      <c r="X69" s="981">
        <v>1</v>
      </c>
      <c r="Y69" s="1034"/>
      <c r="Z69" s="1035"/>
    </row>
    <row r="70" spans="1:32" ht="43.5" customHeight="1" x14ac:dyDescent="0.2">
      <c r="A70" s="1075"/>
      <c r="B70" s="1032"/>
      <c r="C70" s="1007"/>
      <c r="D70" s="1570"/>
      <c r="E70" s="2383"/>
      <c r="F70" s="1286"/>
      <c r="G70" s="1008"/>
      <c r="H70" s="1009"/>
      <c r="I70" s="1659"/>
      <c r="J70" s="940"/>
      <c r="K70" s="1359"/>
      <c r="L70" s="1726"/>
      <c r="M70" s="1133"/>
      <c r="N70" s="1045"/>
      <c r="O70" s="881"/>
      <c r="P70" s="1046"/>
      <c r="Q70" s="1134"/>
      <c r="R70" s="1105"/>
      <c r="S70" s="1134"/>
      <c r="T70" s="1106"/>
      <c r="U70" s="880"/>
      <c r="V70" s="881"/>
      <c r="W70" s="1625" t="s">
        <v>316</v>
      </c>
      <c r="X70" s="981"/>
      <c r="Y70" s="1034">
        <v>15</v>
      </c>
      <c r="Z70" s="1035">
        <v>85</v>
      </c>
    </row>
    <row r="71" spans="1:32" ht="32.25" customHeight="1" x14ac:dyDescent="0.2">
      <c r="A71" s="1075"/>
      <c r="B71" s="1032"/>
      <c r="C71" s="1007"/>
      <c r="D71" s="1570"/>
      <c r="E71" s="2382" t="s">
        <v>356</v>
      </c>
      <c r="F71" s="1286"/>
      <c r="G71" s="1008"/>
      <c r="H71" s="1009"/>
      <c r="I71" s="1669"/>
      <c r="J71" s="940" t="s">
        <v>12</v>
      </c>
      <c r="K71" s="1359"/>
      <c r="L71" s="1726"/>
      <c r="M71" s="1133"/>
      <c r="N71" s="1045"/>
      <c r="O71" s="881"/>
      <c r="P71" s="1046"/>
      <c r="Q71" s="1134"/>
      <c r="R71" s="1105"/>
      <c r="S71" s="1134"/>
      <c r="T71" s="1106"/>
      <c r="U71" s="880">
        <v>40000</v>
      </c>
      <c r="V71" s="881">
        <v>32000</v>
      </c>
      <c r="W71" s="1262" t="s">
        <v>279</v>
      </c>
      <c r="X71" s="1171"/>
      <c r="Y71" s="1097"/>
      <c r="Z71" s="1129">
        <v>1</v>
      </c>
    </row>
    <row r="72" spans="1:32" x14ac:dyDescent="0.2">
      <c r="A72" s="1136"/>
      <c r="B72" s="1137"/>
      <c r="C72" s="1132"/>
      <c r="D72" s="1506"/>
      <c r="E72" s="2383"/>
      <c r="F72" s="1013"/>
      <c r="G72" s="1008"/>
      <c r="H72" s="1102"/>
      <c r="I72" s="1678"/>
      <c r="J72" s="1138" t="s">
        <v>16</v>
      </c>
      <c r="K72" s="924">
        <f>SUM(K69:K71)</f>
        <v>5792</v>
      </c>
      <c r="L72" s="1086">
        <f>SUM(L69:L71)</f>
        <v>5792</v>
      </c>
      <c r="M72" s="1139">
        <f>SUM(M69:M71)</f>
        <v>2900</v>
      </c>
      <c r="N72" s="1085">
        <f>SUM(N69:N71)</f>
        <v>2900</v>
      </c>
      <c r="O72" s="924"/>
      <c r="P72" s="1086"/>
      <c r="Q72" s="924"/>
      <c r="R72" s="1085"/>
      <c r="S72" s="924"/>
      <c r="T72" s="1140"/>
      <c r="U72" s="911">
        <f>SUM(U69:U71)</f>
        <v>50000</v>
      </c>
      <c r="V72" s="924">
        <f>SUM(V69:V71)</f>
        <v>86000</v>
      </c>
      <c r="W72" s="1256"/>
      <c r="X72" s="1099"/>
      <c r="Y72" s="1097"/>
      <c r="Z72" s="1129"/>
      <c r="AB72" s="1013"/>
    </row>
    <row r="73" spans="1:32" ht="29.25" customHeight="1" x14ac:dyDescent="0.2">
      <c r="A73" s="1360"/>
      <c r="B73" s="1032"/>
      <c r="C73" s="1132"/>
      <c r="D73" s="1505" t="s">
        <v>10</v>
      </c>
      <c r="E73" s="2382" t="s">
        <v>357</v>
      </c>
      <c r="F73" s="1361"/>
      <c r="G73" s="1362"/>
      <c r="H73" s="1672" t="s">
        <v>191</v>
      </c>
      <c r="I73" s="2572" t="s">
        <v>192</v>
      </c>
      <c r="J73" s="1363" t="s">
        <v>12</v>
      </c>
      <c r="K73" s="1288">
        <v>10513</v>
      </c>
      <c r="L73" s="1265">
        <v>3000</v>
      </c>
      <c r="M73" s="1416"/>
      <c r="N73" s="1200"/>
      <c r="O73" s="1365"/>
      <c r="P73" s="1201"/>
      <c r="Q73" s="1366"/>
      <c r="R73" s="1367"/>
      <c r="S73" s="1366"/>
      <c r="T73" s="1368"/>
      <c r="U73" s="1369">
        <v>40000</v>
      </c>
      <c r="V73" s="1369">
        <v>51600</v>
      </c>
      <c r="W73" s="1371" t="s">
        <v>199</v>
      </c>
      <c r="X73" s="1608"/>
      <c r="Y73" s="1372"/>
      <c r="Z73" s="1373">
        <v>1</v>
      </c>
      <c r="AA73" s="1135"/>
      <c r="AB73" s="1013"/>
      <c r="AF73" s="1013"/>
    </row>
    <row r="74" spans="1:32" ht="30" customHeight="1" x14ac:dyDescent="0.2">
      <c r="A74" s="1360"/>
      <c r="B74" s="1032"/>
      <c r="C74" s="1132"/>
      <c r="D74" s="1505"/>
      <c r="E74" s="2411"/>
      <c r="F74" s="1013"/>
      <c r="G74" s="1008"/>
      <c r="H74" s="1009"/>
      <c r="I74" s="2500"/>
      <c r="J74" s="1931"/>
      <c r="K74" s="1932"/>
      <c r="L74" s="1933"/>
      <c r="M74" s="1311"/>
      <c r="N74" s="1934"/>
      <c r="O74" s="1476"/>
      <c r="P74" s="1652"/>
      <c r="Q74" s="1935"/>
      <c r="R74" s="1936"/>
      <c r="S74" s="1935"/>
      <c r="T74" s="1937"/>
      <c r="U74" s="1411"/>
      <c r="V74" s="1938"/>
      <c r="W74" s="1939" t="s">
        <v>263</v>
      </c>
      <c r="X74" s="1940"/>
      <c r="Y74" s="1422"/>
      <c r="Z74" s="1533">
        <v>1</v>
      </c>
      <c r="AB74" s="1013"/>
    </row>
    <row r="75" spans="1:32" ht="30" customHeight="1" x14ac:dyDescent="0.2">
      <c r="A75" s="1360"/>
      <c r="B75" s="1032"/>
      <c r="C75" s="1132"/>
      <c r="D75" s="1505"/>
      <c r="E75" s="2383"/>
      <c r="F75" s="1076"/>
      <c r="G75" s="1008"/>
      <c r="H75" s="1009"/>
      <c r="I75" s="2500"/>
      <c r="J75" s="1381" t="s">
        <v>16</v>
      </c>
      <c r="K75" s="1382">
        <f>SUM(K73:K74)</f>
        <v>10513</v>
      </c>
      <c r="L75" s="1385">
        <f>SUM(L73:L74)</f>
        <v>3000</v>
      </c>
      <c r="M75" s="1383"/>
      <c r="N75" s="1384"/>
      <c r="O75" s="1382"/>
      <c r="P75" s="1385"/>
      <c r="Q75" s="1382"/>
      <c r="R75" s="1384"/>
      <c r="S75" s="1382"/>
      <c r="T75" s="1386"/>
      <c r="U75" s="1387">
        <f>SUM(U73:U74)</f>
        <v>40000</v>
      </c>
      <c r="V75" s="1383">
        <f>SUM(V73:V74)</f>
        <v>51600</v>
      </c>
      <c r="W75" s="1886" t="s">
        <v>342</v>
      </c>
      <c r="X75" s="1412"/>
      <c r="Y75" s="1388"/>
      <c r="Z75" s="1379">
        <v>50</v>
      </c>
      <c r="AB75" s="1013"/>
    </row>
    <row r="76" spans="1:32" ht="16.5" customHeight="1" x14ac:dyDescent="0.2">
      <c r="A76" s="1075"/>
      <c r="B76" s="1032"/>
      <c r="C76" s="1007"/>
      <c r="D76" s="1507" t="s">
        <v>11</v>
      </c>
      <c r="E76" s="2382" t="s">
        <v>358</v>
      </c>
      <c r="F76" s="2407"/>
      <c r="G76" s="1008"/>
      <c r="H76" s="1009"/>
      <c r="I76" s="2500"/>
      <c r="J76" s="1257" t="s">
        <v>12</v>
      </c>
      <c r="K76" s="1389">
        <v>4344</v>
      </c>
      <c r="L76" s="1188">
        <v>3000</v>
      </c>
      <c r="M76" s="1364">
        <v>55000</v>
      </c>
      <c r="N76" s="1209"/>
      <c r="O76" s="1209"/>
      <c r="P76" s="1390">
        <v>55000</v>
      </c>
      <c r="Q76" s="1391"/>
      <c r="R76" s="1198"/>
      <c r="S76" s="1198"/>
      <c r="T76" s="1392"/>
      <c r="U76" s="930">
        <v>161900</v>
      </c>
      <c r="V76" s="1393">
        <v>377800</v>
      </c>
      <c r="W76" s="1394" t="s">
        <v>264</v>
      </c>
      <c r="X76" s="1609">
        <v>1</v>
      </c>
      <c r="Y76" s="1395"/>
      <c r="Z76" s="1396"/>
      <c r="AB76" s="1013"/>
    </row>
    <row r="77" spans="1:32" ht="16.5" customHeight="1" x14ac:dyDescent="0.2">
      <c r="A77" s="1075"/>
      <c r="B77" s="1032"/>
      <c r="C77" s="1007"/>
      <c r="D77" s="1505"/>
      <c r="E77" s="2411"/>
      <c r="F77" s="2407"/>
      <c r="G77" s="1008"/>
      <c r="H77" s="1009"/>
      <c r="I77" s="2500"/>
      <c r="J77" s="1258" t="s">
        <v>29</v>
      </c>
      <c r="K77" s="1397"/>
      <c r="L77" s="1396"/>
      <c r="M77" s="1370"/>
      <c r="N77" s="1398"/>
      <c r="O77" s="1399"/>
      <c r="P77" s="1400"/>
      <c r="Q77" s="1401"/>
      <c r="R77" s="1402"/>
      <c r="S77" s="1197"/>
      <c r="T77" s="1392"/>
      <c r="U77" s="1375">
        <v>185400</v>
      </c>
      <c r="V77" s="1376">
        <v>432500</v>
      </c>
      <c r="W77" s="1403" t="s">
        <v>265</v>
      </c>
      <c r="X77" s="1610">
        <v>1</v>
      </c>
      <c r="Y77" s="1209"/>
      <c r="Z77" s="1404"/>
      <c r="AB77" s="1013"/>
    </row>
    <row r="78" spans="1:32" ht="16.5" customHeight="1" x14ac:dyDescent="0.2">
      <c r="A78" s="1075"/>
      <c r="B78" s="1032"/>
      <c r="C78" s="1007"/>
      <c r="D78" s="1505"/>
      <c r="E78" s="2411"/>
      <c r="F78" s="2407"/>
      <c r="G78" s="1008"/>
      <c r="H78" s="1009"/>
      <c r="I78" s="2500"/>
      <c r="J78" s="1259"/>
      <c r="K78" s="1405"/>
      <c r="L78" s="1594"/>
      <c r="M78" s="1393"/>
      <c r="N78" s="1406"/>
      <c r="O78" s="1407"/>
      <c r="P78" s="1194"/>
      <c r="Q78" s="1408"/>
      <c r="R78" s="1409"/>
      <c r="S78" s="1190"/>
      <c r="T78" s="1410"/>
      <c r="U78" s="1411"/>
      <c r="V78" s="1412"/>
      <c r="W78" s="1671" t="s">
        <v>266</v>
      </c>
      <c r="X78" s="1611">
        <v>1</v>
      </c>
      <c r="Y78" s="1193"/>
      <c r="Z78" s="1413"/>
      <c r="AB78" s="1013"/>
      <c r="AC78" s="1013"/>
    </row>
    <row r="79" spans="1:32" ht="16.5" customHeight="1" x14ac:dyDescent="0.2">
      <c r="A79" s="1075"/>
      <c r="B79" s="1032"/>
      <c r="C79" s="1132"/>
      <c r="D79" s="1508"/>
      <c r="E79" s="2411"/>
      <c r="F79" s="2407"/>
      <c r="G79" s="1008"/>
      <c r="H79" s="1009"/>
      <c r="I79" s="1036"/>
      <c r="J79" s="1138" t="s">
        <v>16</v>
      </c>
      <c r="K79" s="924">
        <f>SUM(K76:K78)</f>
        <v>4344</v>
      </c>
      <c r="L79" s="1086">
        <f>SUM(L76:L78)</f>
        <v>3000</v>
      </c>
      <c r="M79" s="1139">
        <f>SUM(M76:M77)</f>
        <v>55000</v>
      </c>
      <c r="N79" s="1085"/>
      <c r="O79" s="924"/>
      <c r="P79" s="1086">
        <f>SUM(P76:P77)</f>
        <v>55000</v>
      </c>
      <c r="Q79" s="924"/>
      <c r="R79" s="1085"/>
      <c r="S79" s="924"/>
      <c r="T79" s="1140"/>
      <c r="U79" s="911">
        <f>SUM(U76:U77)</f>
        <v>347300</v>
      </c>
      <c r="V79" s="924">
        <f>SUM(V76:V77)</f>
        <v>810300</v>
      </c>
      <c r="W79" s="1670" t="s">
        <v>267</v>
      </c>
      <c r="X79" s="1612"/>
      <c r="Y79" s="1414">
        <v>30</v>
      </c>
      <c r="Z79" s="1415">
        <v>100</v>
      </c>
      <c r="AB79" s="1013"/>
      <c r="AC79" s="1013"/>
    </row>
    <row r="80" spans="1:32" ht="15.75" customHeight="1" x14ac:dyDescent="0.2">
      <c r="A80" s="1075"/>
      <c r="B80" s="1032"/>
      <c r="C80" s="1007"/>
      <c r="D80" s="1507" t="s">
        <v>13</v>
      </c>
      <c r="E80" s="2382" t="s">
        <v>268</v>
      </c>
      <c r="F80" s="2407"/>
      <c r="G80" s="1008"/>
      <c r="H80" s="1009"/>
      <c r="I80" s="1036"/>
      <c r="J80" s="1121" t="s">
        <v>12</v>
      </c>
      <c r="K80" s="1264">
        <v>8978</v>
      </c>
      <c r="L80" s="1265">
        <v>3000</v>
      </c>
      <c r="M80" s="1416">
        <v>2200</v>
      </c>
      <c r="N80" s="1417"/>
      <c r="O80" s="1418"/>
      <c r="P80" s="1265">
        <v>2200</v>
      </c>
      <c r="Q80" s="1391"/>
      <c r="R80" s="1198"/>
      <c r="S80" s="1198"/>
      <c r="T80" s="1392"/>
      <c r="U80" s="1369">
        <v>0</v>
      </c>
      <c r="V80" s="1370">
        <v>50000</v>
      </c>
      <c r="W80" s="1997" t="s">
        <v>327</v>
      </c>
      <c r="X80" s="1609">
        <v>1</v>
      </c>
      <c r="Y80" s="1419"/>
      <c r="Z80" s="1420"/>
      <c r="AA80" s="1662"/>
      <c r="AB80" s="1013"/>
    </row>
    <row r="81" spans="1:30" ht="29.25" customHeight="1" x14ac:dyDescent="0.2">
      <c r="A81" s="1075"/>
      <c r="B81" s="1032"/>
      <c r="C81" s="1007"/>
      <c r="D81" s="1505"/>
      <c r="E81" s="2411"/>
      <c r="F81" s="2407"/>
      <c r="G81" s="1008"/>
      <c r="H81" s="1009"/>
      <c r="I81" s="1036"/>
      <c r="J81" s="1121" t="s">
        <v>269</v>
      </c>
      <c r="K81" s="1397"/>
      <c r="L81" s="1396"/>
      <c r="M81" s="1663"/>
      <c r="N81" s="1421"/>
      <c r="O81" s="1399"/>
      <c r="P81" s="1400"/>
      <c r="Q81" s="1401"/>
      <c r="R81" s="1402"/>
      <c r="S81" s="1197"/>
      <c r="T81" s="1392"/>
      <c r="U81" s="1369">
        <v>18700</v>
      </c>
      <c r="V81" s="1369">
        <v>301000</v>
      </c>
      <c r="W81" s="1997" t="s">
        <v>328</v>
      </c>
      <c r="X81" s="1609">
        <v>1</v>
      </c>
      <c r="Y81" s="1419"/>
      <c r="Z81" s="1420"/>
      <c r="AA81" s="1662"/>
      <c r="AB81" s="1013"/>
    </row>
    <row r="82" spans="1:30" ht="15.75" customHeight="1" x14ac:dyDescent="0.2">
      <c r="A82" s="1075"/>
      <c r="B82" s="1032"/>
      <c r="C82" s="1007"/>
      <c r="D82" s="1505"/>
      <c r="E82" s="2411"/>
      <c r="F82" s="2407"/>
      <c r="G82" s="1008"/>
      <c r="H82" s="1009"/>
      <c r="I82" s="1036"/>
      <c r="J82" s="1279"/>
      <c r="K82" s="1263"/>
      <c r="L82" s="1188"/>
      <c r="M82" s="1477"/>
      <c r="N82" s="1192"/>
      <c r="O82" s="1407"/>
      <c r="P82" s="1188"/>
      <c r="Q82" s="1190"/>
      <c r="R82" s="1191"/>
      <c r="S82" s="1190"/>
      <c r="T82" s="1410"/>
      <c r="U82" s="930"/>
      <c r="V82" s="930"/>
      <c r="W82" s="1997" t="s">
        <v>265</v>
      </c>
      <c r="X82" s="1609"/>
      <c r="Y82" s="1419">
        <v>1</v>
      </c>
      <c r="Z82" s="1420"/>
      <c r="AA82" s="1662"/>
      <c r="AB82" s="1013"/>
    </row>
    <row r="83" spans="1:30" ht="15.75" customHeight="1" x14ac:dyDescent="0.2">
      <c r="A83" s="1075"/>
      <c r="B83" s="1032"/>
      <c r="C83" s="1007"/>
      <c r="D83" s="1505"/>
      <c r="E83" s="2411"/>
      <c r="F83" s="2407"/>
      <c r="G83" s="1008"/>
      <c r="H83" s="1009"/>
      <c r="I83" s="1036"/>
      <c r="J83" s="1279"/>
      <c r="K83" s="1664"/>
      <c r="L83" s="1594"/>
      <c r="M83" s="1665"/>
      <c r="N83" s="1666"/>
      <c r="O83" s="1407"/>
      <c r="P83" s="1194"/>
      <c r="Q83" s="1408"/>
      <c r="R83" s="1409"/>
      <c r="S83" s="1190"/>
      <c r="T83" s="1410"/>
      <c r="U83" s="930"/>
      <c r="V83" s="1393"/>
      <c r="W83" s="2426" t="s">
        <v>329</v>
      </c>
      <c r="X83" s="1613"/>
      <c r="Y83" s="1414"/>
      <c r="Z83" s="1415">
        <v>100</v>
      </c>
      <c r="AA83" s="1013"/>
      <c r="AC83" s="1013"/>
    </row>
    <row r="84" spans="1:30" ht="14.25" customHeight="1" x14ac:dyDescent="0.2">
      <c r="A84" s="2028"/>
      <c r="B84" s="2029"/>
      <c r="C84" s="1682"/>
      <c r="D84" s="1511"/>
      <c r="E84" s="2383"/>
      <c r="F84" s="2422"/>
      <c r="G84" s="1130"/>
      <c r="H84" s="1102"/>
      <c r="I84" s="1679"/>
      <c r="J84" s="1162" t="s">
        <v>16</v>
      </c>
      <c r="K84" s="1383">
        <f>SUM(K80:K83)</f>
        <v>8978</v>
      </c>
      <c r="L84" s="1385">
        <f>SUM(L80:L83)</f>
        <v>3000</v>
      </c>
      <c r="M84" s="1383">
        <f>SUM(M80:M83)</f>
        <v>2200</v>
      </c>
      <c r="N84" s="1384"/>
      <c r="O84" s="1382"/>
      <c r="P84" s="1385">
        <f>SUM(P80:P83)</f>
        <v>2200</v>
      </c>
      <c r="Q84" s="1382"/>
      <c r="R84" s="1384"/>
      <c r="S84" s="1382"/>
      <c r="T84" s="1386"/>
      <c r="U84" s="1387">
        <f>SUM(U80:U83)</f>
        <v>18700</v>
      </c>
      <c r="V84" s="1382">
        <f>SUM(V80:V83)</f>
        <v>351000</v>
      </c>
      <c r="W84" s="2503"/>
      <c r="X84" s="1236"/>
      <c r="Y84" s="1235"/>
      <c r="Z84" s="2030"/>
      <c r="AB84" s="1013"/>
    </row>
    <row r="85" spans="1:30" ht="16.5" customHeight="1" x14ac:dyDescent="0.2">
      <c r="A85" s="1075"/>
      <c r="B85" s="1032"/>
      <c r="C85" s="1007"/>
      <c r="D85" s="1505" t="s">
        <v>40</v>
      </c>
      <c r="E85" s="2411" t="s">
        <v>262</v>
      </c>
      <c r="F85" s="1030"/>
      <c r="G85" s="1008"/>
      <c r="H85" s="1994">
        <v>5</v>
      </c>
      <c r="I85" s="2500" t="s">
        <v>296</v>
      </c>
      <c r="J85" s="940" t="s">
        <v>12</v>
      </c>
      <c r="K85" s="1358"/>
      <c r="L85" s="1999"/>
      <c r="M85" s="2023">
        <v>152100</v>
      </c>
      <c r="N85" s="2024"/>
      <c r="O85" s="2024"/>
      <c r="P85" s="2025">
        <v>152100</v>
      </c>
      <c r="Q85" s="1190"/>
      <c r="R85" s="1191"/>
      <c r="S85" s="1190"/>
      <c r="T85" s="1410"/>
      <c r="U85" s="2026"/>
      <c r="V85" s="2027"/>
      <c r="W85" s="1995" t="s">
        <v>339</v>
      </c>
      <c r="X85" s="1855">
        <v>100</v>
      </c>
      <c r="Y85" s="1607"/>
      <c r="Z85" s="1535"/>
      <c r="AA85" s="1135"/>
      <c r="AB85" s="1013"/>
    </row>
    <row r="86" spans="1:30" ht="15" customHeight="1" x14ac:dyDescent="0.2">
      <c r="A86" s="1075"/>
      <c r="B86" s="1032"/>
      <c r="C86" s="1007"/>
      <c r="D86" s="1505"/>
      <c r="E86" s="2411"/>
      <c r="F86" s="1030"/>
      <c r="G86" s="1008"/>
      <c r="H86" s="1673"/>
      <c r="I86" s="2500"/>
      <c r="J86" s="954" t="s">
        <v>269</v>
      </c>
      <c r="K86" s="920"/>
      <c r="L86" s="1724"/>
      <c r="M86" s="1314">
        <v>3000</v>
      </c>
      <c r="N86" s="1422"/>
      <c r="O86" s="1532"/>
      <c r="P86" s="1533">
        <v>3000</v>
      </c>
      <c r="Q86" s="1197"/>
      <c r="R86" s="1198"/>
      <c r="S86" s="1197"/>
      <c r="T86" s="1392"/>
      <c r="U86" s="1423"/>
      <c r="V86" s="1424"/>
      <c r="W86" s="2552" t="s">
        <v>309</v>
      </c>
      <c r="X86" s="1658">
        <v>1</v>
      </c>
      <c r="Y86" s="1372"/>
      <c r="Z86" s="1174"/>
      <c r="AB86" s="1013"/>
    </row>
    <row r="87" spans="1:30" ht="15" customHeight="1" x14ac:dyDescent="0.2">
      <c r="A87" s="1075"/>
      <c r="B87" s="1032"/>
      <c r="C87" s="1007"/>
      <c r="D87" s="1505"/>
      <c r="E87" s="2411"/>
      <c r="F87" s="1030"/>
      <c r="G87" s="1008"/>
      <c r="H87" s="1673"/>
      <c r="I87" s="2500"/>
      <c r="J87" s="954"/>
      <c r="K87" s="920"/>
      <c r="L87" s="1724"/>
      <c r="M87" s="1314"/>
      <c r="N87" s="1422"/>
      <c r="O87" s="1532"/>
      <c r="P87" s="1533"/>
      <c r="Q87" s="1197"/>
      <c r="R87" s="1198"/>
      <c r="S87" s="1197"/>
      <c r="T87" s="1392"/>
      <c r="U87" s="1423"/>
      <c r="V87" s="1424"/>
      <c r="W87" s="2553"/>
      <c r="X87" s="1013"/>
      <c r="Y87" s="1607"/>
      <c r="Z87" s="1535"/>
      <c r="AB87" s="1013"/>
    </row>
    <row r="88" spans="1:30" ht="15" customHeight="1" x14ac:dyDescent="0.2">
      <c r="A88" s="1075"/>
      <c r="B88" s="1032"/>
      <c r="C88" s="1132"/>
      <c r="D88" s="1506"/>
      <c r="E88" s="2383"/>
      <c r="F88" s="1030"/>
      <c r="G88" s="1008"/>
      <c r="H88" s="1994"/>
      <c r="I88" s="2500"/>
      <c r="J88" s="1162" t="s">
        <v>16</v>
      </c>
      <c r="K88" s="916"/>
      <c r="L88" s="1595"/>
      <c r="M88" s="1163">
        <f>SUM(M85:M87)</f>
        <v>155100</v>
      </c>
      <c r="N88" s="1164"/>
      <c r="O88" s="1165"/>
      <c r="P88" s="1166">
        <f>SUM(P85)</f>
        <v>152100</v>
      </c>
      <c r="Q88" s="916"/>
      <c r="R88" s="1164"/>
      <c r="S88" s="916"/>
      <c r="T88" s="1167"/>
      <c r="U88" s="1387">
        <f>SUM(U85:U87)</f>
        <v>0</v>
      </c>
      <c r="V88" s="1387"/>
      <c r="W88" s="2410"/>
      <c r="X88" s="1684"/>
      <c r="Y88" s="1534"/>
      <c r="Z88" s="1606"/>
      <c r="AB88" s="1013"/>
    </row>
    <row r="89" spans="1:30" ht="30.75" customHeight="1" x14ac:dyDescent="0.2">
      <c r="A89" s="1075"/>
      <c r="B89" s="1032"/>
      <c r="C89" s="1007"/>
      <c r="D89" s="1505" t="s">
        <v>56</v>
      </c>
      <c r="E89" s="2411" t="s">
        <v>260</v>
      </c>
      <c r="F89" s="2407"/>
      <c r="G89" s="1008"/>
      <c r="H89" s="1673"/>
      <c r="I89" s="1036"/>
      <c r="J89" s="1279" t="s">
        <v>12</v>
      </c>
      <c r="K89" s="1358"/>
      <c r="L89" s="1725"/>
      <c r="M89" s="1117"/>
      <c r="N89" s="1118"/>
      <c r="O89" s="1118"/>
      <c r="P89" s="1128"/>
      <c r="Q89" s="1042"/>
      <c r="R89" s="1016"/>
      <c r="S89" s="1016"/>
      <c r="T89" s="1043"/>
      <c r="U89" s="877"/>
      <c r="V89" s="878">
        <v>90000</v>
      </c>
      <c r="W89" s="1262" t="s">
        <v>261</v>
      </c>
      <c r="X89" s="1335"/>
      <c r="Y89" s="1270"/>
      <c r="Z89" s="1336">
        <v>1</v>
      </c>
      <c r="AB89" s="1013"/>
    </row>
    <row r="90" spans="1:30" ht="14.25" customHeight="1" x14ac:dyDescent="0.2">
      <c r="A90" s="1142"/>
      <c r="B90" s="1137"/>
      <c r="C90" s="1132"/>
      <c r="D90" s="1508"/>
      <c r="E90" s="2411"/>
      <c r="F90" s="2422"/>
      <c r="G90" s="1130"/>
      <c r="H90" s="1674"/>
      <c r="I90" s="1679"/>
      <c r="J90" s="1138" t="s">
        <v>16</v>
      </c>
      <c r="K90" s="924"/>
      <c r="L90" s="1086"/>
      <c r="M90" s="1139"/>
      <c r="N90" s="1085"/>
      <c r="O90" s="924"/>
      <c r="P90" s="1086"/>
      <c r="Q90" s="924"/>
      <c r="R90" s="1085"/>
      <c r="S90" s="924"/>
      <c r="T90" s="1140"/>
      <c r="U90" s="911"/>
      <c r="V90" s="924">
        <f>SUM(V89)</f>
        <v>90000</v>
      </c>
      <c r="W90" s="1262"/>
      <c r="X90" s="1648"/>
      <c r="Y90" s="1118"/>
      <c r="Z90" s="1098"/>
      <c r="AB90" s="1013"/>
    </row>
    <row r="91" spans="1:30" ht="13.5" thickBot="1" x14ac:dyDescent="0.25">
      <c r="A91" s="1144"/>
      <c r="B91" s="1145"/>
      <c r="C91" s="1146"/>
      <c r="D91" s="1509"/>
      <c r="E91" s="1147"/>
      <c r="F91" s="1147"/>
      <c r="G91" s="1147"/>
      <c r="H91" s="2579"/>
      <c r="I91" s="2580"/>
      <c r="J91" s="1149" t="s">
        <v>16</v>
      </c>
      <c r="K91" s="1150">
        <f>K79+K72+K75+K84</f>
        <v>29627</v>
      </c>
      <c r="L91" s="1154">
        <f>L79+L72+L75+L84</f>
        <v>14792</v>
      </c>
      <c r="M91" s="1150">
        <f>M72+M79+M84+M75+M88+M90</f>
        <v>215200</v>
      </c>
      <c r="N91" s="1151">
        <f t="shared" ref="N91:T91" si="3">N72+N79+N84+N75</f>
        <v>2900</v>
      </c>
      <c r="O91" s="1152">
        <f t="shared" si="3"/>
        <v>0</v>
      </c>
      <c r="P91" s="1176">
        <f t="shared" si="3"/>
        <v>57200</v>
      </c>
      <c r="Q91" s="1153">
        <f t="shared" si="3"/>
        <v>0</v>
      </c>
      <c r="R91" s="1151">
        <f t="shared" si="3"/>
        <v>0</v>
      </c>
      <c r="S91" s="1153">
        <f t="shared" si="3"/>
        <v>0</v>
      </c>
      <c r="T91" s="1154">
        <f t="shared" si="3"/>
        <v>0</v>
      </c>
      <c r="U91" s="1150">
        <f>U72+U79+U84+U75+U88+U90</f>
        <v>456000</v>
      </c>
      <c r="V91" s="1150">
        <f>V72+V79+V84+V75+V90</f>
        <v>1388900</v>
      </c>
      <c r="W91" s="2423"/>
      <c r="X91" s="2424"/>
      <c r="Y91" s="2424"/>
      <c r="Z91" s="2425"/>
    </row>
    <row r="92" spans="1:30" ht="43.5" customHeight="1" x14ac:dyDescent="0.2">
      <c r="A92" s="1061" t="s">
        <v>9</v>
      </c>
      <c r="B92" s="1062" t="s">
        <v>10</v>
      </c>
      <c r="C92" s="994" t="s">
        <v>11</v>
      </c>
      <c r="D92" s="1510"/>
      <c r="E92" s="1155" t="s">
        <v>55</v>
      </c>
      <c r="F92" s="1156"/>
      <c r="G92" s="1272" t="s">
        <v>14</v>
      </c>
      <c r="H92" s="1548">
        <v>6</v>
      </c>
      <c r="I92" s="2499" t="s">
        <v>126</v>
      </c>
      <c r="J92" s="1157"/>
      <c r="K92" s="1357"/>
      <c r="L92" s="1589"/>
      <c r="M92" s="1158"/>
      <c r="N92" s="1159"/>
      <c r="O92" s="1160"/>
      <c r="P92" s="1089"/>
      <c r="Q92" s="1161"/>
      <c r="R92" s="1002"/>
      <c r="S92" s="1161"/>
      <c r="T92" s="1003"/>
      <c r="U92" s="872"/>
      <c r="V92" s="873"/>
      <c r="W92" s="1126"/>
      <c r="X92" s="1072"/>
      <c r="Y92" s="1073"/>
      <c r="Z92" s="1074"/>
    </row>
    <row r="93" spans="1:30" ht="27" customHeight="1" x14ac:dyDescent="0.2">
      <c r="A93" s="1075"/>
      <c r="B93" s="1032"/>
      <c r="C93" s="1007"/>
      <c r="D93" s="1507" t="s">
        <v>9</v>
      </c>
      <c r="E93" s="2382" t="s">
        <v>204</v>
      </c>
      <c r="F93" s="1030"/>
      <c r="G93" s="1008"/>
      <c r="H93" s="1009"/>
      <c r="I93" s="2500"/>
      <c r="J93" s="1121" t="s">
        <v>12</v>
      </c>
      <c r="K93" s="920">
        <v>5792</v>
      </c>
      <c r="L93" s="2494">
        <v>103211</v>
      </c>
      <c r="M93" s="1078"/>
      <c r="N93" s="1268"/>
      <c r="O93" s="1031"/>
      <c r="P93" s="926"/>
      <c r="Q93" s="980"/>
      <c r="R93" s="975"/>
      <c r="S93" s="980"/>
      <c r="T93" s="976"/>
      <c r="U93" s="925"/>
      <c r="V93" s="977"/>
      <c r="W93" s="2550"/>
      <c r="X93" s="2557"/>
      <c r="Y93" s="2559"/>
      <c r="Z93" s="2561"/>
    </row>
    <row r="94" spans="1:30" x14ac:dyDescent="0.2">
      <c r="A94" s="1075"/>
      <c r="B94" s="1032"/>
      <c r="C94" s="1132"/>
      <c r="D94" s="1508"/>
      <c r="E94" s="2383"/>
      <c r="F94" s="1030"/>
      <c r="G94" s="1008"/>
      <c r="H94" s="1009"/>
      <c r="I94" s="2500"/>
      <c r="J94" s="1162" t="s">
        <v>16</v>
      </c>
      <c r="K94" s="916">
        <f>SUM(K93)</f>
        <v>5792</v>
      </c>
      <c r="L94" s="2495"/>
      <c r="M94" s="1163"/>
      <c r="N94" s="1164"/>
      <c r="O94" s="1165"/>
      <c r="P94" s="1166"/>
      <c r="Q94" s="916"/>
      <c r="R94" s="1164"/>
      <c r="S94" s="916"/>
      <c r="T94" s="1167"/>
      <c r="U94" s="917"/>
      <c r="V94" s="1166"/>
      <c r="W94" s="2539"/>
      <c r="X94" s="2558"/>
      <c r="Y94" s="2560"/>
      <c r="Z94" s="2562"/>
      <c r="AB94" s="1013"/>
    </row>
    <row r="95" spans="1:30" ht="29.25" customHeight="1" x14ac:dyDescent="0.2">
      <c r="A95" s="1075"/>
      <c r="B95" s="1032"/>
      <c r="C95" s="1007"/>
      <c r="D95" s="1507" t="s">
        <v>10</v>
      </c>
      <c r="E95" s="2382" t="s">
        <v>182</v>
      </c>
      <c r="F95" s="2407"/>
      <c r="G95" s="2549"/>
      <c r="H95" s="2408"/>
      <c r="I95" s="1036"/>
      <c r="J95" s="954" t="s">
        <v>12</v>
      </c>
      <c r="K95" s="977">
        <v>35826</v>
      </c>
      <c r="L95" s="2495"/>
      <c r="M95" s="1168"/>
      <c r="N95" s="982"/>
      <c r="O95" s="1169"/>
      <c r="P95" s="926"/>
      <c r="Q95" s="980"/>
      <c r="R95" s="975"/>
      <c r="S95" s="980"/>
      <c r="T95" s="976"/>
      <c r="U95" s="925"/>
      <c r="V95" s="977"/>
      <c r="W95" s="1170"/>
      <c r="X95" s="1078"/>
      <c r="Y95" s="1083"/>
      <c r="Z95" s="1081"/>
      <c r="AB95" s="1013"/>
      <c r="AC95" s="1013"/>
    </row>
    <row r="96" spans="1:30" ht="29.25" customHeight="1" x14ac:dyDescent="0.2">
      <c r="A96" s="1075"/>
      <c r="B96" s="1032"/>
      <c r="C96" s="1007"/>
      <c r="D96" s="1505"/>
      <c r="E96" s="2411"/>
      <c r="F96" s="2407"/>
      <c r="G96" s="2549"/>
      <c r="H96" s="2408"/>
      <c r="I96" s="1036"/>
      <c r="J96" s="1114" t="s">
        <v>20</v>
      </c>
      <c r="K96" s="977">
        <v>47237</v>
      </c>
      <c r="L96" s="2495"/>
      <c r="M96" s="1078"/>
      <c r="N96" s="1268"/>
      <c r="O96" s="1031"/>
      <c r="P96" s="926"/>
      <c r="Q96" s="978"/>
      <c r="R96" s="979"/>
      <c r="S96" s="980"/>
      <c r="T96" s="976"/>
      <c r="U96" s="925"/>
      <c r="V96" s="926"/>
      <c r="W96" s="2538"/>
      <c r="X96" s="1117"/>
      <c r="Y96" s="1118"/>
      <c r="Z96" s="1098"/>
      <c r="AD96" s="1013"/>
    </row>
    <row r="97" spans="1:32" ht="21" customHeight="1" x14ac:dyDescent="0.2">
      <c r="A97" s="1142"/>
      <c r="B97" s="1137"/>
      <c r="C97" s="1132"/>
      <c r="D97" s="1511"/>
      <c r="E97" s="2383"/>
      <c r="F97" s="2407"/>
      <c r="G97" s="2549"/>
      <c r="H97" s="2408"/>
      <c r="I97" s="1036"/>
      <c r="J97" s="1162" t="s">
        <v>16</v>
      </c>
      <c r="K97" s="916">
        <f>SUM(K95:K96)</f>
        <v>83063</v>
      </c>
      <c r="L97" s="2495"/>
      <c r="M97" s="1163"/>
      <c r="N97" s="1164"/>
      <c r="O97" s="1165"/>
      <c r="P97" s="1166"/>
      <c r="Q97" s="916"/>
      <c r="R97" s="1164"/>
      <c r="S97" s="916"/>
      <c r="T97" s="1167"/>
      <c r="U97" s="917"/>
      <c r="V97" s="916"/>
      <c r="W97" s="2539"/>
      <c r="X97" s="1143"/>
      <c r="Y97" s="1045"/>
      <c r="Z97" s="1541"/>
      <c r="AB97" s="1013"/>
    </row>
    <row r="98" spans="1:32" ht="18" customHeight="1" x14ac:dyDescent="0.2">
      <c r="A98" s="1075"/>
      <c r="B98" s="1032"/>
      <c r="C98" s="1007"/>
      <c r="D98" s="1505" t="s">
        <v>11</v>
      </c>
      <c r="E98" s="2411" t="s">
        <v>241</v>
      </c>
      <c r="F98" s="2407"/>
      <c r="G98" s="2549"/>
      <c r="H98" s="2408"/>
      <c r="I98" s="1036"/>
      <c r="J98" s="1279" t="s">
        <v>12</v>
      </c>
      <c r="K98" s="878">
        <v>101367</v>
      </c>
      <c r="L98" s="2495"/>
      <c r="M98" s="1120"/>
      <c r="N98" s="1041"/>
      <c r="O98" s="1171"/>
      <c r="P98" s="927"/>
      <c r="Q98" s="929"/>
      <c r="R98" s="1016"/>
      <c r="S98" s="929"/>
      <c r="T98" s="1043"/>
      <c r="U98" s="877"/>
      <c r="V98" s="927"/>
      <c r="W98" s="2538"/>
      <c r="X98" s="1120"/>
      <c r="Y98" s="1108"/>
      <c r="Z98" s="1129"/>
      <c r="AB98" s="1013"/>
    </row>
    <row r="99" spans="1:32" ht="18" customHeight="1" x14ac:dyDescent="0.2">
      <c r="A99" s="1075"/>
      <c r="B99" s="1032"/>
      <c r="C99" s="1007"/>
      <c r="D99" s="1505"/>
      <c r="E99" s="2411"/>
      <c r="F99" s="2407"/>
      <c r="G99" s="2549"/>
      <c r="H99" s="2408"/>
      <c r="I99" s="1036"/>
      <c r="J99" s="1273"/>
      <c r="K99" s="878"/>
      <c r="L99" s="2495"/>
      <c r="M99" s="1120"/>
      <c r="N99" s="1118"/>
      <c r="O99" s="1171"/>
      <c r="P99" s="927"/>
      <c r="Q99" s="1141"/>
      <c r="R99" s="1038"/>
      <c r="S99" s="929"/>
      <c r="T99" s="1043"/>
      <c r="U99" s="877"/>
      <c r="V99" s="927"/>
      <c r="W99" s="2538"/>
      <c r="X99" s="1117"/>
      <c r="Y99" s="1118"/>
      <c r="Z99" s="1098"/>
      <c r="AF99" s="1013"/>
    </row>
    <row r="100" spans="1:32" ht="18" customHeight="1" x14ac:dyDescent="0.2">
      <c r="A100" s="1142"/>
      <c r="B100" s="1137"/>
      <c r="C100" s="1132"/>
      <c r="D100" s="1508"/>
      <c r="E100" s="2383"/>
      <c r="F100" s="2407"/>
      <c r="G100" s="2549"/>
      <c r="H100" s="2408"/>
      <c r="I100" s="1036"/>
      <c r="J100" s="1162" t="s">
        <v>16</v>
      </c>
      <c r="K100" s="916">
        <f>SUM(K98:K99)</f>
        <v>101367</v>
      </c>
      <c r="L100" s="2496"/>
      <c r="M100" s="1139"/>
      <c r="N100" s="1085"/>
      <c r="O100" s="1172"/>
      <c r="P100" s="1173"/>
      <c r="Q100" s="924"/>
      <c r="R100" s="1085"/>
      <c r="S100" s="924"/>
      <c r="T100" s="1140"/>
      <c r="U100" s="911"/>
      <c r="V100" s="924"/>
      <c r="W100" s="2539"/>
      <c r="X100" s="1143"/>
      <c r="Y100" s="1045"/>
      <c r="Z100" s="1541"/>
      <c r="AB100" s="1013"/>
    </row>
    <row r="101" spans="1:32" ht="13.5" thickBot="1" x14ac:dyDescent="0.25">
      <c r="A101" s="1055"/>
      <c r="B101" s="992"/>
      <c r="C101" s="1146"/>
      <c r="D101" s="1512"/>
      <c r="E101" s="1147"/>
      <c r="F101" s="1147"/>
      <c r="G101" s="1147"/>
      <c r="H101" s="1147"/>
      <c r="I101" s="1148"/>
      <c r="J101" s="1149" t="s">
        <v>16</v>
      </c>
      <c r="K101" s="1153">
        <f>K100+K97+K94</f>
        <v>190222</v>
      </c>
      <c r="L101" s="1154">
        <f>SUM(L93)</f>
        <v>103211</v>
      </c>
      <c r="M101" s="1175"/>
      <c r="N101" s="1153"/>
      <c r="O101" s="1151"/>
      <c r="P101" s="1176"/>
      <c r="Q101" s="1153"/>
      <c r="R101" s="1153"/>
      <c r="S101" s="1153"/>
      <c r="T101" s="1153"/>
      <c r="U101" s="1177"/>
      <c r="V101" s="1153"/>
      <c r="W101" s="2423"/>
      <c r="X101" s="2424"/>
      <c r="Y101" s="2424"/>
      <c r="Z101" s="2425"/>
    </row>
    <row r="102" spans="1:32" ht="13.5" thickBot="1" x14ac:dyDescent="0.25">
      <c r="A102" s="1178" t="s">
        <v>9</v>
      </c>
      <c r="B102" s="1145" t="s">
        <v>10</v>
      </c>
      <c r="C102" s="2441" t="s">
        <v>15</v>
      </c>
      <c r="D102" s="2394"/>
      <c r="E102" s="2394"/>
      <c r="F102" s="2394"/>
      <c r="G102" s="2394"/>
      <c r="H102" s="2394"/>
      <c r="I102" s="2394"/>
      <c r="J102" s="2395"/>
      <c r="K102" s="898">
        <f t="shared" ref="K102:V102" si="4">K101+K91+K66</f>
        <v>3390468</v>
      </c>
      <c r="L102" s="1060">
        <f t="shared" si="4"/>
        <v>3450387</v>
      </c>
      <c r="M102" s="1179">
        <f t="shared" si="4"/>
        <v>3775200</v>
      </c>
      <c r="N102" s="1058">
        <f t="shared" si="4"/>
        <v>3377700</v>
      </c>
      <c r="O102" s="898">
        <f t="shared" si="4"/>
        <v>1785300</v>
      </c>
      <c r="P102" s="1060">
        <f t="shared" si="4"/>
        <v>242400</v>
      </c>
      <c r="Q102" s="1179">
        <f t="shared" si="4"/>
        <v>0</v>
      </c>
      <c r="R102" s="1179">
        <f t="shared" si="4"/>
        <v>0</v>
      </c>
      <c r="S102" s="1179">
        <f t="shared" si="4"/>
        <v>0</v>
      </c>
      <c r="T102" s="1179">
        <f t="shared" si="4"/>
        <v>0</v>
      </c>
      <c r="U102" s="1179">
        <f t="shared" si="4"/>
        <v>4370300</v>
      </c>
      <c r="V102" s="1179">
        <f t="shared" si="4"/>
        <v>5245000</v>
      </c>
      <c r="W102" s="2396"/>
      <c r="X102" s="2397"/>
      <c r="Y102" s="2397"/>
      <c r="Z102" s="2398"/>
    </row>
    <row r="103" spans="1:32" ht="13.5" customHeight="1" thickBot="1" x14ac:dyDescent="0.25">
      <c r="A103" s="944" t="s">
        <v>9</v>
      </c>
      <c r="B103" s="1058" t="s">
        <v>11</v>
      </c>
      <c r="C103" s="2442" t="s">
        <v>153</v>
      </c>
      <c r="D103" s="2401"/>
      <c r="E103" s="2401"/>
      <c r="F103" s="2401"/>
      <c r="G103" s="2401"/>
      <c r="H103" s="2401"/>
      <c r="I103" s="2401"/>
      <c r="J103" s="2401"/>
      <c r="K103" s="2401"/>
      <c r="L103" s="2401"/>
      <c r="M103" s="2401"/>
      <c r="N103" s="2401"/>
      <c r="O103" s="2401"/>
      <c r="P103" s="2401"/>
      <c r="Q103" s="2401"/>
      <c r="R103" s="2401"/>
      <c r="S103" s="2401"/>
      <c r="T103" s="2401"/>
      <c r="U103" s="2401"/>
      <c r="V103" s="2401"/>
      <c r="W103" s="2401"/>
      <c r="X103" s="2401"/>
      <c r="Y103" s="2401"/>
      <c r="Z103" s="2402"/>
    </row>
    <row r="104" spans="1:32" ht="43.5" customHeight="1" x14ac:dyDescent="0.2">
      <c r="A104" s="1061" t="s">
        <v>9</v>
      </c>
      <c r="B104" s="1062" t="s">
        <v>11</v>
      </c>
      <c r="C104" s="994" t="s">
        <v>9</v>
      </c>
      <c r="D104" s="1513"/>
      <c r="E104" s="1488" t="s">
        <v>294</v>
      </c>
      <c r="F104" s="1180"/>
      <c r="G104" s="1272" t="s">
        <v>14</v>
      </c>
      <c r="H104" s="1548">
        <v>2</v>
      </c>
      <c r="I104" s="1546" t="s">
        <v>125</v>
      </c>
      <c r="J104" s="1181"/>
      <c r="K104" s="1342"/>
      <c r="L104" s="1589"/>
      <c r="M104" s="1181"/>
      <c r="N104" s="1159"/>
      <c r="O104" s="873"/>
      <c r="P104" s="1000"/>
      <c r="Q104" s="1001"/>
      <c r="R104" s="1161"/>
      <c r="S104" s="1002"/>
      <c r="T104" s="1161"/>
      <c r="U104" s="872"/>
      <c r="V104" s="872"/>
      <c r="W104" s="1183"/>
      <c r="X104" s="1184"/>
      <c r="Y104" s="1073"/>
      <c r="Z104" s="1074"/>
      <c r="AE104" s="1013"/>
    </row>
    <row r="105" spans="1:32" ht="30.75" customHeight="1" x14ac:dyDescent="0.2">
      <c r="A105" s="1075"/>
      <c r="B105" s="1032"/>
      <c r="C105" s="1007"/>
      <c r="D105" s="1290" t="s">
        <v>9</v>
      </c>
      <c r="E105" s="1185" t="s">
        <v>289</v>
      </c>
      <c r="F105" s="2443" t="s">
        <v>83</v>
      </c>
      <c r="G105" s="1188"/>
      <c r="H105" s="1425"/>
      <c r="I105" s="2002"/>
      <c r="J105" s="1263" t="s">
        <v>12</v>
      </c>
      <c r="K105" s="1311">
        <v>2896</v>
      </c>
      <c r="L105" s="1652">
        <v>17377</v>
      </c>
      <c r="M105" s="1263">
        <v>6000</v>
      </c>
      <c r="N105" s="1187">
        <v>6000</v>
      </c>
      <c r="O105" s="1186"/>
      <c r="P105" s="1188"/>
      <c r="Q105" s="1189">
        <f>R105+T105</f>
        <v>0</v>
      </c>
      <c r="R105" s="1190">
        <v>0</v>
      </c>
      <c r="S105" s="1191"/>
      <c r="T105" s="1190"/>
      <c r="U105" s="930">
        <v>30000</v>
      </c>
      <c r="V105" s="930">
        <v>55000</v>
      </c>
      <c r="W105" s="1287" t="s">
        <v>318</v>
      </c>
      <c r="X105" s="1192">
        <v>2</v>
      </c>
      <c r="Y105" s="1193">
        <v>4</v>
      </c>
      <c r="Z105" s="1194">
        <v>8</v>
      </c>
      <c r="AA105" s="1135"/>
    </row>
    <row r="106" spans="1:32" ht="82.5" customHeight="1" x14ac:dyDescent="0.2">
      <c r="A106" s="1680"/>
      <c r="B106" s="1681"/>
      <c r="C106" s="1690"/>
      <c r="D106" s="1303"/>
      <c r="E106" s="2032"/>
      <c r="F106" s="2444"/>
      <c r="G106" s="1237"/>
      <c r="H106" s="1693"/>
      <c r="I106" s="1694"/>
      <c r="J106" s="1234"/>
      <c r="K106" s="1313"/>
      <c r="L106" s="1657"/>
      <c r="M106" s="1234"/>
      <c r="N106" s="1235"/>
      <c r="O106" s="1236"/>
      <c r="P106" s="1237"/>
      <c r="Q106" s="1472"/>
      <c r="R106" s="1438"/>
      <c r="S106" s="1439"/>
      <c r="T106" s="1438"/>
      <c r="U106" s="934"/>
      <c r="V106" s="934"/>
      <c r="W106" s="1039" t="s">
        <v>317</v>
      </c>
      <c r="X106" s="1169"/>
      <c r="Y106" s="982">
        <v>5</v>
      </c>
      <c r="Z106" s="983">
        <v>6</v>
      </c>
      <c r="AA106" s="1013"/>
    </row>
    <row r="107" spans="1:32" ht="16.5" customHeight="1" x14ac:dyDescent="0.2">
      <c r="A107" s="1075"/>
      <c r="B107" s="1032"/>
      <c r="C107" s="1007"/>
      <c r="D107" s="1290" t="s">
        <v>10</v>
      </c>
      <c r="E107" s="2432" t="s">
        <v>183</v>
      </c>
      <c r="F107" s="2431" t="s">
        <v>84</v>
      </c>
      <c r="G107" s="1188"/>
      <c r="H107" s="1425"/>
      <c r="I107" s="1675"/>
      <c r="J107" s="1263" t="s">
        <v>12</v>
      </c>
      <c r="K107" s="1311">
        <v>14481</v>
      </c>
      <c r="L107" s="1656"/>
      <c r="M107" s="1263">
        <v>15000</v>
      </c>
      <c r="N107" s="1187">
        <v>15000</v>
      </c>
      <c r="O107" s="1186"/>
      <c r="P107" s="1188"/>
      <c r="Q107" s="1685"/>
      <c r="R107" s="1190"/>
      <c r="S107" s="1191"/>
      <c r="T107" s="1686"/>
      <c r="U107" s="931">
        <v>30000</v>
      </c>
      <c r="V107" s="931">
        <v>55000</v>
      </c>
      <c r="W107" s="2031" t="s">
        <v>80</v>
      </c>
      <c r="X107" s="1924"/>
      <c r="Y107" s="2004">
        <v>1</v>
      </c>
      <c r="Z107" s="2000">
        <v>1</v>
      </c>
    </row>
    <row r="108" spans="1:32" ht="15" customHeight="1" x14ac:dyDescent="0.2">
      <c r="A108" s="1075"/>
      <c r="B108" s="1032"/>
      <c r="C108" s="1007"/>
      <c r="D108" s="1689"/>
      <c r="E108" s="2432"/>
      <c r="F108" s="2431"/>
      <c r="G108" s="1188"/>
      <c r="H108" s="1425"/>
      <c r="I108" s="1675"/>
      <c r="J108" s="987"/>
      <c r="K108" s="1312"/>
      <c r="L108" s="1656"/>
      <c r="M108" s="1426"/>
      <c r="N108" s="987"/>
      <c r="O108" s="1427"/>
      <c r="P108" s="1428"/>
      <c r="Q108" s="1429"/>
      <c r="R108" s="1430"/>
      <c r="S108" s="1431"/>
      <c r="T108" s="1432"/>
      <c r="U108" s="1202"/>
      <c r="V108" s="1202"/>
      <c r="W108" s="1479" t="s">
        <v>184</v>
      </c>
      <c r="X108" s="1301">
        <v>2</v>
      </c>
      <c r="Y108" s="1015">
        <v>2</v>
      </c>
      <c r="Z108" s="1667">
        <v>2</v>
      </c>
      <c r="AB108" s="1013"/>
      <c r="AD108" s="1013"/>
    </row>
    <row r="109" spans="1:32" ht="29.25" customHeight="1" x14ac:dyDescent="0.2">
      <c r="A109" s="1075"/>
      <c r="B109" s="1032"/>
      <c r="C109" s="1007"/>
      <c r="D109" s="1691"/>
      <c r="E109" s="2446"/>
      <c r="F109" s="1464"/>
      <c r="G109" s="1188"/>
      <c r="H109" s="1425"/>
      <c r="I109" s="2002"/>
      <c r="J109" s="1695"/>
      <c r="K109" s="1696"/>
      <c r="L109" s="1656"/>
      <c r="M109" s="1433"/>
      <c r="N109" s="1695"/>
      <c r="O109" s="1434"/>
      <c r="P109" s="1697"/>
      <c r="Q109" s="1698"/>
      <c r="R109" s="1435"/>
      <c r="S109" s="1699"/>
      <c r="T109" s="1436"/>
      <c r="U109" s="1700"/>
      <c r="V109" s="1700"/>
      <c r="W109" s="1478" t="s">
        <v>246</v>
      </c>
      <c r="X109" s="1284">
        <v>1</v>
      </c>
      <c r="Y109" s="1018">
        <v>4</v>
      </c>
      <c r="Z109" s="1226">
        <v>9</v>
      </c>
    </row>
    <row r="110" spans="1:32" ht="39.75" customHeight="1" x14ac:dyDescent="0.2">
      <c r="A110" s="1075"/>
      <c r="B110" s="1032"/>
      <c r="C110" s="1007"/>
      <c r="D110" s="1290" t="s">
        <v>11</v>
      </c>
      <c r="E110" s="1676" t="s">
        <v>281</v>
      </c>
      <c r="F110" s="1464"/>
      <c r="G110" s="1188"/>
      <c r="H110" s="1425"/>
      <c r="I110" s="1661"/>
      <c r="J110" s="1263" t="s">
        <v>12</v>
      </c>
      <c r="K110" s="1311"/>
      <c r="L110" s="1656"/>
      <c r="M110" s="1263"/>
      <c r="N110" s="1187"/>
      <c r="O110" s="1186"/>
      <c r="P110" s="1188"/>
      <c r="Q110" s="1685"/>
      <c r="R110" s="1190"/>
      <c r="S110" s="1191"/>
      <c r="T110" s="1686"/>
      <c r="U110" s="930">
        <v>10000</v>
      </c>
      <c r="V110" s="930">
        <v>54000</v>
      </c>
      <c r="W110" s="1687" t="s">
        <v>282</v>
      </c>
      <c r="X110" s="1688"/>
      <c r="Y110" s="1677">
        <v>1</v>
      </c>
      <c r="Z110" s="1668">
        <v>10</v>
      </c>
      <c r="AB110" s="1013"/>
      <c r="AD110" s="1013"/>
    </row>
    <row r="111" spans="1:32" ht="27.75" customHeight="1" x14ac:dyDescent="0.2">
      <c r="A111" s="1075"/>
      <c r="B111" s="1032"/>
      <c r="C111" s="1007"/>
      <c r="D111" s="1290"/>
      <c r="E111" s="1552"/>
      <c r="F111" s="1464"/>
      <c r="G111" s="1188"/>
      <c r="H111" s="1425"/>
      <c r="I111" s="1542"/>
      <c r="J111" s="1234"/>
      <c r="K111" s="1313"/>
      <c r="L111" s="1656"/>
      <c r="M111" s="1234"/>
      <c r="N111" s="1235"/>
      <c r="O111" s="1236"/>
      <c r="P111" s="1237"/>
      <c r="Q111" s="1437"/>
      <c r="R111" s="1438"/>
      <c r="S111" s="1439"/>
      <c r="T111" s="1440"/>
      <c r="U111" s="934"/>
      <c r="V111" s="934"/>
      <c r="W111" s="1262" t="s">
        <v>359</v>
      </c>
      <c r="X111" s="1171"/>
      <c r="Y111" s="1041"/>
      <c r="Z111" s="1651">
        <v>5</v>
      </c>
      <c r="AB111" s="1013"/>
    </row>
    <row r="112" spans="1:32" ht="25.5" customHeight="1" x14ac:dyDescent="0.2">
      <c r="A112" s="1075"/>
      <c r="B112" s="1032"/>
      <c r="C112" s="1007"/>
      <c r="D112" s="1302" t="s">
        <v>11</v>
      </c>
      <c r="E112" s="2445" t="s">
        <v>280</v>
      </c>
      <c r="F112" s="1464"/>
      <c r="G112" s="1188"/>
      <c r="H112" s="1425"/>
      <c r="I112" s="1542"/>
      <c r="J112" s="1266" t="s">
        <v>12</v>
      </c>
      <c r="K112" s="1314"/>
      <c r="L112" s="1657"/>
      <c r="M112" s="1266"/>
      <c r="N112" s="1720"/>
      <c r="O112" s="1203"/>
      <c r="P112" s="1255"/>
      <c r="Q112" s="1204"/>
      <c r="R112" s="1205"/>
      <c r="S112" s="1206"/>
      <c r="T112" s="1207"/>
      <c r="U112" s="1208">
        <v>30000</v>
      </c>
      <c r="V112" s="1208">
        <v>75000</v>
      </c>
      <c r="W112" s="1549" t="s">
        <v>232</v>
      </c>
      <c r="X112" s="1031"/>
      <c r="Y112" s="1268">
        <v>4</v>
      </c>
      <c r="Z112" s="973">
        <v>10</v>
      </c>
      <c r="AB112" s="1013"/>
    </row>
    <row r="113" spans="1:47" ht="16.5" customHeight="1" thickBot="1" x14ac:dyDescent="0.25">
      <c r="A113" s="1075"/>
      <c r="B113" s="1032"/>
      <c r="C113" s="1132"/>
      <c r="D113" s="1503"/>
      <c r="E113" s="2433"/>
      <c r="F113" s="1655"/>
      <c r="G113" s="1188"/>
      <c r="H113" s="1271"/>
      <c r="I113" s="1543"/>
      <c r="J113" s="1441" t="s">
        <v>16</v>
      </c>
      <c r="K113" s="1238">
        <f>SUM(K105:K107)</f>
        <v>17377</v>
      </c>
      <c r="L113" s="1267">
        <f>SUM(L105:L112)</f>
        <v>17377</v>
      </c>
      <c r="M113" s="1238">
        <f>SUM(M105:M107)</f>
        <v>21000</v>
      </c>
      <c r="N113" s="1211">
        <f>SUM(N105:N107)</f>
        <v>21000</v>
      </c>
      <c r="O113" s="1210"/>
      <c r="P113" s="1267"/>
      <c r="Q113" s="1213">
        <f>SUM(Q105:Q107)</f>
        <v>0</v>
      </c>
      <c r="R113" s="1210">
        <f>SUM(R105:R107)</f>
        <v>0</v>
      </c>
      <c r="S113" s="1211">
        <f>SUM(S105:S107)</f>
        <v>0</v>
      </c>
      <c r="T113" s="1214">
        <f>SUM(T105:T107)</f>
        <v>0</v>
      </c>
      <c r="U113" s="935">
        <f>SUM(U105:U112)</f>
        <v>100000</v>
      </c>
      <c r="V113" s="935">
        <f>SUM(V105:V112)</f>
        <v>239000</v>
      </c>
      <c r="W113" s="961"/>
      <c r="X113" s="1215"/>
      <c r="Y113" s="1119"/>
      <c r="Z113" s="1216"/>
    </row>
    <row r="114" spans="1:47" ht="53.25" customHeight="1" x14ac:dyDescent="0.2">
      <c r="A114" s="1061" t="s">
        <v>9</v>
      </c>
      <c r="B114" s="1062" t="s">
        <v>11</v>
      </c>
      <c r="C114" s="994" t="s">
        <v>10</v>
      </c>
      <c r="D114" s="1513"/>
      <c r="E114" s="1442" t="s">
        <v>89</v>
      </c>
      <c r="F114" s="1218"/>
      <c r="G114" s="2540" t="s">
        <v>14</v>
      </c>
      <c r="H114" s="2434">
        <v>2</v>
      </c>
      <c r="I114" s="2543" t="s">
        <v>125</v>
      </c>
      <c r="J114" s="1233"/>
      <c r="K114" s="1443"/>
      <c r="L114" s="1582"/>
      <c r="M114" s="1217"/>
      <c r="N114" s="1218"/>
      <c r="O114" s="1219"/>
      <c r="P114" s="1220"/>
      <c r="Q114" s="1221"/>
      <c r="R114" s="1222"/>
      <c r="S114" s="1223"/>
      <c r="T114" s="1224"/>
      <c r="U114" s="936"/>
      <c r="V114" s="936"/>
      <c r="W114" s="1626" t="s">
        <v>283</v>
      </c>
      <c r="X114" s="1184"/>
      <c r="Y114" s="1073">
        <v>1</v>
      </c>
      <c r="Z114" s="1074">
        <v>1</v>
      </c>
      <c r="AC114" s="1013"/>
      <c r="AE114" s="1013"/>
    </row>
    <row r="115" spans="1:47" ht="54" customHeight="1" x14ac:dyDescent="0.2">
      <c r="A115" s="1005"/>
      <c r="B115" s="1006"/>
      <c r="C115" s="1007"/>
      <c r="D115" s="1493" t="s">
        <v>9</v>
      </c>
      <c r="E115" s="1444" t="s">
        <v>360</v>
      </c>
      <c r="F115" s="1225" t="s">
        <v>109</v>
      </c>
      <c r="G115" s="2541"/>
      <c r="H115" s="2435"/>
      <c r="I115" s="2544"/>
      <c r="J115" s="1445" t="s">
        <v>12</v>
      </c>
      <c r="K115" s="1199"/>
      <c r="L115" s="1380"/>
      <c r="M115" s="1446">
        <v>10000</v>
      </c>
      <c r="N115" s="1422">
        <v>10000</v>
      </c>
      <c r="O115" s="1209"/>
      <c r="P115" s="1447"/>
      <c r="Q115" s="1204"/>
      <c r="R115" s="1206"/>
      <c r="S115" s="1206"/>
      <c r="T115" s="1448"/>
      <c r="U115" s="1208">
        <v>15000</v>
      </c>
      <c r="V115" s="1449">
        <v>17000</v>
      </c>
      <c r="W115" s="1039" t="s">
        <v>319</v>
      </c>
      <c r="X115" s="1169">
        <v>1</v>
      </c>
      <c r="Y115" s="982"/>
      <c r="Z115" s="1226"/>
      <c r="AB115" s="1013"/>
    </row>
    <row r="116" spans="1:47" ht="23.25" customHeight="1" x14ac:dyDescent="0.2">
      <c r="A116" s="1075"/>
      <c r="B116" s="1032"/>
      <c r="C116" s="1007"/>
      <c r="D116" s="1302" t="s">
        <v>10</v>
      </c>
      <c r="E116" s="2437" t="s">
        <v>186</v>
      </c>
      <c r="F116" s="2439" t="s">
        <v>91</v>
      </c>
      <c r="G116" s="2541"/>
      <c r="H116" s="2435"/>
      <c r="I116" s="2544"/>
      <c r="J116" s="1450" t="s">
        <v>12</v>
      </c>
      <c r="K116" s="1199"/>
      <c r="L116" s="1469"/>
      <c r="M116" s="1451"/>
      <c r="N116" s="1388"/>
      <c r="O116" s="1209"/>
      <c r="P116" s="1447"/>
      <c r="Q116" s="1437"/>
      <c r="R116" s="1438"/>
      <c r="S116" s="1439"/>
      <c r="T116" s="1440"/>
      <c r="U116" s="934">
        <v>10000</v>
      </c>
      <c r="V116" s="934">
        <v>45000</v>
      </c>
      <c r="W116" s="2551" t="s">
        <v>187</v>
      </c>
      <c r="X116" s="1227"/>
      <c r="Y116" s="1228">
        <v>1</v>
      </c>
      <c r="Z116" s="1229">
        <v>4</v>
      </c>
      <c r="AA116" s="870"/>
    </row>
    <row r="117" spans="1:47" ht="17.25" customHeight="1" thickBot="1" x14ac:dyDescent="0.25">
      <c r="A117" s="1055"/>
      <c r="B117" s="992"/>
      <c r="C117" s="1146"/>
      <c r="D117" s="1515"/>
      <c r="E117" s="2438"/>
      <c r="F117" s="2440"/>
      <c r="G117" s="2542"/>
      <c r="H117" s="2436"/>
      <c r="I117" s="2545"/>
      <c r="J117" s="1452" t="s">
        <v>16</v>
      </c>
      <c r="K117" s="1453"/>
      <c r="L117" s="1453"/>
      <c r="M117" s="1213">
        <f>SUM(M115:M116)</f>
        <v>10000</v>
      </c>
      <c r="N117" s="1213">
        <f>SUM(N115:N116)</f>
        <v>10000</v>
      </c>
      <c r="O117" s="1211"/>
      <c r="P117" s="1212"/>
      <c r="Q117" s="1238"/>
      <c r="R117" s="1211"/>
      <c r="S117" s="1211"/>
      <c r="T117" s="1214"/>
      <c r="U117" s="1238">
        <f>SUM(U114:U116)</f>
        <v>25000</v>
      </c>
      <c r="V117" s="1238">
        <f>SUM(V114:V116)</f>
        <v>62000</v>
      </c>
      <c r="W117" s="2455"/>
      <c r="X117" s="1230"/>
      <c r="Y117" s="1269"/>
      <c r="Z117" s="1231"/>
      <c r="AA117" s="870"/>
    </row>
    <row r="118" spans="1:47" ht="40.5" customHeight="1" x14ac:dyDescent="0.2">
      <c r="A118" s="1061" t="s">
        <v>9</v>
      </c>
      <c r="B118" s="1062" t="s">
        <v>11</v>
      </c>
      <c r="C118" s="994" t="s">
        <v>11</v>
      </c>
      <c r="D118" s="1516"/>
      <c r="E118" s="1454" t="s">
        <v>324</v>
      </c>
      <c r="F118" s="1464" t="s">
        <v>325</v>
      </c>
      <c r="G118" s="1455" t="s">
        <v>14</v>
      </c>
      <c r="H118" s="1569" t="s">
        <v>35</v>
      </c>
      <c r="I118" s="1572" t="s">
        <v>125</v>
      </c>
      <c r="J118" s="1456"/>
      <c r="K118" s="1457"/>
      <c r="L118" s="1457"/>
      <c r="M118" s="1458"/>
      <c r="N118" s="1459"/>
      <c r="O118" s="1459"/>
      <c r="P118" s="1460"/>
      <c r="Q118" s="1461"/>
      <c r="R118" s="1462"/>
      <c r="S118" s="1463"/>
      <c r="T118" s="1462"/>
      <c r="U118" s="1232"/>
      <c r="V118" s="1233"/>
      <c r="W118" s="1296" t="s">
        <v>320</v>
      </c>
      <c r="X118" s="998">
        <v>1</v>
      </c>
      <c r="Y118" s="1295"/>
      <c r="Z118" s="1000"/>
      <c r="AC118" s="1013"/>
      <c r="AE118" s="1013"/>
    </row>
    <row r="119" spans="1:47" ht="39.75" customHeight="1" x14ac:dyDescent="0.2">
      <c r="A119" s="1075"/>
      <c r="B119" s="1032"/>
      <c r="C119" s="1007"/>
      <c r="D119" s="1517" t="s">
        <v>9</v>
      </c>
      <c r="E119" s="1538" t="s">
        <v>300</v>
      </c>
      <c r="G119" s="1465"/>
      <c r="H119" s="1466"/>
      <c r="I119" s="1467"/>
      <c r="J119" s="1468" t="s">
        <v>12</v>
      </c>
      <c r="K119" s="1469"/>
      <c r="L119" s="1469"/>
      <c r="M119" s="1364">
        <v>50000</v>
      </c>
      <c r="N119" s="1720">
        <v>50000</v>
      </c>
      <c r="O119" s="1470"/>
      <c r="P119" s="1471"/>
      <c r="Q119" s="1472">
        <f>R119+T119</f>
        <v>0</v>
      </c>
      <c r="R119" s="1438">
        <v>0</v>
      </c>
      <c r="S119" s="1439"/>
      <c r="T119" s="1438"/>
      <c r="U119" s="1473">
        <v>260000</v>
      </c>
      <c r="V119" s="1208">
        <v>100000</v>
      </c>
      <c r="W119" s="1297" t="s">
        <v>361</v>
      </c>
      <c r="X119" s="1621"/>
      <c r="Y119" s="1622">
        <v>1</v>
      </c>
      <c r="Z119" s="1623"/>
    </row>
    <row r="120" spans="1:47" ht="28.5" customHeight="1" x14ac:dyDescent="0.2">
      <c r="A120" s="1075"/>
      <c r="B120" s="1032"/>
      <c r="C120" s="1007"/>
      <c r="D120" s="1302" t="s">
        <v>10</v>
      </c>
      <c r="E120" s="1444" t="s">
        <v>284</v>
      </c>
      <c r="F120" s="1464"/>
      <c r="G120" s="1465"/>
      <c r="H120" s="1466"/>
      <c r="I120" s="1467"/>
      <c r="J120" s="1450" t="s">
        <v>12</v>
      </c>
      <c r="K120" s="1199"/>
      <c r="L120" s="1199"/>
      <c r="M120" s="1364">
        <v>20000</v>
      </c>
      <c r="N120" s="1720">
        <v>20000</v>
      </c>
      <c r="O120" s="1720"/>
      <c r="P120" s="1255"/>
      <c r="Q120" s="1474"/>
      <c r="R120" s="1205"/>
      <c r="S120" s="1206"/>
      <c r="T120" s="1205"/>
      <c r="U120" s="1473">
        <v>40000</v>
      </c>
      <c r="V120" s="1450">
        <v>65000</v>
      </c>
      <c r="W120" s="1297" t="s">
        <v>321</v>
      </c>
      <c r="X120" s="1621">
        <v>1</v>
      </c>
      <c r="Y120" s="1622"/>
      <c r="Z120" s="1623"/>
    </row>
    <row r="121" spans="1:47" ht="41.25" customHeight="1" x14ac:dyDescent="0.2">
      <c r="A121" s="565"/>
      <c r="B121" s="566"/>
      <c r="C121" s="19"/>
      <c r="D121" s="1302" t="s">
        <v>11</v>
      </c>
      <c r="E121" s="2437" t="s">
        <v>285</v>
      </c>
      <c r="F121" s="1464"/>
      <c r="G121" s="1465"/>
      <c r="H121" s="1466"/>
      <c r="I121" s="1467"/>
      <c r="J121" s="1363" t="s">
        <v>12</v>
      </c>
      <c r="K121" s="1365"/>
      <c r="L121" s="1201"/>
      <c r="M121" s="1416">
        <v>60000</v>
      </c>
      <c r="N121" s="1196">
        <v>60000</v>
      </c>
      <c r="O121" s="1196"/>
      <c r="P121" s="1265"/>
      <c r="Q121" s="1197"/>
      <c r="R121" s="1197"/>
      <c r="S121" s="1198"/>
      <c r="T121" s="1197"/>
      <c r="U121" s="1370">
        <v>90000</v>
      </c>
      <c r="V121" s="1363">
        <v>107000</v>
      </c>
      <c r="W121" s="1297" t="s">
        <v>322</v>
      </c>
      <c r="X121" s="1621">
        <v>1</v>
      </c>
      <c r="Y121" s="1622">
        <v>1</v>
      </c>
      <c r="Z121" s="1623">
        <v>1</v>
      </c>
    </row>
    <row r="122" spans="1:47" ht="30" customHeight="1" x14ac:dyDescent="0.2">
      <c r="A122" s="565"/>
      <c r="B122" s="566"/>
      <c r="C122" s="19"/>
      <c r="D122" s="1303"/>
      <c r="E122" s="2457"/>
      <c r="F122" s="1464"/>
      <c r="G122" s="1465"/>
      <c r="H122" s="1466"/>
      <c r="I122" s="1467"/>
      <c r="J122" s="1475"/>
      <c r="K122" s="1476"/>
      <c r="L122" s="1652"/>
      <c r="M122" s="1477"/>
      <c r="N122" s="1187"/>
      <c r="O122" s="1187"/>
      <c r="P122" s="1188"/>
      <c r="Q122" s="1190"/>
      <c r="R122" s="1190"/>
      <c r="S122" s="1191"/>
      <c r="T122" s="1190"/>
      <c r="U122" s="1393"/>
      <c r="V122" s="1475"/>
      <c r="W122" s="1298" t="s">
        <v>286</v>
      </c>
      <c r="X122" s="1621"/>
      <c r="Y122" s="1622">
        <v>1</v>
      </c>
      <c r="Z122" s="1623"/>
      <c r="AC122" s="1013"/>
    </row>
    <row r="123" spans="1:47" ht="14.25" customHeight="1" x14ac:dyDescent="0.2">
      <c r="A123" s="565"/>
      <c r="B123" s="566"/>
      <c r="C123" s="19"/>
      <c r="D123" s="1290" t="s">
        <v>13</v>
      </c>
      <c r="E123" s="1660" t="s">
        <v>326</v>
      </c>
      <c r="F123" s="1292"/>
      <c r="G123" s="1008"/>
      <c r="H123" s="1009"/>
      <c r="I123" s="1036"/>
      <c r="J123" s="954" t="s">
        <v>12</v>
      </c>
      <c r="K123" s="1489"/>
      <c r="L123" s="1226"/>
      <c r="M123" s="1705">
        <v>20000</v>
      </c>
      <c r="N123" s="1706">
        <v>20000</v>
      </c>
      <c r="O123" s="1706"/>
      <c r="P123" s="1707"/>
      <c r="Q123" s="1131"/>
      <c r="R123" s="1131"/>
      <c r="S123" s="985"/>
      <c r="T123" s="1131"/>
      <c r="U123" s="889"/>
      <c r="V123" s="954">
        <v>43000</v>
      </c>
      <c r="W123" s="1300" t="s">
        <v>287</v>
      </c>
      <c r="X123" s="1574">
        <v>2</v>
      </c>
      <c r="Y123" s="1575"/>
      <c r="Z123" s="1576">
        <v>4</v>
      </c>
    </row>
    <row r="124" spans="1:47" ht="15" customHeight="1" thickBot="1" x14ac:dyDescent="0.25">
      <c r="A124" s="24"/>
      <c r="B124" s="14"/>
      <c r="C124" s="260"/>
      <c r="D124" s="260"/>
      <c r="E124" s="1123"/>
      <c r="F124" s="1050"/>
      <c r="G124" s="1293"/>
      <c r="H124" s="1294"/>
      <c r="I124" s="1053"/>
      <c r="J124" s="1304" t="s">
        <v>16</v>
      </c>
      <c r="K124" s="1308"/>
      <c r="L124" s="1307"/>
      <c r="M124" s="1305">
        <f>SUM(M119:M123)</f>
        <v>150000</v>
      </c>
      <c r="N124" s="1306">
        <f>SUM(N119:N123)</f>
        <v>150000</v>
      </c>
      <c r="O124" s="1306"/>
      <c r="P124" s="1307"/>
      <c r="Q124" s="1308">
        <f>SUM(Q119:Q120)</f>
        <v>0</v>
      </c>
      <c r="R124" s="1306">
        <f>SUM(R119:R120)</f>
        <v>0</v>
      </c>
      <c r="S124" s="1306"/>
      <c r="T124" s="1308"/>
      <c r="U124" s="1309">
        <f>SUM(U119:U123)</f>
        <v>390000</v>
      </c>
      <c r="V124" s="1310">
        <f>SUM(V119:V123)</f>
        <v>315000</v>
      </c>
      <c r="W124" s="1299"/>
      <c r="X124" s="1577"/>
      <c r="Y124" s="1578"/>
      <c r="Z124" s="1579"/>
      <c r="AB124" s="1013"/>
    </row>
    <row r="125" spans="1:47" ht="14.25" customHeight="1" thickBot="1" x14ac:dyDescent="0.25">
      <c r="A125" s="1178" t="s">
        <v>9</v>
      </c>
      <c r="B125" s="1145" t="s">
        <v>11</v>
      </c>
      <c r="C125" s="2441" t="s">
        <v>15</v>
      </c>
      <c r="D125" s="2394"/>
      <c r="E125" s="2394"/>
      <c r="F125" s="2394"/>
      <c r="G125" s="2394"/>
      <c r="H125" s="2394"/>
      <c r="I125" s="2394"/>
      <c r="J125" s="2395"/>
      <c r="K125" s="1583">
        <f>K124+K117+K113</f>
        <v>17377</v>
      </c>
      <c r="L125" s="1598">
        <f t="shared" ref="L125:V125" si="5">L124+L117+L113</f>
        <v>17377</v>
      </c>
      <c r="M125" s="1583">
        <f t="shared" si="5"/>
        <v>181000</v>
      </c>
      <c r="N125" s="1628">
        <f t="shared" si="5"/>
        <v>181000</v>
      </c>
      <c r="O125" s="1627">
        <f t="shared" si="5"/>
        <v>0</v>
      </c>
      <c r="P125" s="1598">
        <f t="shared" si="5"/>
        <v>0</v>
      </c>
      <c r="Q125" s="1583">
        <f t="shared" si="5"/>
        <v>0</v>
      </c>
      <c r="R125" s="1583">
        <f t="shared" si="5"/>
        <v>0</v>
      </c>
      <c r="S125" s="1583">
        <f t="shared" si="5"/>
        <v>0</v>
      </c>
      <c r="T125" s="1583">
        <f t="shared" si="5"/>
        <v>0</v>
      </c>
      <c r="U125" s="1583">
        <f t="shared" si="5"/>
        <v>515000</v>
      </c>
      <c r="V125" s="1583">
        <f t="shared" si="5"/>
        <v>616000</v>
      </c>
      <c r="W125" s="2396"/>
      <c r="X125" s="2397"/>
      <c r="Y125" s="2397"/>
      <c r="Z125" s="2398"/>
    </row>
    <row r="126" spans="1:47" ht="14.25" customHeight="1" thickBot="1" x14ac:dyDescent="0.25">
      <c r="A126" s="991" t="s">
        <v>9</v>
      </c>
      <c r="B126" s="2458" t="s">
        <v>17</v>
      </c>
      <c r="C126" s="2459"/>
      <c r="D126" s="2459"/>
      <c r="E126" s="2459"/>
      <c r="F126" s="2459"/>
      <c r="G126" s="2459"/>
      <c r="H126" s="2459"/>
      <c r="I126" s="2459"/>
      <c r="J126" s="2460"/>
      <c r="K126" s="944">
        <f>K102+K33+K125</f>
        <v>4031485</v>
      </c>
      <c r="L126" s="1596">
        <f>L102+L33+L125</f>
        <v>4102533</v>
      </c>
      <c r="M126" s="944">
        <f>M125+M102+M33</f>
        <v>4803000</v>
      </c>
      <c r="N126" s="1239">
        <f>N125+N102+N33</f>
        <v>4405500</v>
      </c>
      <c r="O126" s="943">
        <f>O125+O102+O33</f>
        <v>1785300</v>
      </c>
      <c r="P126" s="1596">
        <f>P125+P102+P33</f>
        <v>242400</v>
      </c>
      <c r="Q126" s="991">
        <f t="shared" ref="Q126:V126" si="6">Q102+Q33+Q125</f>
        <v>0</v>
      </c>
      <c r="R126" s="943">
        <f t="shared" si="6"/>
        <v>0</v>
      </c>
      <c r="S126" s="1239">
        <f t="shared" si="6"/>
        <v>0</v>
      </c>
      <c r="T126" s="943">
        <f t="shared" si="6"/>
        <v>0</v>
      </c>
      <c r="U126" s="944">
        <f t="shared" si="6"/>
        <v>6105300</v>
      </c>
      <c r="V126" s="944">
        <f t="shared" si="6"/>
        <v>7743000</v>
      </c>
      <c r="W126" s="2461"/>
      <c r="X126" s="2462"/>
      <c r="Y126" s="2462"/>
      <c r="Z126" s="2463"/>
    </row>
    <row r="127" spans="1:47" ht="14.25" customHeight="1" thickBot="1" x14ac:dyDescent="0.25">
      <c r="A127" s="1240" t="s">
        <v>14</v>
      </c>
      <c r="B127" s="2447" t="s">
        <v>95</v>
      </c>
      <c r="C127" s="2448"/>
      <c r="D127" s="2448"/>
      <c r="E127" s="2448"/>
      <c r="F127" s="2448"/>
      <c r="G127" s="2448"/>
      <c r="H127" s="2448"/>
      <c r="I127" s="2448"/>
      <c r="J127" s="2449"/>
      <c r="K127" s="1242">
        <f t="shared" ref="K127:L127" si="7">K126</f>
        <v>4031485</v>
      </c>
      <c r="L127" s="1597">
        <f t="shared" si="7"/>
        <v>4102533</v>
      </c>
      <c r="M127" s="1242">
        <f t="shared" ref="M127:U127" si="8">M126</f>
        <v>4803000</v>
      </c>
      <c r="N127" s="1241">
        <f t="shared" si="8"/>
        <v>4405500</v>
      </c>
      <c r="O127" s="946">
        <f t="shared" si="8"/>
        <v>1785300</v>
      </c>
      <c r="P127" s="1244">
        <f t="shared" si="8"/>
        <v>242400</v>
      </c>
      <c r="Q127" s="1242">
        <f t="shared" si="8"/>
        <v>0</v>
      </c>
      <c r="R127" s="1243">
        <f t="shared" si="8"/>
        <v>0</v>
      </c>
      <c r="S127" s="1241">
        <f t="shared" si="8"/>
        <v>0</v>
      </c>
      <c r="T127" s="1244">
        <f t="shared" si="8"/>
        <v>0</v>
      </c>
      <c r="U127" s="947">
        <f t="shared" si="8"/>
        <v>6105300</v>
      </c>
      <c r="V127" s="946">
        <f>V126</f>
        <v>7743000</v>
      </c>
      <c r="W127" s="2450"/>
      <c r="X127" s="2451"/>
      <c r="Y127" s="2451"/>
      <c r="Z127" s="2452"/>
    </row>
    <row r="128" spans="1:47" s="1246" customFormat="1" ht="26.25" customHeight="1" x14ac:dyDescent="0.2">
      <c r="A128" s="2570" t="s">
        <v>245</v>
      </c>
      <c r="B128" s="2570"/>
      <c r="C128" s="2570"/>
      <c r="D128" s="2570"/>
      <c r="E128" s="2570"/>
      <c r="F128" s="2570"/>
      <c r="G128" s="2570"/>
      <c r="H128" s="2570"/>
      <c r="I128" s="2570"/>
      <c r="J128" s="2570"/>
      <c r="K128" s="2570"/>
      <c r="L128" s="2570"/>
      <c r="M128" s="2570"/>
      <c r="N128" s="2570"/>
      <c r="O128" s="2570"/>
      <c r="P128" s="2570"/>
      <c r="Q128" s="2570"/>
      <c r="R128" s="2570"/>
      <c r="S128" s="2570"/>
      <c r="T128" s="2570"/>
      <c r="U128" s="2570"/>
      <c r="V128" s="2570"/>
      <c r="W128" s="2570"/>
      <c r="X128" s="2570"/>
      <c r="Y128" s="2570"/>
      <c r="Z128" s="2570"/>
      <c r="AA128" s="1245"/>
      <c r="AB128" s="1245"/>
      <c r="AC128" s="1245"/>
      <c r="AD128" s="1245"/>
      <c r="AE128" s="1245"/>
      <c r="AF128" s="1245"/>
      <c r="AG128" s="1245"/>
      <c r="AH128" s="1245"/>
      <c r="AI128" s="1245"/>
      <c r="AJ128" s="1245"/>
      <c r="AK128" s="1245"/>
      <c r="AL128" s="1245"/>
      <c r="AM128" s="1245"/>
      <c r="AN128" s="1245"/>
      <c r="AO128" s="1245"/>
      <c r="AP128" s="1245"/>
      <c r="AQ128" s="1245"/>
      <c r="AR128" s="1245"/>
      <c r="AS128" s="1245"/>
      <c r="AT128" s="1245"/>
      <c r="AU128" s="1245"/>
    </row>
    <row r="129" spans="1:26" ht="18.75" customHeight="1" x14ac:dyDescent="0.2">
      <c r="A129" s="2497" t="s">
        <v>295</v>
      </c>
      <c r="B129" s="2497"/>
      <c r="C129" s="2497"/>
      <c r="D129" s="2497"/>
      <c r="E129" s="2497"/>
      <c r="F129" s="2497"/>
      <c r="G129" s="2497"/>
      <c r="H129" s="2497"/>
      <c r="I129" s="2497"/>
      <c r="J129" s="2497"/>
      <c r="K129" s="2497"/>
      <c r="L129" s="2497"/>
      <c r="M129" s="2497"/>
      <c r="N129" s="2497"/>
      <c r="O129" s="2497"/>
      <c r="P129" s="2497"/>
      <c r="Q129" s="2497"/>
      <c r="R129" s="2497"/>
      <c r="S129" s="2497"/>
      <c r="T129" s="2497"/>
      <c r="U129" s="2497"/>
      <c r="V129" s="2497"/>
      <c r="W129" s="2497"/>
      <c r="X129" s="2497"/>
      <c r="Y129" s="2497"/>
      <c r="Z129" s="2497"/>
    </row>
    <row r="130" spans="1:26" ht="18.75" customHeight="1" x14ac:dyDescent="0.2">
      <c r="A130" s="2497" t="s">
        <v>330</v>
      </c>
      <c r="B130" s="2497"/>
      <c r="C130" s="2497"/>
      <c r="D130" s="2497"/>
      <c r="E130" s="2497"/>
      <c r="F130" s="2497"/>
      <c r="G130" s="2497"/>
      <c r="H130" s="2497"/>
      <c r="I130" s="2497"/>
      <c r="J130" s="2497"/>
      <c r="K130" s="2497"/>
      <c r="L130" s="2497"/>
      <c r="M130" s="2497"/>
      <c r="N130" s="2497"/>
      <c r="O130" s="2497"/>
      <c r="P130" s="2497"/>
      <c r="Q130" s="2497"/>
      <c r="R130" s="2497"/>
      <c r="S130" s="2497"/>
      <c r="T130" s="2497"/>
      <c r="U130" s="2497"/>
      <c r="V130" s="2497"/>
      <c r="W130" s="2497"/>
      <c r="X130" s="2497"/>
      <c r="Y130" s="2497"/>
      <c r="Z130" s="2497"/>
    </row>
    <row r="131" spans="1:26" ht="15.75" customHeight="1" thickBot="1" x14ac:dyDescent="0.25">
      <c r="A131" s="2563" t="s">
        <v>21</v>
      </c>
      <c r="B131" s="2563"/>
      <c r="C131" s="2563"/>
      <c r="D131" s="2563"/>
      <c r="E131" s="2563"/>
      <c r="F131" s="2563"/>
      <c r="G131" s="2563"/>
      <c r="H131" s="2563"/>
      <c r="I131" s="2563"/>
      <c r="J131" s="2563"/>
      <c r="K131" s="2563"/>
      <c r="L131" s="2563"/>
      <c r="M131" s="2563"/>
      <c r="N131" s="2563"/>
      <c r="O131" s="2563"/>
      <c r="P131" s="2563"/>
      <c r="Q131" s="2563"/>
      <c r="R131" s="2563"/>
      <c r="S131" s="2563"/>
      <c r="T131" s="2563"/>
      <c r="U131" s="2563"/>
      <c r="V131" s="2563"/>
      <c r="W131" s="1247"/>
      <c r="X131" s="1545"/>
      <c r="Y131" s="1545"/>
      <c r="Z131" s="1545"/>
    </row>
    <row r="132" spans="1:26" ht="63.75" customHeight="1" x14ac:dyDescent="0.2">
      <c r="A132" s="2486" t="s">
        <v>19</v>
      </c>
      <c r="B132" s="2487"/>
      <c r="C132" s="2487"/>
      <c r="D132" s="2487"/>
      <c r="E132" s="2487"/>
      <c r="F132" s="2487"/>
      <c r="G132" s="2487"/>
      <c r="H132" s="2487"/>
      <c r="I132" s="2487"/>
      <c r="J132" s="2488"/>
      <c r="K132" s="1599" t="s">
        <v>305</v>
      </c>
      <c r="L132" s="1600" t="s">
        <v>308</v>
      </c>
      <c r="M132" s="1274" t="s">
        <v>299</v>
      </c>
      <c r="N132" s="1566"/>
      <c r="O132" s="1566"/>
      <c r="P132" s="1567"/>
      <c r="Q132" s="2567" t="s">
        <v>189</v>
      </c>
      <c r="R132" s="2568"/>
      <c r="S132" s="2568"/>
      <c r="T132" s="2569"/>
      <c r="U132" s="1568" t="s">
        <v>190</v>
      </c>
      <c r="V132" s="1713" t="s">
        <v>291</v>
      </c>
      <c r="W132" s="1539"/>
      <c r="X132" s="2479"/>
      <c r="Y132" s="2479"/>
      <c r="Z132" s="2479"/>
    </row>
    <row r="133" spans="1:26" x14ac:dyDescent="0.2">
      <c r="A133" s="2480" t="s">
        <v>32</v>
      </c>
      <c r="B133" s="2481"/>
      <c r="C133" s="2481"/>
      <c r="D133" s="2481"/>
      <c r="E133" s="2481"/>
      <c r="F133" s="2481"/>
      <c r="G133" s="2481"/>
      <c r="H133" s="2481"/>
      <c r="I133" s="2481"/>
      <c r="J133" s="2482"/>
      <c r="K133" s="1584">
        <f>SUM(K134:K137)</f>
        <v>3896175</v>
      </c>
      <c r="L133" s="1709">
        <f>SUM(L134:L137)</f>
        <v>3940437</v>
      </c>
      <c r="M133" s="1708">
        <f>SUM(M134:P136)</f>
        <v>4800000</v>
      </c>
      <c r="N133" s="1556"/>
      <c r="O133" s="1556"/>
      <c r="P133" s="1557"/>
      <c r="Q133" s="2564">
        <f>SUM(Q134:T136)</f>
        <v>0</v>
      </c>
      <c r="R133" s="2565"/>
      <c r="S133" s="2565"/>
      <c r="T133" s="2566"/>
      <c r="U133" s="1248">
        <f>SUM(U134:U137)</f>
        <v>5901200</v>
      </c>
      <c r="V133" s="952">
        <f>SUM(V134:V137)</f>
        <v>7009500</v>
      </c>
      <c r="W133" s="1539"/>
      <c r="X133" s="2479"/>
      <c r="Y133" s="2479"/>
      <c r="Z133" s="2479"/>
    </row>
    <row r="134" spans="1:26" x14ac:dyDescent="0.2">
      <c r="A134" s="2473" t="s">
        <v>22</v>
      </c>
      <c r="B134" s="2474"/>
      <c r="C134" s="2474"/>
      <c r="D134" s="2474"/>
      <c r="E134" s="2474"/>
      <c r="F134" s="2474"/>
      <c r="G134" s="2474"/>
      <c r="H134" s="2474"/>
      <c r="I134" s="2474"/>
      <c r="J134" s="2475"/>
      <c r="K134" s="1701">
        <f>SUMIF(J14:J124,"sb",K14:K124)</f>
        <v>3328544</v>
      </c>
      <c r="L134" s="1707">
        <f>SUMIF(J14:J124,"sb",L14:L124)</f>
        <v>3324860</v>
      </c>
      <c r="M134" s="1705">
        <f>SUMIF(J14:J124,"sb",M14:M124)</f>
        <v>4281700</v>
      </c>
      <c r="N134" s="1558"/>
      <c r="O134" s="1558"/>
      <c r="P134" s="1559"/>
      <c r="Q134" s="2531">
        <f>SUMIF(J14:J124,"sb",Q14:Q124)</f>
        <v>0</v>
      </c>
      <c r="R134" s="2532"/>
      <c r="S134" s="2532"/>
      <c r="T134" s="2533"/>
      <c r="U134" s="1703">
        <f>SUMIF(J14:J124,"sb",U14:U124)</f>
        <v>5341200</v>
      </c>
      <c r="V134" s="954">
        <f>SUMIF(J14:J124,J14,V14:V124)</f>
        <v>6431000</v>
      </c>
      <c r="W134" s="1540"/>
      <c r="X134" s="2464"/>
      <c r="Y134" s="2464"/>
      <c r="Z134" s="2464"/>
    </row>
    <row r="135" spans="1:26" x14ac:dyDescent="0.2">
      <c r="A135" s="2473" t="s">
        <v>112</v>
      </c>
      <c r="B135" s="2474"/>
      <c r="C135" s="2474"/>
      <c r="D135" s="2474"/>
      <c r="E135" s="2474"/>
      <c r="F135" s="2474"/>
      <c r="G135" s="2474"/>
      <c r="H135" s="2474"/>
      <c r="I135" s="2474"/>
      <c r="J135" s="2475"/>
      <c r="K135" s="1701">
        <f>SUMIF(J14:J124,"sb(vr)",K14:K124)</f>
        <v>134413</v>
      </c>
      <c r="L135" s="1707">
        <f>SUMIF(J14:J124,"sb(vr)",L14:L124)</f>
        <v>145542</v>
      </c>
      <c r="M135" s="1705">
        <f>SUMIF(J14:J124,"sb(vr)",M14:M124)</f>
        <v>145600</v>
      </c>
      <c r="N135" s="1558"/>
      <c r="O135" s="1558"/>
      <c r="P135" s="1559"/>
      <c r="Q135" s="2554">
        <f>SUMIF(J14:J124,"sb(vr)",Q14:Q124)</f>
        <v>0</v>
      </c>
      <c r="R135" s="2555"/>
      <c r="S135" s="2555"/>
      <c r="T135" s="2556"/>
      <c r="U135" s="1703">
        <f>SUMIF(J14:J124,"sb(vr)",U14:U124)</f>
        <v>180000</v>
      </c>
      <c r="V135" s="954">
        <f>SUMIF(J14:J124,"sb(vr)",V14:V124)</f>
        <v>200000</v>
      </c>
      <c r="W135" s="961"/>
      <c r="X135" s="1540"/>
      <c r="Y135" s="1540"/>
      <c r="Z135" s="1540"/>
    </row>
    <row r="136" spans="1:26" ht="17.25" customHeight="1" x14ac:dyDescent="0.2">
      <c r="A136" s="2483" t="s">
        <v>31</v>
      </c>
      <c r="B136" s="2484"/>
      <c r="C136" s="2484"/>
      <c r="D136" s="2484"/>
      <c r="E136" s="2484"/>
      <c r="F136" s="2484"/>
      <c r="G136" s="2484"/>
      <c r="H136" s="2484"/>
      <c r="I136" s="2484"/>
      <c r="J136" s="2485"/>
      <c r="K136" s="1580">
        <f>SUMIF(J14:J124,"sb(sp)",K14:K124)</f>
        <v>342331</v>
      </c>
      <c r="L136" s="1715">
        <f>SUMIF(J14:J124,"sb(sp)",L14:L124)</f>
        <v>379148</v>
      </c>
      <c r="M136" s="1602">
        <f>SUMIF(J14:J124,"sb(sp)",M14:M124)</f>
        <v>372700</v>
      </c>
      <c r="N136" s="1560"/>
      <c r="O136" s="1560"/>
      <c r="P136" s="1561"/>
      <c r="Q136" s="2546">
        <f>SUMIF(J14:J124,"sb(sp)",Q14:Q124)</f>
        <v>0</v>
      </c>
      <c r="R136" s="2547"/>
      <c r="S136" s="2547"/>
      <c r="T136" s="2548"/>
      <c r="U136" s="1249">
        <f>SUMIF(J14:J124,"sb(sp)",U14:U124)</f>
        <v>380000</v>
      </c>
      <c r="V136" s="956">
        <f>SUMIF(J14:J124,J38,V14:V124)</f>
        <v>378500</v>
      </c>
      <c r="W136" s="1250"/>
      <c r="X136" s="2464"/>
      <c r="Y136" s="2464"/>
      <c r="Z136" s="2464"/>
    </row>
    <row r="137" spans="1:26" ht="17.25" customHeight="1" x14ac:dyDescent="0.2">
      <c r="A137" s="2483" t="s">
        <v>302</v>
      </c>
      <c r="B137" s="2484"/>
      <c r="C137" s="2484"/>
      <c r="D137" s="2484"/>
      <c r="E137" s="2484"/>
      <c r="F137" s="2484"/>
      <c r="G137" s="2484"/>
      <c r="H137" s="2484"/>
      <c r="I137" s="2484"/>
      <c r="J137" s="2485"/>
      <c r="K137" s="1580">
        <f>SUMIF(J14:J124,"sb(spl)",K14:K124)</f>
        <v>90887</v>
      </c>
      <c r="L137" s="1715">
        <f>SUMIF(J14:J124,"sb(spl)",L14:L124)</f>
        <v>90887</v>
      </c>
      <c r="M137" s="1714"/>
      <c r="N137" s="1560"/>
      <c r="O137" s="1560"/>
      <c r="P137" s="1561"/>
      <c r="Q137" s="1580"/>
      <c r="R137" s="955"/>
      <c r="S137" s="955"/>
      <c r="T137" s="1249"/>
      <c r="U137" s="1249"/>
      <c r="V137" s="1249"/>
      <c r="W137" s="1250"/>
      <c r="X137" s="1571"/>
      <c r="Y137" s="1571"/>
      <c r="Z137" s="1571"/>
    </row>
    <row r="138" spans="1:26" ht="13.5" customHeight="1" x14ac:dyDescent="0.2">
      <c r="A138" s="2480" t="s">
        <v>33</v>
      </c>
      <c r="B138" s="2481"/>
      <c r="C138" s="2481"/>
      <c r="D138" s="2481"/>
      <c r="E138" s="2481"/>
      <c r="F138" s="2481"/>
      <c r="G138" s="2481"/>
      <c r="H138" s="2481"/>
      <c r="I138" s="2481"/>
      <c r="J138" s="2482"/>
      <c r="K138" s="1585">
        <f>SUM(K139:K140)</f>
        <v>135310</v>
      </c>
      <c r="L138" s="1712">
        <f>SUM(L139:L141)</f>
        <v>162096</v>
      </c>
      <c r="M138" s="1711">
        <f>SUM(M139:M141)</f>
        <v>3000</v>
      </c>
      <c r="N138" s="1562"/>
      <c r="O138" s="1562"/>
      <c r="P138" s="1563"/>
      <c r="Q138" s="2535">
        <f>SUM(Q139:T140)</f>
        <v>0</v>
      </c>
      <c r="R138" s="2536"/>
      <c r="S138" s="2536"/>
      <c r="T138" s="2537"/>
      <c r="U138" s="1251">
        <f>SUM(U139:U141)</f>
        <v>204100</v>
      </c>
      <c r="V138" s="960">
        <f>SUM(V139:V141)</f>
        <v>733500</v>
      </c>
      <c r="W138" s="1539"/>
      <c r="X138" s="2479"/>
      <c r="Y138" s="2479"/>
      <c r="Z138" s="2479"/>
    </row>
    <row r="139" spans="1:26" x14ac:dyDescent="0.2">
      <c r="A139" s="2473" t="s">
        <v>23</v>
      </c>
      <c r="B139" s="2474"/>
      <c r="C139" s="2474"/>
      <c r="D139" s="2474"/>
      <c r="E139" s="2474"/>
      <c r="F139" s="2474"/>
      <c r="G139" s="2474"/>
      <c r="H139" s="2474"/>
      <c r="I139" s="2474"/>
      <c r="J139" s="2475"/>
      <c r="K139" s="1701">
        <f>SUMIF(J14:J124,"es",K14:K124)</f>
        <v>88073</v>
      </c>
      <c r="L139" s="1707">
        <f>SUMIF(J14:J124,"es",L14:L124)</f>
        <v>88073</v>
      </c>
      <c r="M139" s="1705">
        <f>SUMIF(J14:J124,"es",M14:M124)</f>
        <v>0</v>
      </c>
      <c r="N139" s="1558"/>
      <c r="O139" s="1558"/>
      <c r="P139" s="1559"/>
      <c r="Q139" s="2531">
        <f>SUMIF(J14:J124,"es",Q14:Q124)</f>
        <v>0</v>
      </c>
      <c r="R139" s="2532"/>
      <c r="S139" s="2532"/>
      <c r="T139" s="2533"/>
      <c r="U139" s="1703">
        <f>SUMIF(J14:J124,"es",U14:U124)</f>
        <v>185400</v>
      </c>
      <c r="V139" s="954">
        <f>SUMIF(J14:J124,"es",V14:V124)</f>
        <v>432500</v>
      </c>
      <c r="W139" s="1540"/>
      <c r="X139" s="2464"/>
      <c r="Y139" s="2464"/>
      <c r="Z139" s="2464"/>
    </row>
    <row r="140" spans="1:26" x14ac:dyDescent="0.2">
      <c r="A140" s="2473" t="s">
        <v>24</v>
      </c>
      <c r="B140" s="2474"/>
      <c r="C140" s="2474"/>
      <c r="D140" s="2474"/>
      <c r="E140" s="2474"/>
      <c r="F140" s="2474"/>
      <c r="G140" s="2474"/>
      <c r="H140" s="2474"/>
      <c r="I140" s="2474"/>
      <c r="J140" s="2475"/>
      <c r="K140" s="1701">
        <f>SUMIF(J14:J124,"lrvb",K14:K124)</f>
        <v>47237</v>
      </c>
      <c r="L140" s="1707">
        <f>SUMIF(J14:J124,"lrvb",L14:L124)</f>
        <v>0</v>
      </c>
      <c r="M140" s="1705">
        <f>SUMIF(J14:J124,"lrvb",M14:M124)</f>
        <v>0</v>
      </c>
      <c r="N140" s="1558"/>
      <c r="O140" s="1558"/>
      <c r="P140" s="1559"/>
      <c r="Q140" s="2531">
        <f>SUMIF(J14:J124,"lrvb",Q14:Q124)</f>
        <v>0</v>
      </c>
      <c r="R140" s="2532"/>
      <c r="S140" s="2532"/>
      <c r="T140" s="2533"/>
      <c r="U140" s="1703">
        <f>SUMIF(J14:J124,"lrvb",U14:U124)</f>
        <v>0</v>
      </c>
      <c r="V140" s="954">
        <f>SUMIF(J14:J124,"lrvb",V14:V124)</f>
        <v>0</v>
      </c>
      <c r="W140" s="1540"/>
      <c r="X140" s="2464"/>
      <c r="Y140" s="2464"/>
      <c r="Z140" s="2464"/>
    </row>
    <row r="141" spans="1:26" x14ac:dyDescent="0.2">
      <c r="A141" s="2473" t="s">
        <v>297</v>
      </c>
      <c r="B141" s="2474"/>
      <c r="C141" s="2474"/>
      <c r="D141" s="2474"/>
      <c r="E141" s="2474"/>
      <c r="F141" s="2474"/>
      <c r="G141" s="2474"/>
      <c r="H141" s="2474"/>
      <c r="I141" s="2474"/>
      <c r="J141" s="2475"/>
      <c r="K141" s="1195"/>
      <c r="L141" s="1114">
        <f>SUMIF(J14:J124,"sb(vb)",L14:L124)</f>
        <v>74023</v>
      </c>
      <c r="M141" s="1705">
        <f>SUMIF(J14:J123,"kt",M14:M123)</f>
        <v>3000</v>
      </c>
      <c r="N141" s="1558"/>
      <c r="O141" s="1558"/>
      <c r="P141" s="1559"/>
      <c r="Q141" s="1195"/>
      <c r="R141" s="1553"/>
      <c r="S141" s="1553"/>
      <c r="T141" s="1528"/>
      <c r="U141" s="1528">
        <f>SUMIF(J14:J123,"kt",U14:U123)</f>
        <v>18700</v>
      </c>
      <c r="V141" s="1528">
        <f>SUMIF(J14:J123,"kt",V14:V123)</f>
        <v>301000</v>
      </c>
      <c r="W141" s="1540"/>
      <c r="X141" s="1540"/>
      <c r="Y141" s="1540"/>
      <c r="Z141" s="1540"/>
    </row>
    <row r="142" spans="1:26" ht="13.5" thickBot="1" x14ac:dyDescent="0.25">
      <c r="A142" s="2476" t="s">
        <v>16</v>
      </c>
      <c r="B142" s="2477"/>
      <c r="C142" s="2477"/>
      <c r="D142" s="2477"/>
      <c r="E142" s="2477"/>
      <c r="F142" s="2477"/>
      <c r="G142" s="2477"/>
      <c r="H142" s="2477"/>
      <c r="I142" s="2477"/>
      <c r="J142" s="2478"/>
      <c r="K142" s="1716">
        <f>K138+K133</f>
        <v>4031485</v>
      </c>
      <c r="L142" s="1282">
        <f>L138+L133</f>
        <v>4102533</v>
      </c>
      <c r="M142" s="1601">
        <f>M138+M133</f>
        <v>4803000</v>
      </c>
      <c r="N142" s="1564"/>
      <c r="O142" s="1564"/>
      <c r="P142" s="1565"/>
      <c r="Q142" s="2528">
        <f>Q138+Q133</f>
        <v>0</v>
      </c>
      <c r="R142" s="2529"/>
      <c r="S142" s="2529"/>
      <c r="T142" s="2530"/>
      <c r="U142" s="1718">
        <f>U138+U133</f>
        <v>6105300</v>
      </c>
      <c r="V142" s="884">
        <f>V138+V133</f>
        <v>7743000</v>
      </c>
      <c r="W142" s="1539"/>
      <c r="X142" s="2479"/>
      <c r="Y142" s="2479"/>
      <c r="Z142" s="2479"/>
    </row>
    <row r="143" spans="1:26" x14ac:dyDescent="0.2">
      <c r="A143" s="1182"/>
      <c r="B143" s="1182"/>
      <c r="C143" s="1182"/>
      <c r="D143" s="1518"/>
      <c r="E143" s="1182"/>
      <c r="W143" s="1252"/>
      <c r="X143" s="2464"/>
      <c r="Y143" s="2464"/>
      <c r="Z143" s="2464"/>
    </row>
    <row r="144" spans="1:26" x14ac:dyDescent="0.2">
      <c r="K144" s="1962">
        <f>K142-K127</f>
        <v>0</v>
      </c>
      <c r="L144" s="1962">
        <f>L142-L127</f>
        <v>0</v>
      </c>
      <c r="M144" s="1962">
        <f>M142-M127</f>
        <v>0</v>
      </c>
      <c r="N144" s="2534"/>
      <c r="O144" s="2534"/>
      <c r="P144" s="1962"/>
      <c r="Q144" s="1962"/>
      <c r="R144" s="1962"/>
      <c r="S144" s="1962"/>
      <c r="T144" s="1962"/>
      <c r="U144" s="1962">
        <f>U142-U127</f>
        <v>0</v>
      </c>
      <c r="V144" s="1962">
        <f>V142-V127</f>
        <v>0</v>
      </c>
      <c r="W144" s="1945"/>
      <c r="X144" s="2465"/>
      <c r="Y144" s="2465"/>
      <c r="Z144" s="2465"/>
    </row>
    <row r="145" spans="4:26" x14ac:dyDescent="0.2">
      <c r="D145" s="961"/>
      <c r="W145" s="1254"/>
      <c r="X145" s="876"/>
      <c r="Y145" s="876"/>
      <c r="Z145" s="876"/>
    </row>
    <row r="146" spans="4:26" x14ac:dyDescent="0.2">
      <c r="D146" s="961"/>
      <c r="F146" s="961"/>
      <c r="G146" s="961"/>
      <c r="H146" s="961"/>
      <c r="I146" s="961"/>
      <c r="J146" s="961"/>
      <c r="W146" s="1247"/>
    </row>
    <row r="147" spans="4:26" x14ac:dyDescent="0.2">
      <c r="D147" s="961"/>
      <c r="F147" s="961"/>
      <c r="G147" s="961"/>
      <c r="H147" s="961"/>
      <c r="I147" s="961"/>
      <c r="J147" s="961"/>
    </row>
    <row r="148" spans="4:26" x14ac:dyDescent="0.2">
      <c r="D148" s="961"/>
      <c r="F148" s="961"/>
      <c r="G148" s="961"/>
      <c r="H148" s="961"/>
      <c r="I148" s="961"/>
      <c r="J148" s="961"/>
    </row>
    <row r="149" spans="4:26" x14ac:dyDescent="0.2">
      <c r="D149" s="961"/>
      <c r="F149" s="961"/>
      <c r="G149" s="961"/>
      <c r="H149" s="961"/>
      <c r="I149" s="961"/>
      <c r="J149" s="961"/>
    </row>
  </sheetData>
  <mergeCells count="163">
    <mergeCell ref="W1:Z1"/>
    <mergeCell ref="E76:E79"/>
    <mergeCell ref="F76:F79"/>
    <mergeCell ref="E73:E75"/>
    <mergeCell ref="I73:I75"/>
    <mergeCell ref="E89:E90"/>
    <mergeCell ref="H98:H100"/>
    <mergeCell ref="C102:J102"/>
    <mergeCell ref="F80:F84"/>
    <mergeCell ref="E80:E84"/>
    <mergeCell ref="E85:E88"/>
    <mergeCell ref="X63:X64"/>
    <mergeCell ref="Y63:Y64"/>
    <mergeCell ref="Z63:Z64"/>
    <mergeCell ref="W65:W66"/>
    <mergeCell ref="W91:Z91"/>
    <mergeCell ref="H91:I91"/>
    <mergeCell ref="E22:E23"/>
    <mergeCell ref="F22:F23"/>
    <mergeCell ref="G22:G23"/>
    <mergeCell ref="H22:H23"/>
    <mergeCell ref="I22:I23"/>
    <mergeCell ref="E24:E26"/>
    <mergeCell ref="F24:F26"/>
    <mergeCell ref="Q135:T135"/>
    <mergeCell ref="A136:J136"/>
    <mergeCell ref="E121:E122"/>
    <mergeCell ref="X93:X94"/>
    <mergeCell ref="Y93:Y94"/>
    <mergeCell ref="Z93:Z94"/>
    <mergeCell ref="X136:Z136"/>
    <mergeCell ref="E116:E117"/>
    <mergeCell ref="Q134:T134"/>
    <mergeCell ref="A134:J134"/>
    <mergeCell ref="A129:Z129"/>
    <mergeCell ref="A131:V131"/>
    <mergeCell ref="B126:J126"/>
    <mergeCell ref="W126:Z126"/>
    <mergeCell ref="A132:J132"/>
    <mergeCell ref="A133:J133"/>
    <mergeCell ref="Q133:T133"/>
    <mergeCell ref="X133:Z133"/>
    <mergeCell ref="Q132:T132"/>
    <mergeCell ref="X132:Z132"/>
    <mergeCell ref="W127:Z127"/>
    <mergeCell ref="W101:Z101"/>
    <mergeCell ref="A128:Z128"/>
    <mergeCell ref="E98:E100"/>
    <mergeCell ref="I76:I78"/>
    <mergeCell ref="I85:I88"/>
    <mergeCell ref="W63:W64"/>
    <mergeCell ref="H95:H97"/>
    <mergeCell ref="C125:J125"/>
    <mergeCell ref="E112:E113"/>
    <mergeCell ref="W102:Z102"/>
    <mergeCell ref="W98:W100"/>
    <mergeCell ref="G98:G100"/>
    <mergeCell ref="W116:W117"/>
    <mergeCell ref="E63:E64"/>
    <mergeCell ref="F68:F69"/>
    <mergeCell ref="W86:W88"/>
    <mergeCell ref="A138:J138"/>
    <mergeCell ref="Q138:T138"/>
    <mergeCell ref="W96:W97"/>
    <mergeCell ref="E93:E94"/>
    <mergeCell ref="I92:I94"/>
    <mergeCell ref="G114:G117"/>
    <mergeCell ref="H114:H117"/>
    <mergeCell ref="I114:I117"/>
    <mergeCell ref="Q136:T136"/>
    <mergeCell ref="F116:F117"/>
    <mergeCell ref="B127:J127"/>
    <mergeCell ref="E95:E97"/>
    <mergeCell ref="F95:F97"/>
    <mergeCell ref="A137:J137"/>
    <mergeCell ref="F105:F106"/>
    <mergeCell ref="G95:G97"/>
    <mergeCell ref="E107:E109"/>
    <mergeCell ref="C103:Z103"/>
    <mergeCell ref="W125:Z125"/>
    <mergeCell ref="W93:W94"/>
    <mergeCell ref="X134:Z134"/>
    <mergeCell ref="F98:F100"/>
    <mergeCell ref="X138:Z138"/>
    <mergeCell ref="A135:J135"/>
    <mergeCell ref="X144:Z144"/>
    <mergeCell ref="Q142:T142"/>
    <mergeCell ref="X142:Z142"/>
    <mergeCell ref="X143:Z143"/>
    <mergeCell ref="Q139:T139"/>
    <mergeCell ref="X139:Z139"/>
    <mergeCell ref="Q140:T140"/>
    <mergeCell ref="A142:J142"/>
    <mergeCell ref="A140:J140"/>
    <mergeCell ref="A141:J141"/>
    <mergeCell ref="N144:O144"/>
    <mergeCell ref="A139:J139"/>
    <mergeCell ref="X140:Z140"/>
    <mergeCell ref="G24:G26"/>
    <mergeCell ref="H24:H26"/>
    <mergeCell ref="I24:I26"/>
    <mergeCell ref="I13:I21"/>
    <mergeCell ref="Q7:Q8"/>
    <mergeCell ref="R7:S7"/>
    <mergeCell ref="T7:T8"/>
    <mergeCell ref="W7:W8"/>
    <mergeCell ref="X7:Z7"/>
    <mergeCell ref="A9:Z9"/>
    <mergeCell ref="G6:G8"/>
    <mergeCell ref="H6:H8"/>
    <mergeCell ref="I6:I8"/>
    <mergeCell ref="J6:J8"/>
    <mergeCell ref="A10:Z10"/>
    <mergeCell ref="E18:E19"/>
    <mergeCell ref="E20:E21"/>
    <mergeCell ref="W20:W21"/>
    <mergeCell ref="B11:Z11"/>
    <mergeCell ref="C12:Z12"/>
    <mergeCell ref="W24:W25"/>
    <mergeCell ref="A2:Z2"/>
    <mergeCell ref="A3:Z3"/>
    <mergeCell ref="A4:Z4"/>
    <mergeCell ref="Y5:Z5"/>
    <mergeCell ref="A6:A8"/>
    <mergeCell ref="B6:B8"/>
    <mergeCell ref="C6:C8"/>
    <mergeCell ref="D6:D8"/>
    <mergeCell ref="E6:E8"/>
    <mergeCell ref="F6:F8"/>
    <mergeCell ref="Q6:T6"/>
    <mergeCell ref="U6:U8"/>
    <mergeCell ref="V6:V8"/>
    <mergeCell ref="W6:Z6"/>
    <mergeCell ref="K7:K8"/>
    <mergeCell ref="M7:M8"/>
    <mergeCell ref="N7:O7"/>
    <mergeCell ref="P7:P8"/>
    <mergeCell ref="M6:P6"/>
    <mergeCell ref="L7:L8"/>
    <mergeCell ref="W39:W40"/>
    <mergeCell ref="L28:L31"/>
    <mergeCell ref="L40:L43"/>
    <mergeCell ref="L93:L100"/>
    <mergeCell ref="A130:Z130"/>
    <mergeCell ref="E37:E40"/>
    <mergeCell ref="E71:E72"/>
    <mergeCell ref="E28:E29"/>
    <mergeCell ref="C33:J33"/>
    <mergeCell ref="W33:Z33"/>
    <mergeCell ref="C34:Z34"/>
    <mergeCell ref="E35:E36"/>
    <mergeCell ref="E41:E43"/>
    <mergeCell ref="E44:E45"/>
    <mergeCell ref="E47:E49"/>
    <mergeCell ref="I35:I39"/>
    <mergeCell ref="W42:W43"/>
    <mergeCell ref="F89:F90"/>
    <mergeCell ref="W83:W84"/>
    <mergeCell ref="F58:F59"/>
    <mergeCell ref="E60:E62"/>
    <mergeCell ref="W60:W62"/>
    <mergeCell ref="F107:F108"/>
    <mergeCell ref="E69:E70"/>
  </mergeCells>
  <printOptions horizontalCentered="1"/>
  <pageMargins left="0" right="0" top="0" bottom="0" header="0.31496062992125984" footer="0.31496062992125984"/>
  <pageSetup paperSize="9" scale="83" fitToHeight="0" orientation="landscape" r:id="rId1"/>
  <rowBreaks count="6" manualBreakCount="6">
    <brk id="26" max="25" man="1"/>
    <brk id="46" max="25" man="1"/>
    <brk id="62" max="25" man="1"/>
    <brk id="84" max="25" man="1"/>
    <brk id="106" max="25" man="1"/>
    <brk id="124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8</vt:i4>
      </vt:variant>
    </vt:vector>
  </HeadingPairs>
  <TitlesOfParts>
    <vt:vector size="14" baseType="lpstr">
      <vt:lpstr>2014-2016 SVP</vt:lpstr>
      <vt:lpstr>8 programa</vt:lpstr>
      <vt:lpstr>Asignavimų valdytojų kodai</vt:lpstr>
      <vt:lpstr>8 pr. Lt</vt:lpstr>
      <vt:lpstr>08 programa</vt:lpstr>
      <vt:lpstr>Aiškinamoji lentelė</vt:lpstr>
      <vt:lpstr>'08 programa'!Print_Area</vt:lpstr>
      <vt:lpstr>'2014-2016 SVP'!Print_Area</vt:lpstr>
      <vt:lpstr>'8 programa'!Print_Area</vt:lpstr>
      <vt:lpstr>'Aiškinamoji lentelė'!Print_Area</vt:lpstr>
      <vt:lpstr>'08 programa'!Print_Titles</vt:lpstr>
      <vt:lpstr>'2014-2016 SVP'!Print_Titles</vt:lpstr>
      <vt:lpstr>'8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2015-12-22T09:38:03Z</cp:lastPrinted>
  <dcterms:created xsi:type="dcterms:W3CDTF">2004-04-19T12:01:47Z</dcterms:created>
  <dcterms:modified xsi:type="dcterms:W3CDTF">2015-12-22T09:38:08Z</dcterms:modified>
</cp:coreProperties>
</file>